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M 22-19\M  22-19_паспорт_карта\"/>
    </mc:Choice>
  </mc:AlternateContent>
  <xr:revisionPtr revIDLastSave="0" documentId="13_ncr:1_{31DC3834-0D75-4D6A-8232-5B7BB09BC53C}"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42" i="57" l="1"/>
  <c r="S58" i="57" l="1"/>
  <c r="D58" i="57"/>
  <c r="F58" i="57" s="1"/>
  <c r="S56" i="57"/>
  <c r="S52" i="57"/>
  <c r="D52" i="57"/>
  <c r="S24" i="57"/>
  <c r="S27" i="57"/>
  <c r="S30" i="57"/>
  <c r="S32" i="57" s="1"/>
  <c r="E52" i="57"/>
  <c r="D30" i="57"/>
  <c r="D27" i="57"/>
  <c r="F27" i="57" s="1"/>
  <c r="F30" i="57"/>
  <c r="F31" i="57"/>
  <c r="F32" i="57"/>
  <c r="F33" i="57"/>
  <c r="F34" i="57"/>
  <c r="F35" i="57"/>
  <c r="F36" i="57"/>
  <c r="F37" i="57"/>
  <c r="F38" i="57"/>
  <c r="F39" i="57"/>
  <c r="F40" i="57"/>
  <c r="F41" i="57"/>
  <c r="F42" i="57"/>
  <c r="F43" i="57"/>
  <c r="F44" i="57"/>
  <c r="F45" i="57"/>
  <c r="F46" i="57"/>
  <c r="F47" i="57"/>
  <c r="F48" i="57"/>
  <c r="F49" i="57"/>
  <c r="F50" i="57"/>
  <c r="F59" i="57"/>
  <c r="F60" i="57"/>
  <c r="F61" i="57"/>
  <c r="F62" i="57"/>
  <c r="F63" i="57"/>
  <c r="F64" i="57"/>
  <c r="E30" i="57"/>
  <c r="E31" i="57"/>
  <c r="E32" i="57"/>
  <c r="E33" i="57"/>
  <c r="E34" i="57"/>
  <c r="E35" i="57"/>
  <c r="E36" i="57"/>
  <c r="E37" i="57"/>
  <c r="E38" i="57"/>
  <c r="E39" i="57"/>
  <c r="E40" i="57"/>
  <c r="E41" i="57"/>
  <c r="E42" i="57"/>
  <c r="E43" i="57"/>
  <c r="E44" i="57"/>
  <c r="E45" i="57"/>
  <c r="E46" i="57"/>
  <c r="E47" i="57"/>
  <c r="E48" i="57"/>
  <c r="E49" i="57"/>
  <c r="E50" i="57"/>
  <c r="E59" i="57"/>
  <c r="E60" i="57"/>
  <c r="E61" i="57"/>
  <c r="E62" i="57"/>
  <c r="E63" i="57"/>
  <c r="E64" i="57"/>
  <c r="D31" i="57"/>
  <c r="D34" i="57"/>
  <c r="D35" i="57"/>
  <c r="D36" i="57"/>
  <c r="D37" i="57"/>
  <c r="D38" i="57"/>
  <c r="D39" i="57"/>
  <c r="D40" i="57"/>
  <c r="D41" i="57"/>
  <c r="D43" i="57"/>
  <c r="D44" i="57"/>
  <c r="D45" i="57"/>
  <c r="D46" i="57"/>
  <c r="D47" i="57"/>
  <c r="D48" i="57"/>
  <c r="D49" i="57"/>
  <c r="D50" i="57"/>
  <c r="D59" i="57"/>
  <c r="D60" i="57"/>
  <c r="D61" i="57"/>
  <c r="D62" i="57"/>
  <c r="D63" i="57"/>
  <c r="D64" i="57"/>
  <c r="B25" i="53"/>
  <c r="B24" i="53"/>
  <c r="S47" i="57"/>
  <c r="G35" i="16"/>
  <c r="V90" i="57"/>
  <c r="F52" i="57" l="1"/>
  <c r="E27" i="57"/>
  <c r="E58" i="57"/>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49" i="7" l="1"/>
  <c r="M80" i="58"/>
  <c r="AC80" i="58"/>
  <c r="B75" i="58"/>
  <c r="B70" i="58"/>
  <c r="K80" i="58"/>
  <c r="D80" i="58"/>
  <c r="H80" i="58"/>
  <c r="L80" i="58"/>
  <c r="P80" i="58"/>
  <c r="T80" i="58"/>
  <c r="X80" i="58"/>
  <c r="AB80" i="58"/>
  <c r="B80" i="58"/>
  <c r="B71" i="58" l="1"/>
  <c r="B72" i="58" s="1"/>
  <c r="B78" i="58" l="1"/>
  <c r="B24" i="58" l="1"/>
  <c r="C67" i="58" l="1"/>
  <c r="D67" i="58" s="1"/>
  <c r="D65" i="58" s="1"/>
  <c r="D59" i="58" s="1"/>
  <c r="D66" i="58" s="1"/>
  <c r="B34" i="58"/>
  <c r="K62" i="58" s="1"/>
  <c r="B28" i="58"/>
  <c r="C65" i="58" l="1"/>
  <c r="C59" i="58" s="1"/>
  <c r="C66" i="58" s="1"/>
  <c r="I60" i="58"/>
  <c r="S62" i="58"/>
  <c r="AA62" i="58" l="1"/>
  <c r="AB24" i="57"/>
  <c r="C48" i="7" l="1"/>
  <c r="X24" i="57"/>
  <c r="T24" i="57"/>
  <c r="P24" i="57"/>
  <c r="D76" i="58" l="1"/>
  <c r="E67" i="58"/>
  <c r="D68" i="58"/>
  <c r="C76" i="58"/>
  <c r="C68" i="58"/>
  <c r="AD33" i="57"/>
  <c r="AD41" i="57"/>
  <c r="E65" i="58" l="1"/>
  <c r="E59" i="58" s="1"/>
  <c r="E66" i="58" s="1"/>
  <c r="E68" i="58" s="1"/>
  <c r="E76" i="58"/>
  <c r="F67" i="58"/>
  <c r="C75" i="58"/>
  <c r="C70" i="58"/>
  <c r="C71" i="58" s="1"/>
  <c r="D75" i="58"/>
  <c r="D70" i="58"/>
  <c r="D71" i="58" s="1"/>
  <c r="D72" i="58" s="1"/>
  <c r="AD32" i="57"/>
  <c r="AD31" i="57"/>
  <c r="AD34" i="57"/>
  <c r="AD30" i="57"/>
  <c r="F65" i="58" l="1"/>
  <c r="F59" i="58" s="1"/>
  <c r="F66" i="58" s="1"/>
  <c r="E75" i="58"/>
  <c r="E70" i="58"/>
  <c r="E71" i="58" s="1"/>
  <c r="E72" i="58" s="1"/>
  <c r="F68" i="58"/>
  <c r="G67" i="58"/>
  <c r="F76" i="58"/>
  <c r="C72" i="58"/>
  <c r="C78" i="58"/>
  <c r="G65" i="58" l="1"/>
  <c r="G59" i="58" s="1"/>
  <c r="G66" i="58" s="1"/>
  <c r="F75" i="58"/>
  <c r="F70" i="58"/>
  <c r="D78" i="58"/>
  <c r="G68" i="58"/>
  <c r="G76" i="58"/>
  <c r="H67" i="58"/>
  <c r="AD49" i="57"/>
  <c r="AD52" i="57"/>
  <c r="B97" i="53"/>
  <c r="H65" i="58" l="1"/>
  <c r="H59" i="58" s="1"/>
  <c r="H66" i="58" s="1"/>
  <c r="H68" i="58" s="1"/>
  <c r="E78" i="58"/>
  <c r="H76" i="58"/>
  <c r="I67" i="58"/>
  <c r="G75" i="58"/>
  <c r="G70" i="58"/>
  <c r="F71" i="58"/>
  <c r="AD63" i="57"/>
  <c r="AD27" i="57"/>
  <c r="I65" i="58" l="1"/>
  <c r="I59" i="58" s="1"/>
  <c r="I66" i="58" s="1"/>
  <c r="I68" i="58" s="1"/>
  <c r="F78" i="58"/>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H24" i="57"/>
  <c r="J65" i="58" l="1"/>
  <c r="J59" i="58" s="1"/>
  <c r="J66" i="58" s="1"/>
  <c r="J68" i="58" s="1"/>
  <c r="G78" i="58"/>
  <c r="K67" i="58"/>
  <c r="J76" i="58"/>
  <c r="H71" i="58"/>
  <c r="H72"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K68" i="58" s="1"/>
  <c r="H78" i="58"/>
  <c r="I71" i="58"/>
  <c r="J75" i="58"/>
  <c r="J70" i="58"/>
  <c r="K76" i="58"/>
  <c r="L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L68" i="58" s="1"/>
  <c r="I78" i="58"/>
  <c r="K70" i="58"/>
  <c r="K75" i="58"/>
  <c r="J71" i="58"/>
  <c r="L76" i="58"/>
  <c r="M67" i="58"/>
  <c r="I72" i="58"/>
  <c r="A5" i="53"/>
  <c r="M65" i="58" l="1"/>
  <c r="M59" i="58" s="1"/>
  <c r="M66" i="58" s="1"/>
  <c r="M68" i="58" s="1"/>
  <c r="J78" i="58"/>
  <c r="J72" i="58"/>
  <c r="K71" i="58"/>
  <c r="L70" i="58"/>
  <c r="L71" i="58" s="1"/>
  <c r="L75" i="58"/>
  <c r="M76" i="58"/>
  <c r="N67" i="58"/>
  <c r="X49" i="15"/>
  <c r="X45" i="15"/>
  <c r="X54" i="15" s="1"/>
  <c r="X48" i="15"/>
  <c r="X47" i="15"/>
  <c r="X27" i="15"/>
  <c r="T27" i="15"/>
  <c r="N65" i="58" l="1"/>
  <c r="N59" i="58" s="1"/>
  <c r="N66" i="58" s="1"/>
  <c r="K78" i="58"/>
  <c r="K72" i="58"/>
  <c r="M70" i="58"/>
  <c r="M75" i="58"/>
  <c r="O67" i="58"/>
  <c r="N68" i="58"/>
  <c r="N76" i="58"/>
  <c r="L72" i="58"/>
  <c r="E27" i="15"/>
  <c r="X56" i="15"/>
  <c r="O65" i="58" l="1"/>
  <c r="O59" i="58" s="1"/>
  <c r="O66" i="58" s="1"/>
  <c r="O68" i="58" s="1"/>
  <c r="L78" i="58"/>
  <c r="N75" i="58"/>
  <c r="N70" i="58"/>
  <c r="O76" i="58"/>
  <c r="P67" i="58"/>
  <c r="M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P65" i="58" l="1"/>
  <c r="P59" i="58" s="1"/>
  <c r="P66" i="58" s="1"/>
  <c r="P68" i="58" s="1"/>
  <c r="M78" i="58"/>
  <c r="M72" i="58"/>
  <c r="N71" i="58"/>
  <c r="Q67" i="58"/>
  <c r="P76" i="58"/>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Q65" i="58" l="1"/>
  <c r="Q59" i="58" s="1"/>
  <c r="Q66" i="58" s="1"/>
  <c r="Q68" i="58" s="1"/>
  <c r="N78" i="58"/>
  <c r="O71" i="58"/>
  <c r="N72" i="58"/>
  <c r="P70" i="58"/>
  <c r="P75" i="58"/>
  <c r="Q76" i="58"/>
  <c r="R67" i="58"/>
  <c r="AD36" i="57"/>
  <c r="AD45" i="57"/>
  <c r="AD60" i="57"/>
  <c r="AD62" i="57"/>
  <c r="AD39" i="57"/>
  <c r="AD44" i="57"/>
  <c r="AD61" i="57"/>
  <c r="AD50" i="57"/>
  <c r="AD37" i="57"/>
  <c r="AD42" i="57"/>
  <c r="AD43" i="57"/>
  <c r="AD64" i="57"/>
  <c r="AD40" i="57"/>
  <c r="AD48" i="57"/>
  <c r="AD58" i="57"/>
  <c r="AD46" i="57"/>
  <c r="F24" i="15"/>
  <c r="C52" i="15"/>
  <c r="E52" i="15" s="1"/>
  <c r="F52" i="15"/>
  <c r="R65" i="58" l="1"/>
  <c r="R59" i="58" s="1"/>
  <c r="R66" i="58" s="1"/>
  <c r="R68" i="58" s="1"/>
  <c r="O78" i="58"/>
  <c r="P71" i="58"/>
  <c r="Q70" i="58"/>
  <c r="Q75" i="58"/>
  <c r="R76" i="58"/>
  <c r="S67" i="58"/>
  <c r="O72" i="58"/>
  <c r="AD35" i="57"/>
  <c r="AD38" i="57"/>
  <c r="AD59" i="57"/>
  <c r="AD47" i="57"/>
  <c r="B22" i="53"/>
  <c r="A15" i="53"/>
  <c r="B21" i="53" s="1"/>
  <c r="A12" i="53"/>
  <c r="A9" i="53"/>
  <c r="B83" i="53"/>
  <c r="B81" i="53"/>
  <c r="B41" i="53"/>
  <c r="B30" i="53" s="1"/>
  <c r="P78" i="58" l="1"/>
  <c r="S65" i="58"/>
  <c r="S59" i="58" s="1"/>
  <c r="S66" i="58" s="1"/>
  <c r="S68" i="58" s="1"/>
  <c r="P72" i="58"/>
  <c r="R70" i="58"/>
  <c r="R75" i="58"/>
  <c r="Q71" i="58"/>
  <c r="Q72" i="58" s="1"/>
  <c r="S76" i="58"/>
  <c r="T67" i="58"/>
  <c r="Q78" i="58" l="1"/>
  <c r="T65" i="58"/>
  <c r="T59" i="58" s="1"/>
  <c r="T66" i="58" s="1"/>
  <c r="T68" i="58" s="1"/>
  <c r="S75" i="58"/>
  <c r="S70" i="58"/>
  <c r="R71" i="58"/>
  <c r="T76" i="58"/>
  <c r="U67" i="58"/>
  <c r="B29" i="53"/>
  <c r="A15" i="12"/>
  <c r="R78" i="58" l="1"/>
  <c r="U65" i="58"/>
  <c r="U59" i="58" s="1"/>
  <c r="U66" i="58" s="1"/>
  <c r="U68" i="58" s="1"/>
  <c r="R72" i="58"/>
  <c r="S71" i="58"/>
  <c r="S78" i="58" s="1"/>
  <c r="U76" i="58"/>
  <c r="V67" i="58"/>
  <c r="T75" i="58"/>
  <c r="T70" i="58"/>
  <c r="A8" i="17"/>
  <c r="E9" i="14"/>
  <c r="V65" i="58" l="1"/>
  <c r="V59" i="58" s="1"/>
  <c r="V66" i="58" s="1"/>
  <c r="V68" i="58" s="1"/>
  <c r="U70" i="58"/>
  <c r="U75" i="58"/>
  <c r="W67" i="58"/>
  <c r="V76" i="58"/>
  <c r="T71" i="58"/>
  <c r="T78"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C23" i="6" l="1"/>
  <c r="C24" i="6"/>
  <c r="W65" i="58"/>
  <c r="W59" i="58" s="1"/>
  <c r="W66" i="58" s="1"/>
  <c r="W68" i="58" s="1"/>
  <c r="T72" i="58"/>
  <c r="X67" i="58"/>
  <c r="W76" i="58"/>
  <c r="U71" i="58"/>
  <c r="U78" i="58" s="1"/>
  <c r="V75" i="58"/>
  <c r="V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X68" i="58" s="1"/>
  <c r="U72" i="58"/>
  <c r="W70" i="58"/>
  <c r="W75" i="58"/>
  <c r="V71" i="58"/>
  <c r="V78" i="58" s="1"/>
  <c r="Y67" i="58"/>
  <c r="X76" i="58"/>
  <c r="Y65" i="58" l="1"/>
  <c r="Y59" i="58" s="1"/>
  <c r="Y66" i="58" s="1"/>
  <c r="Y68" i="58" s="1"/>
  <c r="V72" i="58"/>
  <c r="Y76" i="58"/>
  <c r="Z67" i="58"/>
  <c r="Z65" i="58" s="1"/>
  <c r="Z59" i="58" s="1"/>
  <c r="Z66" i="58" s="1"/>
  <c r="X75" i="58"/>
  <c r="X70" i="58"/>
  <c r="W71" i="58"/>
  <c r="W78" i="58" s="1"/>
  <c r="W72" i="58" l="1"/>
  <c r="X71" i="58"/>
  <c r="X78" i="58" s="1"/>
  <c r="Y70" i="58"/>
  <c r="Y75" i="58"/>
  <c r="Z76" i="58"/>
  <c r="Z68" i="58"/>
  <c r="AA67" i="58"/>
  <c r="AA65" i="58" s="1"/>
  <c r="AA59" i="58" s="1"/>
  <c r="AA66" i="58" s="1"/>
  <c r="X72" i="58" l="1"/>
  <c r="Y71" i="58"/>
  <c r="Y78" i="58" s="1"/>
  <c r="AB67" i="58"/>
  <c r="AB65" i="58" s="1"/>
  <c r="AB59" i="58" s="1"/>
  <c r="AB66" i="58" s="1"/>
  <c r="AA76" i="58"/>
  <c r="AA68" i="58"/>
  <c r="Z70" i="58"/>
  <c r="Z75" i="58"/>
  <c r="Y72" i="58" l="1"/>
  <c r="AA70" i="58"/>
  <c r="AA75" i="58"/>
  <c r="AC67" i="58"/>
  <c r="AC65" i="58" s="1"/>
  <c r="AC59" i="58" s="1"/>
  <c r="AC66" i="58" s="1"/>
  <c r="AB76" i="58"/>
  <c r="AB68" i="58"/>
  <c r="Z71" i="58"/>
  <c r="Z78" i="58" s="1"/>
  <c r="Z72" i="58" l="1"/>
  <c r="AB70" i="58"/>
  <c r="AB75" i="58"/>
  <c r="AA71" i="58"/>
  <c r="AA78" i="58" s="1"/>
  <c r="AC76" i="58"/>
  <c r="AD67" i="58"/>
  <c r="AD65" i="58" s="1"/>
  <c r="AD59" i="58" s="1"/>
  <c r="AD66" i="58" s="1"/>
  <c r="AC68" i="58"/>
  <c r="AA72" i="58" l="1"/>
  <c r="AD68" i="58"/>
  <c r="AD76" i="58"/>
  <c r="AE67" i="58"/>
  <c r="AE65" i="58" s="1"/>
  <c r="AE59" i="58" s="1"/>
  <c r="AE66" i="58" s="1"/>
  <c r="AC75" i="58"/>
  <c r="AC70" i="58"/>
  <c r="AB71" i="58"/>
  <c r="AB78" i="58" s="1"/>
  <c r="AB72" i="58" l="1"/>
  <c r="AE68" i="58"/>
  <c r="AE76" i="58"/>
  <c r="AC71" i="58"/>
  <c r="AC78" i="58" s="1"/>
  <c r="AD75" i="58"/>
  <c r="AD70" i="58"/>
  <c r="AC72" i="58" l="1"/>
  <c r="AD71" i="58"/>
  <c r="AD78" i="58" s="1"/>
  <c r="AE75" i="58"/>
  <c r="AE70" i="58"/>
  <c r="AD72" i="58" l="1"/>
  <c r="AE71" i="58"/>
  <c r="AE78" i="58" s="1"/>
  <c r="AE72" i="58" l="1"/>
  <c r="B81" i="58" l="1"/>
  <c r="AD28" i="57"/>
  <c r="AD26" i="57"/>
  <c r="AD29" i="57"/>
  <c r="AD25" i="57"/>
  <c r="AD24" i="57"/>
  <c r="F26" i="57"/>
  <c r="D26" i="57"/>
  <c r="E26" i="57" s="1"/>
  <c r="D28" i="57"/>
  <c r="F28" i="57"/>
  <c r="F25" i="57"/>
  <c r="D25" i="57"/>
  <c r="E25" i="57"/>
  <c r="D29" i="57"/>
  <c r="F29" i="57" s="1"/>
  <c r="D24" i="57" l="1"/>
  <c r="E28" i="57"/>
  <c r="E29" i="57"/>
  <c r="B79" i="58"/>
  <c r="C79" i="58" s="1"/>
  <c r="C83" i="58" s="1"/>
  <c r="C86" i="58" s="1"/>
  <c r="B83" i="58" l="1"/>
  <c r="D79" i="58"/>
  <c r="E79" i="58" s="1"/>
  <c r="E83" i="58" s="1"/>
  <c r="E86" i="58" s="1"/>
  <c r="F24" i="57"/>
  <c r="B27" i="53"/>
  <c r="E24" i="57"/>
  <c r="B86" i="58" l="1"/>
  <c r="B84" i="58"/>
  <c r="B89" i="58" s="1"/>
  <c r="E84" i="58"/>
  <c r="C84" i="58"/>
  <c r="C89" i="58" s="1"/>
  <c r="B88" i="58"/>
  <c r="C88" i="58"/>
  <c r="D88" i="58"/>
  <c r="F79" i="58"/>
  <c r="D83" i="58"/>
  <c r="D86" i="58" s="1"/>
  <c r="B34" i="53"/>
  <c r="B60" i="53"/>
  <c r="B43" i="53"/>
  <c r="F83" i="58" l="1"/>
  <c r="G79" i="58"/>
  <c r="H79" i="58" s="1"/>
  <c r="H83" i="58" s="1"/>
  <c r="H86" i="58" s="1"/>
  <c r="B87" i="58"/>
  <c r="B90" i="58" s="1"/>
  <c r="E87" i="58"/>
  <c r="D87" i="58"/>
  <c r="C87" i="58"/>
  <c r="E89" i="58"/>
  <c r="D84" i="58"/>
  <c r="D89" i="58" s="1"/>
  <c r="E88" i="58"/>
  <c r="C90" i="58" l="1"/>
  <c r="E90" i="58"/>
  <c r="F86" i="58"/>
  <c r="F84" i="58"/>
  <c r="F89" i="58" s="1"/>
  <c r="F88" i="58"/>
  <c r="I79" i="58"/>
  <c r="J79" i="58" s="1"/>
  <c r="J83" i="58" s="1"/>
  <c r="J86" i="58" s="1"/>
  <c r="D90" i="58"/>
  <c r="G83" i="58"/>
  <c r="G86" i="58" l="1"/>
  <c r="G88" i="58"/>
  <c r="H84" i="58"/>
  <c r="I83" i="58"/>
  <c r="I86" i="58" s="1"/>
  <c r="H88" i="58"/>
  <c r="I88" i="58"/>
  <c r="G84" i="58"/>
  <c r="G89" i="58" s="1"/>
  <c r="G87" i="58"/>
  <c r="H87" i="58"/>
  <c r="H90" i="58" s="1"/>
  <c r="J87" i="58"/>
  <c r="F87" i="58"/>
  <c r="F90" i="58" s="1"/>
  <c r="K79" i="58"/>
  <c r="K83" i="58" l="1"/>
  <c r="K88" i="58" s="1"/>
  <c r="L79" i="58"/>
  <c r="L83" i="58" s="1"/>
  <c r="L86" i="58" s="1"/>
  <c r="G90" i="58"/>
  <c r="J84" i="58"/>
  <c r="L88" i="58"/>
  <c r="K84" i="58"/>
  <c r="J88" i="58"/>
  <c r="I84" i="58"/>
  <c r="I89" i="58" s="1"/>
  <c r="I87" i="58"/>
  <c r="I90" i="58" s="1"/>
  <c r="M79" i="58"/>
  <c r="M83" i="58" s="1"/>
  <c r="M86" i="58" s="1"/>
  <c r="L84" i="58"/>
  <c r="L89" i="58" s="1"/>
  <c r="H89" i="58"/>
  <c r="K89" i="58" l="1"/>
  <c r="J90" i="58"/>
  <c r="J89" i="58"/>
  <c r="K86" i="58"/>
  <c r="M84" i="58"/>
  <c r="M89" i="58" s="1"/>
  <c r="N79" i="58"/>
  <c r="N83" i="58" s="1"/>
  <c r="N88" i="58"/>
  <c r="M88" i="58"/>
  <c r="O79" i="58" l="1"/>
  <c r="P79" i="58" s="1"/>
  <c r="N86" i="58"/>
  <c r="K87" i="58"/>
  <c r="K90" i="58" s="1"/>
  <c r="M87" i="58"/>
  <c r="L87" i="58"/>
  <c r="N87" i="58"/>
  <c r="N90" i="58" s="1"/>
  <c r="N84" i="58"/>
  <c r="N89" i="58" s="1"/>
  <c r="O83" i="58" l="1"/>
  <c r="O86" i="58"/>
  <c r="O88" i="58"/>
  <c r="M90" i="58"/>
  <c r="P83" i="58"/>
  <c r="Q79" i="58"/>
  <c r="L90" i="58"/>
  <c r="G29" i="58"/>
  <c r="O84" i="58"/>
  <c r="O89" i="58" s="1"/>
  <c r="Q83" i="58" l="1"/>
  <c r="R79" i="58"/>
  <c r="P86" i="58"/>
  <c r="P84" i="58"/>
  <c r="P89" i="58" s="1"/>
  <c r="P88" i="58"/>
  <c r="O87" i="58"/>
  <c r="O90" i="58" s="1"/>
  <c r="R83" i="58" l="1"/>
  <c r="S79" i="58"/>
  <c r="P87" i="58"/>
  <c r="P90" i="58" s="1"/>
  <c r="Q86" i="58"/>
  <c r="Q88" i="58"/>
  <c r="Q84" i="58"/>
  <c r="Q89" i="58" s="1"/>
  <c r="S83" i="58" l="1"/>
  <c r="T79" i="58"/>
  <c r="R86" i="58"/>
  <c r="R87" i="58" s="1"/>
  <c r="R88" i="58"/>
  <c r="R84" i="58"/>
  <c r="R89" i="58" s="1"/>
  <c r="Q87" i="58"/>
  <c r="Q90" i="58" s="1"/>
  <c r="R90" i="58" l="1"/>
  <c r="T83" i="58"/>
  <c r="U79" i="58"/>
  <c r="S86" i="58"/>
  <c r="S87" i="58" s="1"/>
  <c r="S90" i="58" s="1"/>
  <c r="S88" i="58"/>
  <c r="S84" i="58"/>
  <c r="S89" i="58" s="1"/>
  <c r="U83" i="58" l="1"/>
  <c r="V79" i="58"/>
  <c r="T86" i="58"/>
  <c r="T87" i="58" s="1"/>
  <c r="T90" i="58" s="1"/>
  <c r="T84" i="58"/>
  <c r="T89" i="58" s="1"/>
  <c r="T88" i="58"/>
  <c r="V83" i="58" l="1"/>
  <c r="W79" i="58"/>
  <c r="U86" i="58"/>
  <c r="U87" i="58" s="1"/>
  <c r="U90" i="58" s="1"/>
  <c r="U84" i="58"/>
  <c r="U89" i="58" s="1"/>
  <c r="U88" i="58"/>
  <c r="W83" i="58" l="1"/>
  <c r="X79" i="58"/>
  <c r="V86" i="58"/>
  <c r="V87" i="58" s="1"/>
  <c r="V90" i="58" s="1"/>
  <c r="V84" i="58"/>
  <c r="V89" i="58" s="1"/>
  <c r="V88" i="58"/>
  <c r="X83" i="58" l="1"/>
  <c r="Y79" i="58"/>
  <c r="W86" i="58"/>
  <c r="W87" i="58" s="1"/>
  <c r="W90" i="58" s="1"/>
  <c r="W88" i="58"/>
  <c r="W84" i="58"/>
  <c r="W89" i="58" s="1"/>
  <c r="Y83" i="58" l="1"/>
  <c r="Z79" i="58"/>
  <c r="X86" i="58"/>
  <c r="X87" i="58" s="1"/>
  <c r="X90" i="58" s="1"/>
  <c r="X84" i="58"/>
  <c r="X89" i="58" s="1"/>
  <c r="X88" i="58"/>
  <c r="Z83" i="58" l="1"/>
  <c r="AA79" i="58"/>
  <c r="Y86" i="58"/>
  <c r="Y87" i="58" s="1"/>
  <c r="Y90" i="58" s="1"/>
  <c r="Y88" i="58"/>
  <c r="Y84" i="58"/>
  <c r="Y89" i="58" s="1"/>
  <c r="AA83" i="58" l="1"/>
  <c r="AB79" i="58"/>
  <c r="Z86" i="58"/>
  <c r="Z87" i="58" s="1"/>
  <c r="Z90" i="58" s="1"/>
  <c r="Z88" i="58"/>
  <c r="Z84" i="58"/>
  <c r="Z89" i="58" s="1"/>
  <c r="AB83" i="58" l="1"/>
  <c r="AC79" i="58"/>
  <c r="AA86" i="58"/>
  <c r="AA87" i="58" s="1"/>
  <c r="AA90" i="58" s="1"/>
  <c r="AA84" i="58"/>
  <c r="AA89" i="58" s="1"/>
  <c r="AA88" i="58"/>
  <c r="AC83" i="58" l="1"/>
  <c r="AD79" i="58"/>
  <c r="AB86" i="58"/>
  <c r="AB87" i="58" s="1"/>
  <c r="AB90" i="58" s="1"/>
  <c r="AB84" i="58"/>
  <c r="AB89" i="58" s="1"/>
  <c r="AB88" i="58"/>
  <c r="AD83" i="58" l="1"/>
  <c r="AE79" i="58"/>
  <c r="AE83" i="58" s="1"/>
  <c r="AC86" i="58"/>
  <c r="AC87" i="58" s="1"/>
  <c r="AC90" i="58" s="1"/>
  <c r="AC84" i="58"/>
  <c r="AC89" i="58" s="1"/>
  <c r="AC88" i="58"/>
  <c r="AE86" i="58" l="1"/>
  <c r="AE84" i="58"/>
  <c r="AE88" i="58"/>
  <c r="AD86" i="58"/>
  <c r="AD87" i="58" s="1"/>
  <c r="AD90" i="58" s="1"/>
  <c r="AD88" i="58"/>
  <c r="AD84" i="58"/>
  <c r="AD89" i="58" s="1"/>
  <c r="AE89" i="58" l="1"/>
  <c r="G27" i="58" s="1"/>
  <c r="AE87" i="58"/>
  <c r="AE90" i="58" s="1"/>
  <c r="G28" i="58" s="1"/>
  <c r="AD57" i="57"/>
  <c r="AD53" i="57"/>
  <c r="AD56" i="57"/>
  <c r="E57" i="57"/>
  <c r="D57" i="57"/>
  <c r="F57" i="57"/>
  <c r="E53" i="57"/>
  <c r="D53" i="57"/>
  <c r="F53" i="57" s="1"/>
  <c r="AD55" i="57"/>
  <c r="E56" i="57"/>
  <c r="D56" i="57"/>
  <c r="F56" i="57" s="1"/>
  <c r="D54" i="57"/>
  <c r="E54" i="57" s="1"/>
  <c r="AD54" i="57"/>
  <c r="E55" i="57"/>
  <c r="D55" i="57"/>
  <c r="F55" i="57"/>
  <c r="F54" i="57" l="1"/>
</calcChain>
</file>

<file path=xl/sharedStrings.xml><?xml version="1.0" encoding="utf-8"?>
<sst xmlns="http://schemas.openxmlformats.org/spreadsheetml/2006/main" count="1633" uniqueCount="605">
  <si>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</si>
  <si>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</si>
  <si>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</si>
  <si>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</si>
  <si>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</si>
  <si>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</si>
  <si>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</si>
  <si>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</si>
  <si>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</si>
  <si>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</si>
  <si>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</si>
  <si>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</si>
  <si>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</si>
  <si>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</si>
  <si>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</si>
  <si>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</si>
  <si>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</si>
  <si>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</si>
  <si>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</si>
  <si>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</si>
  <si>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</si>
  <si>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</si>
  <si>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</si>
  <si>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</si>
  <si>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</si>
  <si>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</si>
  <si>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</si>
  <si>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</si>
  <si>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</si>
  <si>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</si>
  <si>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</si>
  <si>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</si>
  <si>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</si>
  <si>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</si>
  <si>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</si>
  <si>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</si>
  <si>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</si>
  <si>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</si>
  <si>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</si>
  <si>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</si>
  <si>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</si>
  <si>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</si>
  <si>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</si>
  <si>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</si>
  <si>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</si>
  <si>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</si>
  <si>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</si>
  <si>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</si>
  <si>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</si>
  <si>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</si>
  <si>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</si>
  <si>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</si>
  <si>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</si>
  <si>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</si>
  <si>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</si>
  <si>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</si>
  <si>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</si>
  <si>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</si>
  <si>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</si>
  <si>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</si>
  <si>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</si>
  <si>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</si>
  <si>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</si>
  <si>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</si>
  <si>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</si>
  <si>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</si>
  <si>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</si>
  <si>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</si>
  <si>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</si>
  <si>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</si>
  <si>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</si>
  <si>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</si>
  <si>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</si>
  <si>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</si>
  <si>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</si>
  <si>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</si>
  <si>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</si>
  <si>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</si>
  <si>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</si>
  <si>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</si>
  <si>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</si>
  <si>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</si>
  <si>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</si>
  <si>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</si>
  <si>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</si>
  <si>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</si>
  <si>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</si>
  <si>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</si>
  <si>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</si>
  <si>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</si>
  <si>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</si>
  <si>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</si>
  <si>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</si>
  <si>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</si>
  <si>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</si>
  <si>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</si>
  <si>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</si>
  <si>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</si>
  <si>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</si>
  <si>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</si>
  <si>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</si>
  <si>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</si>
  <si>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</si>
  <si>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</si>
  <si>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</si>
  <si>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</si>
  <si>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</si>
  <si>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</si>
  <si>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</si>
  <si>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</si>
  <si>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</si>
  <si>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</si>
  <si>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</si>
  <si>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</si>
  <si>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</si>
  <si>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</si>
  <si>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</si>
  <si>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</si>
  <si>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</si>
  <si>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</si>
  <si>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</si>
  <si>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</si>
  <si>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</si>
  <si>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</si>
  <si>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</si>
  <si>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</si>
  <si>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</si>
  <si>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</si>
  <si>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</si>
  <si>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</si>
  <si>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</si>
  <si>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</si>
  <si>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</si>
  <si>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</si>
  <si>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</si>
  <si>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</si>
  <si>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</si>
  <si>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</si>
  <si>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</si>
  <si>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</si>
  <si>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</si>
  <si>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</si>
  <si>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</si>
  <si>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</si>
  <si>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</si>
  <si>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</si>
  <si>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</si>
  <si>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</si>
  <si>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</si>
  <si>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</si>
  <si>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</si>
  <si>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</si>
  <si>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</si>
  <si>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</si>
  <si>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</si>
  <si>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</si>
  <si>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</si>
  <si>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</si>
  <si>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</si>
  <si>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</si>
  <si>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</si>
  <si>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</si>
  <si>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</si>
  <si>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</si>
  <si>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</si>
  <si>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</si>
  <si>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</si>
  <si>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</si>
  <si>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</si>
  <si>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</si>
  <si>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</si>
  <si>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</si>
  <si>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</si>
  <si>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</si>
  <si>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</si>
  <si>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</si>
  <si>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</si>
  <si>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</si>
  <si>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</si>
  <si>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</si>
  <si>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</si>
  <si>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</si>
  <si>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</si>
  <si>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</si>
  <si>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</si>
  <si>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</si>
  <si>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</si>
  <si>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</si>
  <si>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</si>
  <si>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</si>
  <si>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</si>
  <si>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</si>
  <si>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</si>
  <si>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</si>
  <si>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</si>
  <si>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</si>
  <si>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</si>
  <si>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</si>
  <si>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</si>
  <si>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</si>
  <si>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</si>
  <si>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</si>
  <si>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</si>
  <si>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</si>
  <si>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</si>
  <si>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</si>
  <si>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</si>
  <si>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</si>
  <si>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</si>
  <si>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</si>
  <si>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</si>
  <si>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</si>
  <si>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</si>
  <si>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</si>
  <si>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</si>
  <si>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</si>
  <si>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</si>
  <si>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</si>
  <si>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</si>
  <si>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</si>
  <si>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</si>
  <si>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</si>
  <si>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</si>
  <si>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</si>
  <si>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</si>
  <si>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</si>
  <si>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</si>
  <si>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</si>
  <si>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</si>
  <si>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</si>
  <si>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</si>
  <si>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</si>
  <si>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</si>
  <si>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</si>
  <si>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</si>
  <si>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</si>
  <si>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</si>
  <si>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</si>
  <si>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</si>
  <si>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</si>
  <si>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</si>
  <si>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</si>
  <si>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</si>
  <si>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</si>
  <si>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</si>
  <si>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</si>
  <si>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</si>
  <si>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</si>
  <si>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</si>
  <si>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</si>
  <si>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</si>
  <si>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</si>
  <si>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</si>
  <si>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</si>
  <si>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</si>
  <si>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</si>
  <si>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</si>
  <si>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</si>
  <si>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</si>
  <si>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</si>
  <si>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</si>
  <si>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</si>
  <si>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</si>
  <si>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</si>
  <si>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</si>
  <si>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</si>
  <si>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</si>
  <si>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</si>
  <si>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</si>
  <si>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</si>
  <si>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</si>
  <si>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</si>
  <si>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</si>
  <si>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</si>
  <si>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</si>
  <si>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</si>
  <si>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</si>
  <si>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</si>
  <si>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</si>
  <si>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</si>
  <si>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</si>
  <si>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</si>
  <si>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</si>
  <si>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</si>
  <si>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</si>
  <si>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</si>
  <si>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</si>
  <si>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</si>
  <si>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</si>
  <si>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</si>
  <si>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</si>
  <si>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</si>
  <si>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</si>
  <si>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</si>
  <si>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</si>
  <si>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</si>
  <si>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</si>
  <si>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</si>
  <si>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</si>
  <si>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</si>
  <si>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</si>
  <si>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</si>
  <si>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</si>
  <si>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</si>
  <si>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</si>
  <si>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</si>
  <si>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</si>
  <si>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</si>
  <si>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</si>
  <si>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</si>
  <si>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</si>
  <si>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</si>
  <si>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</si>
  <si>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</si>
  <si>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</si>
  <si>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</si>
  <si>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</si>
  <si>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</si>
  <si>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</si>
  <si>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</si>
  <si>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</si>
  <si>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</si>
  <si>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</si>
  <si>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</si>
  <si>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</si>
  <si>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</si>
  <si>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</si>
  <si>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</si>
  <si>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</si>
  <si>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</si>
  <si>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</si>
  <si>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</si>
  <si>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</si>
  <si>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</si>
  <si>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</si>
  <si>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</si>
  <si>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</si>
  <si>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</si>
  <si>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</si>
  <si>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</si>
  <si>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</si>
  <si>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</si>
  <si>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</si>
  <si>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</si>
  <si>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</si>
  <si>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</si>
  <si>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</si>
  <si>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</si>
  <si>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</si>
  <si>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</si>
  <si>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</si>
  <si>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</si>
  <si>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</si>
  <si>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</si>
  <si>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</si>
  <si>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</si>
  <si>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</si>
  <si>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</si>
  <si>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</si>
  <si>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</si>
  <si>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</si>
  <si>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</si>
  <si>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</si>
  <si>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</si>
  <si>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</si>
  <si>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</si>
  <si>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</si>
  <si>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</si>
  <si>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</si>
  <si>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</si>
  <si>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</si>
  <si>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</si>
  <si>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</si>
  <si>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</si>
  <si>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</si>
  <si>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</si>
  <si>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</si>
  <si>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</si>
  <si>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</si>
  <si>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</si>
  <si>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</si>
  <si>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</si>
  <si>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</si>
  <si>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</si>
  <si>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</si>
  <si>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</si>
  <si>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</si>
  <si>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</si>
  <si>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</si>
  <si>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</si>
  <si>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</si>
  <si>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</si>
  <si>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</si>
  <si>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</si>
  <si>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</si>
  <si>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</si>
  <si>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</si>
  <si>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</si>
  <si>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</si>
  <si>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</si>
  <si>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</si>
  <si>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</si>
  <si>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</si>
  <si>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</si>
  <si>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</si>
  <si>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</si>
  <si>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</si>
  <si>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</si>
  <si>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</si>
  <si>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</si>
  <si>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</si>
  <si>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</si>
  <si>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</si>
  <si>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</si>
  <si>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</si>
  <si>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</si>
  <si>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</si>
  <si>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</si>
  <si>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</si>
  <si>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</si>
  <si>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</si>
  <si>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</si>
  <si>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</si>
  <si>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</si>
  <si>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</si>
  <si>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</si>
  <si>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</si>
  <si>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</si>
  <si>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</si>
  <si>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</si>
  <si>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</si>
  <si>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</si>
  <si>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</si>
  <si>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</si>
  <si>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</si>
  <si>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</si>
  <si>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</si>
  <si>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</si>
  <si>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</si>
  <si>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</si>
  <si>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</si>
  <si>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</si>
  <si>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</si>
  <si>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</si>
  <si>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</si>
  <si>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</si>
  <si>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</si>
  <si>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</si>
  <si>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</si>
  <si>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</si>
  <si>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</si>
  <si>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</si>
  <si>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</si>
  <si>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</si>
  <si>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</si>
  <si>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</si>
  <si>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</si>
  <si>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</si>
  <si>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</si>
  <si>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</si>
  <si>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</si>
  <si>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</si>
  <si>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</si>
  <si>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</si>
  <si>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</si>
  <si>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</si>
  <si>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</si>
  <si>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</si>
  <si>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</si>
  <si>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</si>
  <si>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</si>
  <si>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</si>
  <si>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</si>
  <si>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</si>
  <si>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</si>
  <si>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</si>
  <si>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</si>
  <si>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</si>
  <si>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</si>
  <si>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</si>
  <si>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</si>
  <si>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</si>
  <si>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</si>
  <si>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</si>
  <si>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</si>
  <si>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</si>
  <si>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</si>
  <si>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</si>
  <si>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</si>
  <si>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</si>
  <si>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</si>
  <si>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</si>
  <si>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</si>
  <si>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</si>
  <si>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</si>
  <si>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</si>
  <si>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</si>
  <si>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</si>
  <si>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</si>
  <si>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</si>
  <si>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</si>
  <si>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</si>
  <si>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</si>
  <si>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</si>
  <si>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</si>
  <si>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</si>
  <si>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</si>
  <si>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</si>
  <si>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</si>
  <si>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</si>
  <si>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</si>
  <si>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</si>
  <si>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</si>
  <si>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</si>
  <si>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</si>
  <si>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</si>
  <si>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</si>
  <si>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</si>
  <si>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</si>
  <si>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</si>
  <si>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</si>
  <si>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</si>
  <si>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</si>
  <si>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</si>
  <si>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</si>
  <si>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</si>
  <si>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</si>
  <si>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</si>
  <si>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</si>
  <si>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</si>
  <si>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</si>
  <si>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</si>
  <si>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</si>
  <si>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</si>
  <si>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</si>
  <si>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</si>
  <si>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</si>
  <si>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</si>
  <si>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</si>
  <si>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</si>
  <si>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</si>
  <si>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</si>
  <si>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</si>
  <si>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</si>
  <si>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</si>
  <si>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</si>
  <si>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</si>
  <si>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</si>
  <si>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</si>
  <si>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</si>
  <si>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</si>
  <si>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</si>
  <si>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</si>
  <si>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</si>
  <si>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</si>
  <si>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</si>
  <si>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</si>
  <si>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</si>
  <si>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</si>
  <si>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</si>
  <si>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</si>
  <si>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</si>
  <si>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</si>
  <si>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</si>
  <si>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</si>
  <si>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</si>
  <si>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</si>
  <si>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</si>
  <si>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</si>
  <si>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</si>
  <si>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</si>
  <si>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</si>
  <si>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</si>
  <si>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</si>
  <si>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</si>
  <si>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</si>
  <si>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</si>
  <si>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</si>
  <si>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 xml:space="preserve">LnЗ_ЛЭП=0,45км;
</t>
  </si>
  <si>
    <t xml:space="preserve">Повышение надежности оказываемых услуг в сфере электроэнергетики. </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</si>
  <si>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</si>
  <si>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</si>
  <si>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</si>
  <si>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</si>
  <si>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</si>
  <si>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</si>
  <si>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</si>
  <si>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</si>
  <si>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</si>
  <si>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</si>
  <si>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</si>
  <si>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</si>
  <si>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</si>
  <si>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</si>
  <si>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</si>
  <si>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</si>
  <si>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ООО"Западная энергетическая компания"</t>
  </si>
  <si>
    <t>факт</t>
  </si>
  <si>
    <t>Год раскрытия информации: 2022 год</t>
  </si>
  <si>
    <t>П</t>
  </si>
  <si>
    <t xml:space="preserve"> по состоянию на 01.01.2022</t>
  </si>
  <si>
    <t>объем заключенного договора в ценах 2022_ года с НДС, млн. руб.</t>
  </si>
  <si>
    <t>Строительство 2-х КЛ-0,4кВ от ТП-12 до СП-0,4 (Новый), монтаж СП-0,4кВ п.Южный, Багратионовского р-на</t>
  </si>
  <si>
    <t xml:space="preserve">КЛ-0,4 кВ </t>
  </si>
  <si>
    <t>M  22-19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</si>
</sst>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0" fontId="42" fillId="0" borderId="46"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71"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wrapText="1"/>
    </xf>
    <xf numFmtId="0" fontId="78" fillId="0" borderId="0" xfId="0" applyNumberFormat="1" applyFont="1" applyFill="1" applyBorder="1" applyAlignment="1" applyProtection="1"/>
    <xf numFmtId="0" fontId="77"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xf>
    <xf numFmtId="0" fontId="78" fillId="0" borderId="36" xfId="0" applyNumberFormat="1" applyFont="1" applyFill="1" applyBorder="1" applyAlignment="1" applyProtection="1">
      <alignment vertical="center"/>
    </xf>
    <xf numFmtId="0" fontId="78" fillId="0" borderId="38" xfId="0" applyNumberFormat="1" applyFont="1" applyFill="1" applyBorder="1" applyAlignment="1" applyProtection="1">
      <alignment vertical="center"/>
    </xf>
    <xf numFmtId="3" fontId="78" fillId="0" borderId="49" xfId="0" applyNumberFormat="1" applyFont="1" applyFill="1" applyBorder="1" applyAlignment="1" applyProtection="1">
      <alignment vertical="center"/>
    </xf>
    <xf numFmtId="0" fontId="78" fillId="0" borderId="50" xfId="0" applyNumberFormat="1" applyFont="1" applyFill="1" applyBorder="1" applyAlignment="1" applyProtection="1">
      <alignment vertical="center"/>
    </xf>
    <xf numFmtId="0" fontId="78" fillId="0" borderId="51" xfId="0" applyNumberFormat="1" applyFont="1" applyFill="1" applyBorder="1" applyAlignment="1" applyProtection="1">
      <alignment vertical="center"/>
    </xf>
    <xf numFmtId="3" fontId="78"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8"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8" fillId="0" borderId="57" xfId="0" applyNumberFormat="1" applyFont="1" applyFill="1" applyBorder="1" applyAlignment="1" applyProtection="1">
      <alignment vertical="center"/>
    </xf>
    <xf numFmtId="0" fontId="78" fillId="0" borderId="39" xfId="0" applyNumberFormat="1" applyFont="1" applyFill="1" applyBorder="1" applyAlignment="1" applyProtection="1">
      <alignment vertical="center"/>
    </xf>
    <xf numFmtId="10" fontId="78" fillId="0" borderId="52" xfId="0" applyNumberFormat="1" applyFont="1" applyFill="1" applyBorder="1" applyAlignment="1" applyProtection="1">
      <alignment vertical="center"/>
    </xf>
    <xf numFmtId="3" fontId="78" fillId="0" borderId="37" xfId="0" applyNumberFormat="1" applyFont="1" applyFill="1" applyBorder="1" applyAlignment="1" applyProtection="1">
      <alignment vertical="center"/>
    </xf>
    <xf numFmtId="9" fontId="78" fillId="0" borderId="58" xfId="0" applyNumberFormat="1" applyFont="1" applyFill="1" applyBorder="1" applyAlignment="1" applyProtection="1">
      <alignment vertical="center"/>
    </xf>
    <xf numFmtId="0" fontId="78" fillId="0" borderId="28" xfId="0" applyNumberFormat="1" applyFont="1" applyFill="1" applyBorder="1" applyAlignment="1" applyProtection="1">
      <alignment vertical="center"/>
    </xf>
    <xf numFmtId="3" fontId="78" fillId="0" borderId="36" xfId="0" applyNumberFormat="1" applyFont="1" applyFill="1" applyBorder="1" applyAlignment="1" applyProtection="1">
      <alignment vertical="center"/>
    </xf>
    <xf numFmtId="0" fontId="78" fillId="0" borderId="59" xfId="0" applyNumberFormat="1" applyFont="1" applyFill="1" applyBorder="1" applyAlignment="1" applyProtection="1">
      <alignment vertical="center"/>
    </xf>
    <xf numFmtId="10" fontId="78" fillId="0" borderId="40" xfId="0" applyNumberFormat="1" applyFont="1" applyFill="1" applyBorder="1" applyAlignment="1" applyProtection="1">
      <alignment vertical="center"/>
    </xf>
    <xf numFmtId="10" fontId="78" fillId="0" borderId="50" xfId="0" applyNumberFormat="1" applyFont="1" applyFill="1" applyBorder="1" applyAlignment="1" applyProtection="1">
      <alignment vertical="center"/>
    </xf>
    <xf numFmtId="10" fontId="78"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8"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8" fillId="0" borderId="27" xfId="0" applyNumberFormat="1" applyFont="1" applyFill="1" applyBorder="1" applyAlignment="1" applyProtection="1">
      <alignment horizontal="left" vertical="center"/>
    </xf>
    <xf numFmtId="1" fontId="78" fillId="0" borderId="26" xfId="0" applyNumberFormat="1" applyFont="1" applyFill="1" applyBorder="1" applyAlignment="1" applyProtection="1">
      <alignment horizontal="center" vertical="center"/>
    </xf>
    <xf numFmtId="1" fontId="78" fillId="0" borderId="61"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vertical="center"/>
    </xf>
    <xf numFmtId="10" fontId="78" fillId="0" borderId="56" xfId="67" applyNumberFormat="1" applyFont="1" applyFill="1" applyBorder="1" applyAlignment="1">
      <alignment vertical="center"/>
    </xf>
    <xf numFmtId="10" fontId="78" fillId="0" borderId="56" xfId="0" applyNumberFormat="1" applyFont="1" applyFill="1" applyBorder="1" applyAlignment="1" applyProtection="1">
      <alignment vertical="center"/>
    </xf>
    <xf numFmtId="0" fontId="78" fillId="0" borderId="25" xfId="0" applyNumberFormat="1" applyFont="1" applyFill="1" applyBorder="1" applyAlignment="1" applyProtection="1">
      <alignment vertical="center"/>
    </xf>
    <xf numFmtId="3" fontId="78" fillId="0" borderId="24" xfId="67" applyNumberFormat="1" applyFont="1" applyFill="1" applyBorder="1" applyAlignment="1">
      <alignment vertical="center"/>
    </xf>
    <xf numFmtId="0" fontId="78" fillId="0" borderId="63" xfId="0" applyNumberFormat="1" applyFont="1" applyFill="1" applyBorder="1" applyAlignment="1" applyProtection="1">
      <alignment vertical="center"/>
    </xf>
    <xf numFmtId="0" fontId="78" fillId="0" borderId="64" xfId="0" applyNumberFormat="1" applyFont="1" applyFill="1" applyBorder="1" applyAlignment="1" applyProtection="1">
      <alignment vertical="center"/>
    </xf>
    <xf numFmtId="0" fontId="75" fillId="0" borderId="27" xfId="0" applyNumberFormat="1" applyFont="1" applyFill="1" applyBorder="1" applyAlignment="1" applyProtection="1">
      <alignment vertical="center"/>
    </xf>
    <xf numFmtId="3" fontId="78" fillId="0" borderId="56" xfId="0" applyNumberFormat="1" applyFont="1" applyFill="1" applyBorder="1" applyAlignment="1" applyProtection="1">
      <alignment vertical="center"/>
    </xf>
    <xf numFmtId="3" fontId="78" fillId="0" borderId="65" xfId="0" applyNumberFormat="1" applyFont="1" applyFill="1" applyBorder="1" applyAlignment="1" applyProtection="1">
      <alignment vertical="center"/>
    </xf>
    <xf numFmtId="3" fontId="78" fillId="0" borderId="24" xfId="0" applyNumberFormat="1" applyFont="1" applyFill="1" applyBorder="1" applyAlignment="1" applyProtection="1">
      <alignment vertical="center"/>
    </xf>
    <xf numFmtId="3" fontId="78"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horizontal="left" vertical="center"/>
    </xf>
    <xf numFmtId="3" fontId="78" fillId="0" borderId="56" xfId="0" applyNumberFormat="1" applyFont="1" applyFill="1" applyBorder="1" applyAlignment="1" applyProtection="1">
      <alignment horizontal="right" vertical="center"/>
    </xf>
    <xf numFmtId="167" fontId="78" fillId="0" borderId="56" xfId="0" applyNumberFormat="1" applyFont="1" applyFill="1" applyBorder="1" applyAlignment="1" applyProtection="1">
      <alignment vertical="center"/>
    </xf>
    <xf numFmtId="0" fontId="75" fillId="0" borderId="62" xfId="0" applyNumberFormat="1" applyFont="1" applyFill="1" applyBorder="1" applyAlignment="1" applyProtection="1">
      <alignment horizontal="left" vertical="center"/>
    </xf>
    <xf numFmtId="180" fontId="74" fillId="0" borderId="56"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xf>
    <xf numFmtId="180" fontId="78" fillId="0" borderId="56" xfId="0" applyNumberFormat="1" applyFont="1" applyFill="1" applyBorder="1" applyAlignment="1" applyProtection="1">
      <alignment vertical="center"/>
    </xf>
    <xf numFmtId="0" fontId="75" fillId="0" borderId="25" xfId="0" applyNumberFormat="1" applyFont="1" applyFill="1" applyBorder="1" applyAlignment="1" applyProtection="1">
      <alignment horizontal="left" vertical="center"/>
    </xf>
    <xf numFmtId="180" fontId="74"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5"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8" fillId="0" borderId="62" xfId="0" applyNumberFormat="1" applyFont="1" applyFill="1" applyBorder="1" applyAlignment="1" applyProtection="1">
      <alignment horizontal="left" vertical="center" wrapText="1"/>
    </xf>
    <xf numFmtId="181" fontId="45" fillId="0" borderId="56" xfId="0" applyNumberFormat="1" applyFont="1" applyFill="1" applyBorder="1" applyAlignment="1" applyProtection="1">
      <alignment horizontal="center"/>
    </xf>
    <xf numFmtId="173" fontId="74" fillId="0" borderId="56" xfId="0" applyNumberFormat="1" applyFont="1" applyFill="1" applyBorder="1" applyAlignment="1" applyProtection="1">
      <alignment horizontal="center" vertical="center"/>
    </xf>
    <xf numFmtId="165" fontId="74" fillId="0" borderId="56" xfId="0" applyNumberFormat="1" applyFont="1" applyFill="1" applyBorder="1" applyAlignment="1" applyProtection="1">
      <alignment horizontal="center" vertical="center"/>
    </xf>
    <xf numFmtId="0" fontId="75" fillId="0" borderId="25" xfId="0" applyNumberFormat="1" applyFont="1" applyFill="1" applyBorder="1" applyAlignment="1" applyProtection="1">
      <alignment vertical="center"/>
    </xf>
    <xf numFmtId="165" fontId="74" fillId="0" borderId="24" xfId="0" applyNumberFormat="1" applyFont="1" applyFill="1" applyBorder="1" applyAlignment="1" applyProtection="1">
      <alignment horizontal="center" vertical="center"/>
    </xf>
    <xf numFmtId="0" fontId="78" fillId="0" borderId="67" xfId="0" applyNumberFormat="1" applyFont="1" applyFill="1" applyBorder="1" applyAlignment="1" applyProtection="1">
      <alignment vertical="center"/>
    </xf>
    <xf numFmtId="174" fontId="78" fillId="0" borderId="0" xfId="0" applyNumberFormat="1" applyFont="1" applyFill="1" applyBorder="1" applyAlignment="1" applyProtection="1">
      <alignment vertical="center"/>
    </xf>
    <xf numFmtId="0" fontId="78" fillId="27" borderId="0"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182" fontId="11" fillId="0" borderId="0" xfId="2" applyNumberFormat="1" applyFont="1" applyFill="1"/>
    <xf numFmtId="0" fontId="49" fillId="0" borderId="0" xfId="1" applyFont="1" applyFill="1" applyAlignment="1">
      <alignment vertical="center"/>
    </xf>
    <xf numFmtId="0" fontId="42" fillId="0" borderId="0" xfId="52" applyFont="1" applyFill="1" applyAlignment="1"/>
    <xf numFmtId="0" fontId="42" fillId="0" borderId="0" xfId="2" applyFont="1" applyFill="1"/>
    <xf numFmtId="4" fontId="67" fillId="0" borderId="0" xfId="0" applyNumberFormat="1" applyFont="1" applyFill="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78" fillId="0" borderId="53" xfId="0" applyNumberFormat="1" applyFont="1" applyFill="1" applyBorder="1" applyAlignment="1" applyProtection="1">
      <alignment horizontal="center" vertical="center"/>
    </xf>
    <xf numFmtId="0" fontId="78" fillId="0" borderId="54" xfId="0" applyNumberFormat="1" applyFont="1" applyFill="1" applyBorder="1" applyAlignment="1" applyProtection="1">
      <alignment horizontal="center" vertical="center"/>
    </xf>
    <xf numFmtId="0" fontId="78" fillId="0" borderId="55"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left" vertical="center" wrapText="1"/>
    </xf>
    <xf numFmtId="0" fontId="76" fillId="0" borderId="0" xfId="0" applyNumberFormat="1" applyFont="1" applyFill="1" applyBorder="1" applyAlignment="1" applyProtection="1">
      <alignment horizontal="center" vertical="center" wrapText="1"/>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9" t="s">
        <v>598</v>
      </c>
      <c r="B5" s="379"/>
      <c r="C5" s="379"/>
      <c r="D5" s="146"/>
      <c r="E5" s="146"/>
      <c r="F5" s="146"/>
      <c r="G5" s="146"/>
      <c r="H5" s="146"/>
      <c r="I5" s="146"/>
      <c r="J5" s="146"/>
    </row>
    <row r="6" spans="1:22" s="15" customFormat="1" ht="18.75" x14ac:dyDescent="0.3">
      <c r="A6" s="182"/>
      <c r="H6" s="181"/>
    </row>
    <row r="7" spans="1:22" s="15" customFormat="1" ht="18.75" x14ac:dyDescent="0.2">
      <c r="A7" s="383" t="s">
        <v>6</v>
      </c>
      <c r="B7" s="383"/>
      <c r="C7" s="383"/>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4" t="s">
        <v>568</v>
      </c>
      <c r="B9" s="384"/>
      <c r="C9" s="384"/>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80" t="s">
        <v>5</v>
      </c>
      <c r="B10" s="380"/>
      <c r="C10" s="380"/>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5" t="s">
        <v>604</v>
      </c>
      <c r="B12" s="385"/>
      <c r="C12" s="385"/>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6" t="s">
        <v>4</v>
      </c>
      <c r="B13" s="386"/>
      <c r="C13" s="386"/>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7" t="s">
        <v>602</v>
      </c>
      <c r="B15" s="388"/>
      <c r="C15" s="388"/>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80" t="s">
        <v>3</v>
      </c>
      <c r="B16" s="380"/>
      <c r="C16" s="380"/>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1" t="s">
        <v>438</v>
      </c>
      <c r="B18" s="382"/>
      <c r="C18" s="382"/>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515</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6"/>
      <c r="B24" s="377"/>
      <c r="C24" s="378"/>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573</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540</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6"/>
      <c r="B39" s="377"/>
      <c r="C39" s="378"/>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29" t="s">
        <v>578</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6"/>
      <c r="B47" s="377"/>
      <c r="C47" s="378"/>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ввод'!K24</f>
        <v>0</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ввод'!K30</f>
        <v>0</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9" t="str">
        <f>'1. паспорт местоположение'!A5:C5</f>
        <v>Год раскрытия информации: 2022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row>
    <row r="5" spans="1:29" ht="18.75" x14ac:dyDescent="0.3">
      <c r="A5" s="57"/>
      <c r="B5" s="57"/>
      <c r="C5" s="57"/>
      <c r="D5" s="57"/>
      <c r="E5" s="57"/>
      <c r="F5" s="57"/>
      <c r="L5" s="57"/>
      <c r="M5" s="57"/>
      <c r="AC5" s="14"/>
    </row>
    <row r="6" spans="1:29" ht="18.75" x14ac:dyDescent="0.25">
      <c r="A6" s="390" t="s">
        <v>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91" t="str">
        <f>'1. паспорт местоположение'!A9:C9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91" t="str">
        <f>'1. паспорт местоположение'!A12:C12</f>
        <v>M  22-19</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91" t="str">
        <f>'1. паспорт местоположение'!A15</f>
        <v>Строительство 2-х КЛ-0,4кВ от ТП-12 до СП-0,4 (Новый), монтаж СП-0,4кВ п.Южный, Багратионовского р-на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95" t="s">
        <v>3</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70" t="s">
        <v>423</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6" t="s">
        <v>183</v>
      </c>
      <c r="B20" s="466" t="s">
        <v>182</v>
      </c>
      <c r="C20" s="464" t="s">
        <v>181</v>
      </c>
      <c r="D20" s="464"/>
      <c r="E20" s="469" t="s">
        <v>180</v>
      </c>
      <c r="F20" s="469"/>
      <c r="G20" s="475" t="s">
        <v>559</v>
      </c>
      <c r="H20" s="457" t="s">
        <v>551</v>
      </c>
      <c r="I20" s="458"/>
      <c r="J20" s="458"/>
      <c r="K20" s="458"/>
      <c r="L20" s="457" t="s">
        <v>552</v>
      </c>
      <c r="M20" s="458"/>
      <c r="N20" s="458"/>
      <c r="O20" s="458"/>
      <c r="P20" s="457" t="s">
        <v>553</v>
      </c>
      <c r="Q20" s="458"/>
      <c r="R20" s="458"/>
      <c r="S20" s="458"/>
      <c r="T20" s="457" t="s">
        <v>554</v>
      </c>
      <c r="U20" s="458"/>
      <c r="V20" s="458"/>
      <c r="W20" s="458"/>
      <c r="X20" s="457" t="s">
        <v>555</v>
      </c>
      <c r="Y20" s="458"/>
      <c r="Z20" s="458"/>
      <c r="AA20" s="458"/>
      <c r="AB20" s="471" t="s">
        <v>179</v>
      </c>
      <c r="AC20" s="472"/>
      <c r="AD20" s="76"/>
      <c r="AE20" s="76"/>
      <c r="AF20" s="76"/>
    </row>
    <row r="21" spans="1:32" ht="99.75" customHeight="1" x14ac:dyDescent="0.25">
      <c r="A21" s="467"/>
      <c r="B21" s="467"/>
      <c r="C21" s="464"/>
      <c r="D21" s="464"/>
      <c r="E21" s="469"/>
      <c r="F21" s="469"/>
      <c r="G21" s="476"/>
      <c r="H21" s="459" t="s">
        <v>1</v>
      </c>
      <c r="I21" s="459"/>
      <c r="J21" s="459" t="s">
        <v>550</v>
      </c>
      <c r="K21" s="459"/>
      <c r="L21" s="459" t="s">
        <v>1</v>
      </c>
      <c r="M21" s="459"/>
      <c r="N21" s="459" t="s">
        <v>550</v>
      </c>
      <c r="O21" s="459"/>
      <c r="P21" s="459" t="s">
        <v>1</v>
      </c>
      <c r="Q21" s="459"/>
      <c r="R21" s="459" t="s">
        <v>178</v>
      </c>
      <c r="S21" s="459"/>
      <c r="T21" s="459" t="s">
        <v>1</v>
      </c>
      <c r="U21" s="459"/>
      <c r="V21" s="459" t="s">
        <v>178</v>
      </c>
      <c r="W21" s="459"/>
      <c r="X21" s="459" t="s">
        <v>1</v>
      </c>
      <c r="Y21" s="459"/>
      <c r="Z21" s="459" t="s">
        <v>178</v>
      </c>
      <c r="AA21" s="459"/>
      <c r="AB21" s="473"/>
      <c r="AC21" s="474"/>
    </row>
    <row r="22" spans="1:32" ht="89.25" customHeight="1" x14ac:dyDescent="0.25">
      <c r="A22" s="468"/>
      <c r="B22" s="468"/>
      <c r="C22" s="205" t="s">
        <v>1</v>
      </c>
      <c r="D22" s="205" t="s">
        <v>178</v>
      </c>
      <c r="E22" s="211" t="s">
        <v>557</v>
      </c>
      <c r="F22" s="75" t="s">
        <v>560</v>
      </c>
      <c r="G22" s="477"/>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62"/>
      <c r="C66" s="462"/>
      <c r="D66" s="462"/>
      <c r="E66" s="462"/>
      <c r="F66" s="462"/>
      <c r="G66" s="462"/>
      <c r="H66" s="462"/>
      <c r="I66" s="462"/>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63"/>
      <c r="C68" s="463"/>
      <c r="D68" s="463"/>
      <c r="E68" s="463"/>
      <c r="F68" s="463"/>
      <c r="G68" s="463"/>
      <c r="H68" s="463"/>
      <c r="I68" s="463"/>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62"/>
      <c r="C70" s="462"/>
      <c r="D70" s="462"/>
      <c r="E70" s="462"/>
      <c r="F70" s="462"/>
      <c r="G70" s="462"/>
      <c r="H70" s="462"/>
      <c r="I70" s="462"/>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62"/>
      <c r="C72" s="462"/>
      <c r="D72" s="462"/>
      <c r="E72" s="462"/>
      <c r="F72" s="462"/>
      <c r="G72" s="462"/>
      <c r="H72" s="462"/>
      <c r="I72" s="462"/>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63"/>
      <c r="C73" s="463"/>
      <c r="D73" s="463"/>
      <c r="E73" s="463"/>
      <c r="F73" s="463"/>
      <c r="G73" s="463"/>
      <c r="H73" s="463"/>
      <c r="I73" s="463"/>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62"/>
      <c r="C74" s="462"/>
      <c r="D74" s="462"/>
      <c r="E74" s="462"/>
      <c r="F74" s="462"/>
      <c r="G74" s="462"/>
      <c r="H74" s="462"/>
      <c r="I74" s="462"/>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60"/>
      <c r="C75" s="460"/>
      <c r="D75" s="460"/>
      <c r="E75" s="460"/>
      <c r="F75" s="460"/>
      <c r="G75" s="460"/>
      <c r="H75" s="460"/>
      <c r="I75" s="460"/>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61"/>
      <c r="C77" s="461"/>
      <c r="D77" s="461"/>
      <c r="E77" s="461"/>
      <c r="F77" s="461"/>
      <c r="G77" s="461"/>
      <c r="H77" s="461"/>
      <c r="I77" s="461"/>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topLeftCell="A7" zoomScale="70" zoomScaleNormal="70" zoomScaleSheetLayoutView="70" workbookViewId="0">
      <selection activeCell="S43" sqref="S43"/>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14.28515625" style="57" customWidth="1"/>
    <col min="7" max="7" width="12" style="57" customWidth="1"/>
    <col min="8" max="8" width="12" style="57" hidden="1" customWidth="1"/>
    <col min="9" max="16" width="9.28515625" style="57" customWidth="1"/>
    <col min="17" max="17" width="6" style="57" customWidth="1"/>
    <col min="18" max="18" width="8" style="57" customWidth="1"/>
    <col min="19" max="19" width="11.85546875" style="57" customWidth="1"/>
    <col min="20"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17"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9" t="str">
        <f>'6.1. Паспорт сетевой график'!A5:K5</f>
        <v>Год раскрытия информации: 2022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row>
    <row r="5" spans="1:30" ht="18.75" x14ac:dyDescent="0.3">
      <c r="AD5" s="181"/>
    </row>
    <row r="6" spans="1:30"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c r="AD6" s="483"/>
    </row>
    <row r="7" spans="1:30" ht="18.75" x14ac:dyDescent="0.25">
      <c r="A7" s="370"/>
      <c r="B7" s="370"/>
      <c r="C7" s="370"/>
      <c r="D7" s="370"/>
      <c r="E7" s="370"/>
      <c r="F7" s="370"/>
      <c r="G7" s="370"/>
      <c r="H7" s="370"/>
      <c r="I7" s="233"/>
      <c r="J7" s="233"/>
      <c r="K7" s="233"/>
      <c r="L7" s="233"/>
      <c r="M7" s="233"/>
      <c r="N7" s="233"/>
      <c r="O7" s="233"/>
      <c r="P7" s="233"/>
      <c r="Q7" s="233"/>
      <c r="R7" s="233"/>
      <c r="S7" s="233"/>
      <c r="T7" s="233"/>
      <c r="U7" s="233"/>
      <c r="V7" s="233"/>
      <c r="W7" s="233"/>
      <c r="X7" s="233"/>
      <c r="Y7" s="233"/>
      <c r="Z7" s="233"/>
      <c r="AA7" s="233"/>
      <c r="AB7" s="233"/>
      <c r="AC7" s="233"/>
      <c r="AD7" s="233"/>
    </row>
    <row r="8" spans="1:30" x14ac:dyDescent="0.25">
      <c r="A8" s="484" t="str">
        <f>'6.1. Паспорт сетевой график'!A9</f>
        <v xml:space="preserve">Акционерное общество "Западная энергетическая компания" </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c r="AD8" s="484"/>
    </row>
    <row r="9" spans="1:30" ht="18.75" customHeight="1" x14ac:dyDescent="0.25">
      <c r="A9" s="386" t="s">
        <v>5</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row>
    <row r="10" spans="1:30" ht="18.75" x14ac:dyDescent="0.25">
      <c r="A10" s="370"/>
      <c r="B10" s="370"/>
      <c r="C10" s="370"/>
      <c r="D10" s="370"/>
      <c r="E10" s="370"/>
      <c r="F10" s="370"/>
      <c r="G10" s="370"/>
      <c r="H10" s="370"/>
      <c r="I10" s="233"/>
      <c r="J10" s="233"/>
      <c r="K10" s="233"/>
      <c r="L10" s="233"/>
      <c r="M10" s="233"/>
      <c r="N10" s="233"/>
      <c r="O10" s="233"/>
      <c r="P10" s="233"/>
      <c r="Q10" s="233"/>
      <c r="R10" s="233"/>
      <c r="S10" s="233"/>
      <c r="T10" s="233"/>
      <c r="U10" s="233"/>
      <c r="V10" s="233"/>
      <c r="W10" s="233"/>
      <c r="X10" s="233"/>
      <c r="Y10" s="233"/>
      <c r="Z10" s="233"/>
      <c r="AA10" s="233"/>
      <c r="AB10" s="233"/>
      <c r="AC10" s="233"/>
      <c r="AD10" s="233"/>
    </row>
    <row r="11" spans="1:30" x14ac:dyDescent="0.25">
      <c r="A11" s="484" t="str">
        <f>'6.1. Паспорт сетевой график'!A12</f>
        <v>M  22-19</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c r="AD11" s="484"/>
    </row>
    <row r="12" spans="1:30" x14ac:dyDescent="0.25">
      <c r="A12" s="386" t="s">
        <v>4</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row>
    <row r="13" spans="1:30" ht="16.5" customHeight="1" x14ac:dyDescent="0.3">
      <c r="A13" s="234"/>
      <c r="B13" s="234"/>
      <c r="C13" s="234"/>
      <c r="D13" s="234"/>
      <c r="E13" s="234"/>
      <c r="F13" s="234"/>
      <c r="G13" s="234"/>
      <c r="H13" s="234"/>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8" t="str">
        <f>'6.1. Паспорт сетевой график'!A15</f>
        <v>Строительство 2-х КЛ-0,4кВ от ТП-12 до СП-0,4 (Новый), монтаж СП-0,4кВ п.Южный, Багратионовского р-на</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row>
    <row r="15" spans="1:30" ht="15.75" customHeight="1" x14ac:dyDescent="0.25">
      <c r="A15" s="386" t="s">
        <v>3</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row>
    <row r="16" spans="1:30"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row>
    <row r="17" spans="1:33" x14ac:dyDescent="0.25">
      <c r="Q17" s="369"/>
    </row>
    <row r="18" spans="1:33" x14ac:dyDescent="0.25">
      <c r="A18" s="470" t="s">
        <v>423</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row>
    <row r="20" spans="1:33" ht="33" customHeight="1" x14ac:dyDescent="0.25">
      <c r="A20" s="466" t="s">
        <v>183</v>
      </c>
      <c r="B20" s="466" t="s">
        <v>182</v>
      </c>
      <c r="C20" s="481" t="s">
        <v>181</v>
      </c>
      <c r="D20" s="481"/>
      <c r="E20" s="482" t="s">
        <v>180</v>
      </c>
      <c r="F20" s="482"/>
      <c r="G20" s="466" t="s">
        <v>577</v>
      </c>
      <c r="H20" s="466" t="s">
        <v>574</v>
      </c>
      <c r="I20" s="478">
        <v>2020</v>
      </c>
      <c r="J20" s="479"/>
      <c r="K20" s="479"/>
      <c r="L20" s="479"/>
      <c r="M20" s="478">
        <v>2021</v>
      </c>
      <c r="N20" s="479"/>
      <c r="O20" s="479"/>
      <c r="P20" s="479"/>
      <c r="Q20" s="478">
        <v>2022</v>
      </c>
      <c r="R20" s="479"/>
      <c r="S20" s="479"/>
      <c r="T20" s="479"/>
      <c r="U20" s="478">
        <v>2023</v>
      </c>
      <c r="V20" s="479"/>
      <c r="W20" s="479"/>
      <c r="X20" s="479"/>
      <c r="Y20" s="478">
        <v>2024</v>
      </c>
      <c r="Z20" s="479"/>
      <c r="AA20" s="479"/>
      <c r="AB20" s="479"/>
      <c r="AC20" s="480" t="s">
        <v>179</v>
      </c>
      <c r="AD20" s="480"/>
      <c r="AE20" s="371"/>
      <c r="AF20" s="371"/>
      <c r="AG20" s="371"/>
    </row>
    <row r="21" spans="1:33" ht="99.75" customHeight="1" x14ac:dyDescent="0.25">
      <c r="A21" s="467"/>
      <c r="B21" s="467"/>
      <c r="C21" s="481"/>
      <c r="D21" s="481"/>
      <c r="E21" s="482"/>
      <c r="F21" s="482"/>
      <c r="G21" s="467"/>
      <c r="H21" s="467"/>
      <c r="I21" s="481" t="s">
        <v>570</v>
      </c>
      <c r="J21" s="481"/>
      <c r="K21" s="481" t="s">
        <v>597</v>
      </c>
      <c r="L21" s="481"/>
      <c r="M21" s="481" t="s">
        <v>571</v>
      </c>
      <c r="N21" s="481"/>
      <c r="O21" s="481" t="s">
        <v>597</v>
      </c>
      <c r="P21" s="481"/>
      <c r="Q21" s="481" t="s">
        <v>1</v>
      </c>
      <c r="R21" s="481"/>
      <c r="S21" s="481" t="s">
        <v>178</v>
      </c>
      <c r="T21" s="481"/>
      <c r="U21" s="481" t="s">
        <v>1</v>
      </c>
      <c r="V21" s="481"/>
      <c r="W21" s="481" t="s">
        <v>178</v>
      </c>
      <c r="X21" s="481"/>
      <c r="Y21" s="481" t="s">
        <v>1</v>
      </c>
      <c r="Z21" s="481"/>
      <c r="AA21" s="481" t="s">
        <v>178</v>
      </c>
      <c r="AB21" s="481"/>
      <c r="AC21" s="480"/>
      <c r="AD21" s="480"/>
    </row>
    <row r="22" spans="1:33" ht="89.25" customHeight="1" x14ac:dyDescent="0.25">
      <c r="A22" s="468"/>
      <c r="B22" s="468"/>
      <c r="C22" s="363" t="s">
        <v>1</v>
      </c>
      <c r="D22" s="363" t="s">
        <v>178</v>
      </c>
      <c r="E22" s="75" t="s">
        <v>569</v>
      </c>
      <c r="F22" s="75" t="s">
        <v>600</v>
      </c>
      <c r="G22" s="468"/>
      <c r="H22" s="468"/>
      <c r="I22" s="235" t="s">
        <v>404</v>
      </c>
      <c r="J22" s="235" t="s">
        <v>405</v>
      </c>
      <c r="K22" s="235" t="s">
        <v>404</v>
      </c>
      <c r="L22" s="235" t="s">
        <v>405</v>
      </c>
      <c r="M22" s="235" t="s">
        <v>404</v>
      </c>
      <c r="N22" s="235" t="s">
        <v>405</v>
      </c>
      <c r="O22" s="235" t="s">
        <v>404</v>
      </c>
      <c r="P22" s="235" t="s">
        <v>405</v>
      </c>
      <c r="Q22" s="235" t="s">
        <v>404</v>
      </c>
      <c r="R22" s="235" t="s">
        <v>405</v>
      </c>
      <c r="S22" s="235" t="s">
        <v>404</v>
      </c>
      <c r="T22" s="235" t="s">
        <v>405</v>
      </c>
      <c r="U22" s="235" t="s">
        <v>404</v>
      </c>
      <c r="V22" s="235" t="s">
        <v>405</v>
      </c>
      <c r="W22" s="235" t="s">
        <v>404</v>
      </c>
      <c r="X22" s="235" t="s">
        <v>405</v>
      </c>
      <c r="Y22" s="235" t="s">
        <v>404</v>
      </c>
      <c r="Z22" s="235" t="s">
        <v>405</v>
      </c>
      <c r="AA22" s="235" t="s">
        <v>404</v>
      </c>
      <c r="AB22" s="235" t="s">
        <v>405</v>
      </c>
      <c r="AC22" s="363" t="s">
        <v>1</v>
      </c>
      <c r="AD22" s="363" t="s">
        <v>563</v>
      </c>
    </row>
    <row r="23" spans="1:33" ht="19.5" customHeight="1" x14ac:dyDescent="0.25">
      <c r="A23" s="368">
        <v>1</v>
      </c>
      <c r="B23" s="368">
        <v>2</v>
      </c>
      <c r="C23" s="368">
        <v>3</v>
      </c>
      <c r="D23" s="368">
        <v>4</v>
      </c>
      <c r="E23" s="368">
        <v>5</v>
      </c>
      <c r="F23" s="368">
        <v>6</v>
      </c>
      <c r="G23" s="368">
        <v>16</v>
      </c>
      <c r="H23" s="368">
        <v>7</v>
      </c>
      <c r="I23" s="368">
        <v>8</v>
      </c>
      <c r="J23" s="368">
        <v>9</v>
      </c>
      <c r="K23" s="368">
        <v>10</v>
      </c>
      <c r="L23" s="368">
        <v>11</v>
      </c>
      <c r="M23" s="368">
        <v>12</v>
      </c>
      <c r="N23" s="368">
        <v>13</v>
      </c>
      <c r="O23" s="368">
        <v>14</v>
      </c>
      <c r="P23" s="368">
        <v>15</v>
      </c>
      <c r="Q23" s="368">
        <v>16</v>
      </c>
      <c r="R23" s="368">
        <v>17</v>
      </c>
      <c r="S23" s="368">
        <v>18</v>
      </c>
      <c r="T23" s="368">
        <v>19</v>
      </c>
      <c r="U23" s="368">
        <v>20</v>
      </c>
      <c r="V23" s="368">
        <v>21</v>
      </c>
      <c r="W23" s="368">
        <v>22</v>
      </c>
      <c r="X23" s="368">
        <v>23</v>
      </c>
      <c r="Y23" s="368">
        <v>24</v>
      </c>
      <c r="Z23" s="368">
        <v>25</v>
      </c>
      <c r="AA23" s="368">
        <v>26</v>
      </c>
      <c r="AB23" s="368">
        <v>27</v>
      </c>
      <c r="AC23" s="368">
        <v>28</v>
      </c>
      <c r="AD23" s="368">
        <v>29</v>
      </c>
    </row>
    <row r="24" spans="1:33" ht="47.25" customHeight="1" x14ac:dyDescent="0.25">
      <c r="A24" s="236">
        <v>1</v>
      </c>
      <c r="B24" s="237" t="s">
        <v>177</v>
      </c>
      <c r="C24" s="238" t="s">
        <v>556</v>
      </c>
      <c r="D24" s="238">
        <f>SUM(D25:D29)</f>
        <v>2.7959999999999998</v>
      </c>
      <c r="E24" s="238">
        <f>D24</f>
        <v>2.7959999999999998</v>
      </c>
      <c r="F24" s="238">
        <f>D24-L24-G24-O24</f>
        <v>2.7959999999999998</v>
      </c>
      <c r="G24" s="238">
        <f>'6.2. Паспорт фин осв ввод утв'!P24</f>
        <v>0</v>
      </c>
      <c r="H24" s="238">
        <f>G24</f>
        <v>0</v>
      </c>
      <c r="I24" s="238" t="s">
        <v>556</v>
      </c>
      <c r="J24" s="238" t="s">
        <v>556</v>
      </c>
      <c r="K24" s="238">
        <v>0</v>
      </c>
      <c r="L24" s="238">
        <v>0</v>
      </c>
      <c r="M24" s="238" t="s">
        <v>556</v>
      </c>
      <c r="N24" s="238" t="s">
        <v>556</v>
      </c>
      <c r="O24" s="238">
        <v>0</v>
      </c>
      <c r="P24" s="238">
        <f t="shared" ref="P24" si="0">SUM(P25:P29)</f>
        <v>0</v>
      </c>
      <c r="Q24" s="238" t="s">
        <v>556</v>
      </c>
      <c r="R24" s="238" t="s">
        <v>556</v>
      </c>
      <c r="S24" s="238">
        <f>D24</f>
        <v>2.7959999999999998</v>
      </c>
      <c r="T24" s="238">
        <f t="shared" ref="T24" si="1">SUM(T25:T29)</f>
        <v>0</v>
      </c>
      <c r="U24" s="238" t="s">
        <v>556</v>
      </c>
      <c r="V24" s="238" t="s">
        <v>556</v>
      </c>
      <c r="W24" s="238">
        <v>0</v>
      </c>
      <c r="X24" s="238">
        <f t="shared" ref="X24" si="2">SUM(X25:X29)</f>
        <v>0</v>
      </c>
      <c r="Y24" s="238" t="s">
        <v>556</v>
      </c>
      <c r="Z24" s="238" t="s">
        <v>556</v>
      </c>
      <c r="AA24" s="238">
        <v>0</v>
      </c>
      <c r="AB24" s="238">
        <f t="shared" ref="AB24" si="3">SUM(AB25:AB29)</f>
        <v>0</v>
      </c>
      <c r="AC24" s="238" t="s">
        <v>556</v>
      </c>
      <c r="AD24" s="245">
        <f>SUM(AA24,W24,S24,O24,K24)</f>
        <v>2.7959999999999998</v>
      </c>
    </row>
    <row r="25" spans="1:33" ht="24" customHeight="1" x14ac:dyDescent="0.25">
      <c r="A25" s="239" t="s">
        <v>176</v>
      </c>
      <c r="B25" s="240" t="s">
        <v>175</v>
      </c>
      <c r="C25" s="238" t="s">
        <v>556</v>
      </c>
      <c r="D25" s="238">
        <f t="shared" ref="D25:D64" si="4">S25</f>
        <v>0</v>
      </c>
      <c r="E25" s="238">
        <f t="shared" ref="E25:E64" si="5">D25</f>
        <v>0</v>
      </c>
      <c r="F25" s="238">
        <f t="shared" ref="F25:F64" si="6">D25-L25-G25-O25</f>
        <v>0</v>
      </c>
      <c r="G25" s="241">
        <f>'6.2. Паспорт фин осв ввод утв'!P25</f>
        <v>0</v>
      </c>
      <c r="H25" s="241">
        <f t="shared" ref="H25:H64" si="7">G25</f>
        <v>0</v>
      </c>
      <c r="I25" s="238" t="s">
        <v>556</v>
      </c>
      <c r="J25" s="238" t="s">
        <v>556</v>
      </c>
      <c r="K25" s="238">
        <v>0</v>
      </c>
      <c r="L25" s="238">
        <v>0</v>
      </c>
      <c r="M25" s="238" t="s">
        <v>556</v>
      </c>
      <c r="N25" s="241" t="s">
        <v>556</v>
      </c>
      <c r="O25" s="238">
        <v>0</v>
      </c>
      <c r="P25" s="241">
        <v>0</v>
      </c>
      <c r="Q25" s="241" t="s">
        <v>556</v>
      </c>
      <c r="R25" s="241" t="s">
        <v>556</v>
      </c>
      <c r="S25" s="238">
        <v>0</v>
      </c>
      <c r="T25" s="241">
        <v>0</v>
      </c>
      <c r="U25" s="238" t="s">
        <v>556</v>
      </c>
      <c r="V25" s="241" t="s">
        <v>556</v>
      </c>
      <c r="W25" s="238">
        <v>0</v>
      </c>
      <c r="X25" s="241">
        <v>0</v>
      </c>
      <c r="Y25" s="238" t="s">
        <v>556</v>
      </c>
      <c r="Z25" s="241" t="s">
        <v>556</v>
      </c>
      <c r="AA25" s="238">
        <v>0</v>
      </c>
      <c r="AB25" s="241">
        <v>0</v>
      </c>
      <c r="AC25" s="238" t="s">
        <v>556</v>
      </c>
      <c r="AD25" s="245">
        <f t="shared" ref="AD25:AD64" si="8">SUM(AA25,W25,S25,O25,K25)</f>
        <v>0</v>
      </c>
    </row>
    <row r="26" spans="1:33" x14ac:dyDescent="0.25">
      <c r="A26" s="239" t="s">
        <v>174</v>
      </c>
      <c r="B26" s="240" t="s">
        <v>173</v>
      </c>
      <c r="C26" s="238" t="s">
        <v>556</v>
      </c>
      <c r="D26" s="238">
        <f t="shared" si="4"/>
        <v>0</v>
      </c>
      <c r="E26" s="238">
        <f t="shared" si="5"/>
        <v>0</v>
      </c>
      <c r="F26" s="238">
        <f t="shared" si="6"/>
        <v>0</v>
      </c>
      <c r="G26" s="241">
        <f>'6.2. Паспорт фин осв ввод утв'!P26</f>
        <v>0</v>
      </c>
      <c r="H26" s="241">
        <f t="shared" si="7"/>
        <v>0</v>
      </c>
      <c r="I26" s="238" t="s">
        <v>556</v>
      </c>
      <c r="J26" s="238" t="s">
        <v>556</v>
      </c>
      <c r="K26" s="238">
        <v>0</v>
      </c>
      <c r="L26" s="238">
        <v>0</v>
      </c>
      <c r="M26" s="238" t="s">
        <v>556</v>
      </c>
      <c r="N26" s="241" t="s">
        <v>556</v>
      </c>
      <c r="O26" s="238">
        <v>0</v>
      </c>
      <c r="P26" s="241">
        <v>0</v>
      </c>
      <c r="Q26" s="241" t="s">
        <v>556</v>
      </c>
      <c r="R26" s="241" t="s">
        <v>556</v>
      </c>
      <c r="S26" s="238">
        <v>0</v>
      </c>
      <c r="T26" s="241">
        <v>0</v>
      </c>
      <c r="U26" s="238" t="s">
        <v>556</v>
      </c>
      <c r="V26" s="241" t="s">
        <v>556</v>
      </c>
      <c r="W26" s="238">
        <v>0</v>
      </c>
      <c r="X26" s="241">
        <v>0</v>
      </c>
      <c r="Y26" s="238" t="s">
        <v>556</v>
      </c>
      <c r="Z26" s="241" t="s">
        <v>556</v>
      </c>
      <c r="AA26" s="238">
        <v>0</v>
      </c>
      <c r="AB26" s="241">
        <v>0</v>
      </c>
      <c r="AC26" s="238" t="s">
        <v>556</v>
      </c>
      <c r="AD26" s="245">
        <f t="shared" si="8"/>
        <v>0</v>
      </c>
    </row>
    <row r="27" spans="1:33" ht="31.5" x14ac:dyDescent="0.25">
      <c r="A27" s="239" t="s">
        <v>172</v>
      </c>
      <c r="B27" s="240" t="s">
        <v>360</v>
      </c>
      <c r="C27" s="238" t="s">
        <v>556</v>
      </c>
      <c r="D27" s="238">
        <f>D30*1.2</f>
        <v>2.7959999999999998</v>
      </c>
      <c r="E27" s="238">
        <f t="shared" si="5"/>
        <v>2.7959999999999998</v>
      </c>
      <c r="F27" s="238">
        <f t="shared" si="6"/>
        <v>2.7959999999999998</v>
      </c>
      <c r="G27" s="241">
        <f>'6.2. Паспорт фин осв ввод утв'!P27</f>
        <v>0</v>
      </c>
      <c r="H27" s="241">
        <f t="shared" si="7"/>
        <v>0</v>
      </c>
      <c r="I27" s="238" t="s">
        <v>556</v>
      </c>
      <c r="J27" s="238" t="s">
        <v>556</v>
      </c>
      <c r="K27" s="238">
        <v>0</v>
      </c>
      <c r="L27" s="238">
        <v>0</v>
      </c>
      <c r="M27" s="238" t="s">
        <v>556</v>
      </c>
      <c r="N27" s="241" t="s">
        <v>556</v>
      </c>
      <c r="O27" s="238">
        <v>0</v>
      </c>
      <c r="P27" s="241">
        <v>0</v>
      </c>
      <c r="Q27" s="241" t="s">
        <v>556</v>
      </c>
      <c r="R27" s="241" t="s">
        <v>556</v>
      </c>
      <c r="S27" s="238">
        <f>S24</f>
        <v>2.7959999999999998</v>
      </c>
      <c r="T27" s="241">
        <v>0</v>
      </c>
      <c r="U27" s="238" t="s">
        <v>556</v>
      </c>
      <c r="V27" s="241" t="s">
        <v>556</v>
      </c>
      <c r="W27" s="238">
        <v>0</v>
      </c>
      <c r="X27" s="241">
        <v>0</v>
      </c>
      <c r="Y27" s="238" t="s">
        <v>556</v>
      </c>
      <c r="Z27" s="241" t="s">
        <v>556</v>
      </c>
      <c r="AA27" s="238">
        <v>0</v>
      </c>
      <c r="AB27" s="241">
        <v>0</v>
      </c>
      <c r="AC27" s="238" t="s">
        <v>556</v>
      </c>
      <c r="AD27" s="245">
        <f t="shared" si="8"/>
        <v>2.7959999999999998</v>
      </c>
    </row>
    <row r="28" spans="1:33" x14ac:dyDescent="0.25">
      <c r="A28" s="239" t="s">
        <v>171</v>
      </c>
      <c r="B28" s="240" t="s">
        <v>564</v>
      </c>
      <c r="C28" s="238" t="s">
        <v>556</v>
      </c>
      <c r="D28" s="238">
        <f t="shared" si="4"/>
        <v>0</v>
      </c>
      <c r="E28" s="238">
        <f t="shared" si="5"/>
        <v>0</v>
      </c>
      <c r="F28" s="238">
        <f t="shared" si="6"/>
        <v>0</v>
      </c>
      <c r="G28" s="241">
        <f>'6.2. Паспорт фин осв ввод утв'!P28</f>
        <v>0</v>
      </c>
      <c r="H28" s="241">
        <f t="shared" si="7"/>
        <v>0</v>
      </c>
      <c r="I28" s="238" t="s">
        <v>556</v>
      </c>
      <c r="J28" s="238" t="s">
        <v>556</v>
      </c>
      <c r="K28" s="238">
        <v>0</v>
      </c>
      <c r="L28" s="238">
        <v>0</v>
      </c>
      <c r="M28" s="238" t="s">
        <v>556</v>
      </c>
      <c r="N28" s="241" t="s">
        <v>556</v>
      </c>
      <c r="O28" s="238">
        <v>0</v>
      </c>
      <c r="P28" s="241">
        <v>0</v>
      </c>
      <c r="Q28" s="241" t="s">
        <v>556</v>
      </c>
      <c r="R28" s="241" t="s">
        <v>556</v>
      </c>
      <c r="S28" s="238">
        <v>0</v>
      </c>
      <c r="T28" s="241">
        <v>0</v>
      </c>
      <c r="U28" s="238" t="s">
        <v>556</v>
      </c>
      <c r="V28" s="241" t="s">
        <v>556</v>
      </c>
      <c r="W28" s="238">
        <v>0</v>
      </c>
      <c r="X28" s="241">
        <v>0</v>
      </c>
      <c r="Y28" s="238" t="s">
        <v>556</v>
      </c>
      <c r="Z28" s="241" t="s">
        <v>556</v>
      </c>
      <c r="AA28" s="238">
        <v>0</v>
      </c>
      <c r="AB28" s="241">
        <v>0</v>
      </c>
      <c r="AC28" s="238" t="s">
        <v>556</v>
      </c>
      <c r="AD28" s="245">
        <f t="shared" si="8"/>
        <v>0</v>
      </c>
    </row>
    <row r="29" spans="1:33" x14ac:dyDescent="0.25">
      <c r="A29" s="239" t="s">
        <v>169</v>
      </c>
      <c r="B29" s="74" t="s">
        <v>168</v>
      </c>
      <c r="C29" s="238" t="s">
        <v>556</v>
      </c>
      <c r="D29" s="238">
        <f t="shared" si="4"/>
        <v>0</v>
      </c>
      <c r="E29" s="238">
        <f t="shared" si="5"/>
        <v>0</v>
      </c>
      <c r="F29" s="238">
        <f t="shared" si="6"/>
        <v>0</v>
      </c>
      <c r="G29" s="241">
        <f>'6.2. Паспорт фин осв ввод утв'!P29</f>
        <v>0</v>
      </c>
      <c r="H29" s="241">
        <f t="shared" si="7"/>
        <v>0</v>
      </c>
      <c r="I29" s="238" t="s">
        <v>556</v>
      </c>
      <c r="J29" s="238" t="s">
        <v>556</v>
      </c>
      <c r="K29" s="238">
        <v>0</v>
      </c>
      <c r="L29" s="238">
        <v>0</v>
      </c>
      <c r="M29" s="238" t="s">
        <v>556</v>
      </c>
      <c r="N29" s="241" t="s">
        <v>556</v>
      </c>
      <c r="O29" s="238">
        <v>0</v>
      </c>
      <c r="P29" s="241">
        <v>0</v>
      </c>
      <c r="Q29" s="241" t="s">
        <v>556</v>
      </c>
      <c r="R29" s="241" t="s">
        <v>556</v>
      </c>
      <c r="S29" s="238">
        <v>0</v>
      </c>
      <c r="T29" s="241">
        <v>0</v>
      </c>
      <c r="U29" s="238" t="s">
        <v>556</v>
      </c>
      <c r="V29" s="241" t="s">
        <v>556</v>
      </c>
      <c r="W29" s="238">
        <v>0</v>
      </c>
      <c r="X29" s="241">
        <v>0</v>
      </c>
      <c r="Y29" s="238" t="s">
        <v>556</v>
      </c>
      <c r="Z29" s="241" t="s">
        <v>556</v>
      </c>
      <c r="AA29" s="238">
        <v>0</v>
      </c>
      <c r="AB29" s="241">
        <v>0</v>
      </c>
      <c r="AC29" s="238" t="s">
        <v>556</v>
      </c>
      <c r="AD29" s="245">
        <f t="shared" si="8"/>
        <v>0</v>
      </c>
    </row>
    <row r="30" spans="1:33" s="372" customFormat="1" ht="47.25" x14ac:dyDescent="0.25">
      <c r="A30" s="236" t="s">
        <v>60</v>
      </c>
      <c r="B30" s="237" t="s">
        <v>167</v>
      </c>
      <c r="C30" s="238" t="s">
        <v>556</v>
      </c>
      <c r="D30" s="238">
        <f>SUM(D31:D34)</f>
        <v>2.33</v>
      </c>
      <c r="E30" s="238">
        <f t="shared" si="5"/>
        <v>2.33</v>
      </c>
      <c r="F30" s="238">
        <f t="shared" si="6"/>
        <v>2.33</v>
      </c>
      <c r="G30" s="238">
        <f>'6.2. Паспорт фин осв ввод утв'!P30</f>
        <v>0</v>
      </c>
      <c r="H30" s="238">
        <f t="shared" si="7"/>
        <v>0</v>
      </c>
      <c r="I30" s="238" t="s">
        <v>556</v>
      </c>
      <c r="J30" s="238" t="s">
        <v>556</v>
      </c>
      <c r="K30" s="238">
        <v>0</v>
      </c>
      <c r="L30" s="238">
        <v>0</v>
      </c>
      <c r="M30" s="238" t="s">
        <v>556</v>
      </c>
      <c r="N30" s="238" t="s">
        <v>556</v>
      </c>
      <c r="O30" s="238">
        <v>0</v>
      </c>
      <c r="P30" s="238">
        <v>0</v>
      </c>
      <c r="Q30" s="238" t="s">
        <v>556</v>
      </c>
      <c r="R30" s="238" t="s">
        <v>556</v>
      </c>
      <c r="S30" s="238">
        <f>D30</f>
        <v>2.33</v>
      </c>
      <c r="T30" s="238">
        <v>0</v>
      </c>
      <c r="U30" s="238" t="s">
        <v>556</v>
      </c>
      <c r="V30" s="238" t="s">
        <v>556</v>
      </c>
      <c r="W30" s="238">
        <v>0</v>
      </c>
      <c r="X30" s="238">
        <v>0</v>
      </c>
      <c r="Y30" s="238" t="s">
        <v>556</v>
      </c>
      <c r="Z30" s="238" t="s">
        <v>556</v>
      </c>
      <c r="AA30" s="238">
        <v>0</v>
      </c>
      <c r="AB30" s="238">
        <v>0</v>
      </c>
      <c r="AC30" s="238" t="s">
        <v>556</v>
      </c>
      <c r="AD30" s="245">
        <f t="shared" si="8"/>
        <v>2.33</v>
      </c>
    </row>
    <row r="31" spans="1:33" x14ac:dyDescent="0.25">
      <c r="A31" s="236" t="s">
        <v>166</v>
      </c>
      <c r="B31" s="240" t="s">
        <v>165</v>
      </c>
      <c r="C31" s="238" t="s">
        <v>556</v>
      </c>
      <c r="D31" s="238">
        <f t="shared" si="4"/>
        <v>0</v>
      </c>
      <c r="E31" s="238">
        <f t="shared" si="5"/>
        <v>0</v>
      </c>
      <c r="F31" s="238">
        <f t="shared" si="6"/>
        <v>0</v>
      </c>
      <c r="G31" s="241">
        <f>'6.2. Паспорт фин осв ввод утв'!P31</f>
        <v>0</v>
      </c>
      <c r="H31" s="241">
        <f t="shared" si="7"/>
        <v>0</v>
      </c>
      <c r="I31" s="238" t="s">
        <v>556</v>
      </c>
      <c r="J31" s="238" t="s">
        <v>556</v>
      </c>
      <c r="K31" s="238">
        <v>0</v>
      </c>
      <c r="L31" s="238">
        <v>0</v>
      </c>
      <c r="M31" s="238" t="s">
        <v>556</v>
      </c>
      <c r="N31" s="241" t="s">
        <v>556</v>
      </c>
      <c r="O31" s="238">
        <v>0</v>
      </c>
      <c r="P31" s="241">
        <v>0</v>
      </c>
      <c r="Q31" s="241" t="s">
        <v>556</v>
      </c>
      <c r="R31" s="241" t="s">
        <v>556</v>
      </c>
      <c r="S31" s="238">
        <v>0</v>
      </c>
      <c r="T31" s="241">
        <v>0</v>
      </c>
      <c r="U31" s="238" t="s">
        <v>556</v>
      </c>
      <c r="V31" s="241" t="s">
        <v>556</v>
      </c>
      <c r="W31" s="238">
        <v>0</v>
      </c>
      <c r="X31" s="241">
        <v>0</v>
      </c>
      <c r="Y31" s="238" t="s">
        <v>556</v>
      </c>
      <c r="Z31" s="241" t="s">
        <v>556</v>
      </c>
      <c r="AA31" s="238">
        <v>0</v>
      </c>
      <c r="AB31" s="241">
        <v>0</v>
      </c>
      <c r="AC31" s="238" t="s">
        <v>556</v>
      </c>
      <c r="AD31" s="245">
        <f t="shared" si="8"/>
        <v>0</v>
      </c>
    </row>
    <row r="32" spans="1:33" ht="31.5" x14ac:dyDescent="0.25">
      <c r="A32" s="236" t="s">
        <v>164</v>
      </c>
      <c r="B32" s="240" t="s">
        <v>163</v>
      </c>
      <c r="C32" s="238" t="s">
        <v>556</v>
      </c>
      <c r="D32" s="238">
        <v>1.33</v>
      </c>
      <c r="E32" s="238">
        <f t="shared" si="5"/>
        <v>1.33</v>
      </c>
      <c r="F32" s="238">
        <f t="shared" si="6"/>
        <v>1.33</v>
      </c>
      <c r="G32" s="241">
        <f>'6.2. Паспорт фин осв ввод утв'!P32</f>
        <v>0</v>
      </c>
      <c r="H32" s="241">
        <f t="shared" si="7"/>
        <v>0</v>
      </c>
      <c r="I32" s="238" t="s">
        <v>556</v>
      </c>
      <c r="J32" s="238" t="s">
        <v>556</v>
      </c>
      <c r="K32" s="238">
        <v>0</v>
      </c>
      <c r="L32" s="238">
        <v>0</v>
      </c>
      <c r="M32" s="238" t="s">
        <v>556</v>
      </c>
      <c r="N32" s="241" t="s">
        <v>556</v>
      </c>
      <c r="O32" s="238">
        <v>0</v>
      </c>
      <c r="P32" s="241">
        <v>0</v>
      </c>
      <c r="Q32" s="241" t="s">
        <v>556</v>
      </c>
      <c r="R32" s="241" t="s">
        <v>556</v>
      </c>
      <c r="S32" s="238">
        <f>S30</f>
        <v>2.33</v>
      </c>
      <c r="T32" s="241">
        <v>0</v>
      </c>
      <c r="U32" s="238" t="s">
        <v>556</v>
      </c>
      <c r="V32" s="241" t="s">
        <v>556</v>
      </c>
      <c r="W32" s="238">
        <v>0</v>
      </c>
      <c r="X32" s="241">
        <v>0</v>
      </c>
      <c r="Y32" s="238" t="s">
        <v>556</v>
      </c>
      <c r="Z32" s="241" t="s">
        <v>556</v>
      </c>
      <c r="AA32" s="238">
        <v>0</v>
      </c>
      <c r="AB32" s="241">
        <v>0</v>
      </c>
      <c r="AC32" s="238" t="s">
        <v>556</v>
      </c>
      <c r="AD32" s="245">
        <f t="shared" si="8"/>
        <v>2.33</v>
      </c>
    </row>
    <row r="33" spans="1:30" x14ac:dyDescent="0.25">
      <c r="A33" s="236" t="s">
        <v>162</v>
      </c>
      <c r="B33" s="240" t="s">
        <v>161</v>
      </c>
      <c r="C33" s="238" t="s">
        <v>556</v>
      </c>
      <c r="D33" s="238">
        <v>1</v>
      </c>
      <c r="E33" s="238">
        <f t="shared" si="5"/>
        <v>1</v>
      </c>
      <c r="F33" s="238">
        <f t="shared" si="6"/>
        <v>1</v>
      </c>
      <c r="G33" s="241">
        <f>'6.2. Паспорт фин осв ввод утв'!P33</f>
        <v>0</v>
      </c>
      <c r="H33" s="241">
        <f t="shared" si="7"/>
        <v>0</v>
      </c>
      <c r="I33" s="238" t="s">
        <v>556</v>
      </c>
      <c r="J33" s="238" t="s">
        <v>556</v>
      </c>
      <c r="K33" s="238">
        <v>0</v>
      </c>
      <c r="L33" s="238">
        <v>0</v>
      </c>
      <c r="M33" s="238" t="s">
        <v>556</v>
      </c>
      <c r="N33" s="241" t="s">
        <v>556</v>
      </c>
      <c r="O33" s="238">
        <v>0</v>
      </c>
      <c r="P33" s="241">
        <v>0</v>
      </c>
      <c r="Q33" s="241" t="s">
        <v>556</v>
      </c>
      <c r="R33" s="241" t="s">
        <v>556</v>
      </c>
      <c r="S33" s="238">
        <v>0</v>
      </c>
      <c r="T33" s="241">
        <v>0</v>
      </c>
      <c r="U33" s="238" t="s">
        <v>556</v>
      </c>
      <c r="V33" s="241" t="s">
        <v>556</v>
      </c>
      <c r="W33" s="238">
        <v>0</v>
      </c>
      <c r="X33" s="241">
        <v>0</v>
      </c>
      <c r="Y33" s="238" t="s">
        <v>556</v>
      </c>
      <c r="Z33" s="241" t="s">
        <v>556</v>
      </c>
      <c r="AA33" s="238">
        <v>0</v>
      </c>
      <c r="AB33" s="241">
        <v>0</v>
      </c>
      <c r="AC33" s="238" t="s">
        <v>556</v>
      </c>
      <c r="AD33" s="245">
        <f t="shared" si="8"/>
        <v>0</v>
      </c>
    </row>
    <row r="34" spans="1:30" x14ac:dyDescent="0.25">
      <c r="A34" s="236" t="s">
        <v>160</v>
      </c>
      <c r="B34" s="240" t="s">
        <v>159</v>
      </c>
      <c r="C34" s="238" t="s">
        <v>556</v>
      </c>
      <c r="D34" s="238">
        <f t="shared" si="4"/>
        <v>0</v>
      </c>
      <c r="E34" s="238">
        <f t="shared" si="5"/>
        <v>0</v>
      </c>
      <c r="F34" s="238">
        <f t="shared" si="6"/>
        <v>0</v>
      </c>
      <c r="G34" s="241">
        <f>'6.2. Паспорт фин осв ввод утв'!P34</f>
        <v>0</v>
      </c>
      <c r="H34" s="241">
        <f t="shared" si="7"/>
        <v>0</v>
      </c>
      <c r="I34" s="238" t="s">
        <v>556</v>
      </c>
      <c r="J34" s="238" t="s">
        <v>556</v>
      </c>
      <c r="K34" s="238">
        <v>0</v>
      </c>
      <c r="L34" s="238">
        <v>0</v>
      </c>
      <c r="M34" s="238" t="s">
        <v>556</v>
      </c>
      <c r="N34" s="241" t="s">
        <v>556</v>
      </c>
      <c r="O34" s="238">
        <v>0</v>
      </c>
      <c r="P34" s="241">
        <v>0</v>
      </c>
      <c r="Q34" s="241" t="s">
        <v>556</v>
      </c>
      <c r="R34" s="241" t="s">
        <v>556</v>
      </c>
      <c r="S34" s="238">
        <v>0</v>
      </c>
      <c r="T34" s="241">
        <v>0</v>
      </c>
      <c r="U34" s="238" t="s">
        <v>556</v>
      </c>
      <c r="V34" s="241" t="s">
        <v>556</v>
      </c>
      <c r="W34" s="238">
        <v>0</v>
      </c>
      <c r="X34" s="241">
        <v>0</v>
      </c>
      <c r="Y34" s="238" t="s">
        <v>556</v>
      </c>
      <c r="Z34" s="241" t="s">
        <v>556</v>
      </c>
      <c r="AA34" s="238">
        <v>0</v>
      </c>
      <c r="AB34" s="241">
        <v>0</v>
      </c>
      <c r="AC34" s="238" t="s">
        <v>556</v>
      </c>
      <c r="AD34" s="245">
        <f t="shared" si="8"/>
        <v>0</v>
      </c>
    </row>
    <row r="35" spans="1:30" s="372" customFormat="1" ht="31.5" x14ac:dyDescent="0.25">
      <c r="A35" s="236" t="s">
        <v>59</v>
      </c>
      <c r="B35" s="237" t="s">
        <v>158</v>
      </c>
      <c r="C35" s="238" t="s">
        <v>556</v>
      </c>
      <c r="D35" s="238">
        <f t="shared" si="4"/>
        <v>0</v>
      </c>
      <c r="E35" s="238">
        <f t="shared" si="5"/>
        <v>0</v>
      </c>
      <c r="F35" s="238">
        <f t="shared" si="6"/>
        <v>0</v>
      </c>
      <c r="G35" s="238">
        <f>'6.2. Паспорт фин осв ввод утв'!P35</f>
        <v>0</v>
      </c>
      <c r="H35" s="238">
        <f t="shared" si="7"/>
        <v>0</v>
      </c>
      <c r="I35" s="238" t="s">
        <v>556</v>
      </c>
      <c r="J35" s="238" t="s">
        <v>556</v>
      </c>
      <c r="K35" s="238">
        <v>0</v>
      </c>
      <c r="L35" s="238">
        <v>0</v>
      </c>
      <c r="M35" s="238" t="s">
        <v>556</v>
      </c>
      <c r="N35" s="238" t="s">
        <v>556</v>
      </c>
      <c r="O35" s="238">
        <v>0</v>
      </c>
      <c r="P35" s="238">
        <v>0</v>
      </c>
      <c r="Q35" s="238" t="s">
        <v>556</v>
      </c>
      <c r="R35" s="238" t="s">
        <v>556</v>
      </c>
      <c r="S35" s="238">
        <v>0</v>
      </c>
      <c r="T35" s="238">
        <v>0</v>
      </c>
      <c r="U35" s="238" t="s">
        <v>556</v>
      </c>
      <c r="V35" s="238" t="s">
        <v>556</v>
      </c>
      <c r="W35" s="238">
        <v>0</v>
      </c>
      <c r="X35" s="238">
        <v>0</v>
      </c>
      <c r="Y35" s="238" t="s">
        <v>556</v>
      </c>
      <c r="Z35" s="238" t="s">
        <v>556</v>
      </c>
      <c r="AA35" s="238">
        <v>0</v>
      </c>
      <c r="AB35" s="238">
        <v>0</v>
      </c>
      <c r="AC35" s="238" t="s">
        <v>556</v>
      </c>
      <c r="AD35" s="245">
        <f t="shared" si="8"/>
        <v>0</v>
      </c>
    </row>
    <row r="36" spans="1:30" ht="31.5" x14ac:dyDescent="0.25">
      <c r="A36" s="239" t="s">
        <v>157</v>
      </c>
      <c r="B36" s="242" t="s">
        <v>156</v>
      </c>
      <c r="C36" s="238" t="s">
        <v>556</v>
      </c>
      <c r="D36" s="238">
        <f t="shared" si="4"/>
        <v>0</v>
      </c>
      <c r="E36" s="238">
        <f t="shared" si="5"/>
        <v>0</v>
      </c>
      <c r="F36" s="238">
        <f t="shared" si="6"/>
        <v>0</v>
      </c>
      <c r="G36" s="241">
        <f>'6.2. Паспорт фин осв ввод утв'!P36</f>
        <v>0</v>
      </c>
      <c r="H36" s="241">
        <f t="shared" si="7"/>
        <v>0</v>
      </c>
      <c r="I36" s="238" t="s">
        <v>556</v>
      </c>
      <c r="J36" s="238" t="s">
        <v>556</v>
      </c>
      <c r="K36" s="238">
        <v>0</v>
      </c>
      <c r="L36" s="238">
        <v>0</v>
      </c>
      <c r="M36" s="238" t="s">
        <v>556</v>
      </c>
      <c r="N36" s="241" t="s">
        <v>556</v>
      </c>
      <c r="O36" s="238">
        <v>0</v>
      </c>
      <c r="P36" s="241">
        <v>0</v>
      </c>
      <c r="Q36" s="241" t="s">
        <v>556</v>
      </c>
      <c r="R36" s="241" t="s">
        <v>556</v>
      </c>
      <c r="S36" s="238">
        <v>0</v>
      </c>
      <c r="T36" s="241">
        <v>0</v>
      </c>
      <c r="U36" s="238" t="s">
        <v>556</v>
      </c>
      <c r="V36" s="241" t="s">
        <v>556</v>
      </c>
      <c r="W36" s="238">
        <v>0</v>
      </c>
      <c r="X36" s="241">
        <v>0</v>
      </c>
      <c r="Y36" s="238" t="s">
        <v>556</v>
      </c>
      <c r="Z36" s="241" t="s">
        <v>556</v>
      </c>
      <c r="AA36" s="238">
        <v>0</v>
      </c>
      <c r="AB36" s="241">
        <v>0</v>
      </c>
      <c r="AC36" s="238" t="s">
        <v>556</v>
      </c>
      <c r="AD36" s="245">
        <f t="shared" si="8"/>
        <v>0</v>
      </c>
    </row>
    <row r="37" spans="1:30" x14ac:dyDescent="0.25">
      <c r="A37" s="239" t="s">
        <v>155</v>
      </c>
      <c r="B37" s="242" t="s">
        <v>145</v>
      </c>
      <c r="C37" s="238" t="s">
        <v>556</v>
      </c>
      <c r="D37" s="238">
        <f t="shared" si="4"/>
        <v>0</v>
      </c>
      <c r="E37" s="238">
        <f t="shared" si="5"/>
        <v>0</v>
      </c>
      <c r="F37" s="238">
        <f t="shared" si="6"/>
        <v>0</v>
      </c>
      <c r="G37" s="241">
        <f>'6.2. Паспорт фин осв ввод утв'!P37</f>
        <v>0</v>
      </c>
      <c r="H37" s="241">
        <f t="shared" si="7"/>
        <v>0</v>
      </c>
      <c r="I37" s="238" t="s">
        <v>556</v>
      </c>
      <c r="J37" s="238" t="s">
        <v>556</v>
      </c>
      <c r="K37" s="238">
        <v>0</v>
      </c>
      <c r="L37" s="238">
        <v>0</v>
      </c>
      <c r="M37" s="238" t="s">
        <v>556</v>
      </c>
      <c r="N37" s="241" t="s">
        <v>556</v>
      </c>
      <c r="O37" s="238">
        <v>0</v>
      </c>
      <c r="P37" s="241">
        <v>0</v>
      </c>
      <c r="Q37" s="241" t="s">
        <v>556</v>
      </c>
      <c r="R37" s="241" t="s">
        <v>556</v>
      </c>
      <c r="S37" s="238">
        <v>0</v>
      </c>
      <c r="T37" s="241">
        <v>0</v>
      </c>
      <c r="U37" s="238" t="s">
        <v>556</v>
      </c>
      <c r="V37" s="241" t="s">
        <v>556</v>
      </c>
      <c r="W37" s="238">
        <v>0</v>
      </c>
      <c r="X37" s="241">
        <v>0</v>
      </c>
      <c r="Y37" s="238" t="s">
        <v>556</v>
      </c>
      <c r="Z37" s="241" t="s">
        <v>556</v>
      </c>
      <c r="AA37" s="238">
        <v>0</v>
      </c>
      <c r="AB37" s="241">
        <v>0</v>
      </c>
      <c r="AC37" s="238" t="s">
        <v>556</v>
      </c>
      <c r="AD37" s="245">
        <f t="shared" si="8"/>
        <v>0</v>
      </c>
    </row>
    <row r="38" spans="1:30" x14ac:dyDescent="0.25">
      <c r="A38" s="239" t="s">
        <v>154</v>
      </c>
      <c r="B38" s="242" t="s">
        <v>143</v>
      </c>
      <c r="C38" s="238" t="s">
        <v>556</v>
      </c>
      <c r="D38" s="238">
        <f t="shared" si="4"/>
        <v>0</v>
      </c>
      <c r="E38" s="238">
        <f t="shared" si="5"/>
        <v>0</v>
      </c>
      <c r="F38" s="238">
        <f t="shared" si="6"/>
        <v>0</v>
      </c>
      <c r="G38" s="241">
        <f>'6.2. Паспорт фин осв ввод утв'!P38</f>
        <v>0</v>
      </c>
      <c r="H38" s="241">
        <f t="shared" si="7"/>
        <v>0</v>
      </c>
      <c r="I38" s="238" t="s">
        <v>556</v>
      </c>
      <c r="J38" s="238" t="s">
        <v>556</v>
      </c>
      <c r="K38" s="238">
        <v>0</v>
      </c>
      <c r="L38" s="238">
        <v>0</v>
      </c>
      <c r="M38" s="238" t="s">
        <v>556</v>
      </c>
      <c r="N38" s="241" t="s">
        <v>556</v>
      </c>
      <c r="O38" s="238">
        <v>0</v>
      </c>
      <c r="P38" s="241">
        <v>0</v>
      </c>
      <c r="Q38" s="241" t="s">
        <v>556</v>
      </c>
      <c r="R38" s="241" t="s">
        <v>556</v>
      </c>
      <c r="S38" s="238">
        <v>0</v>
      </c>
      <c r="T38" s="241">
        <v>0</v>
      </c>
      <c r="U38" s="238" t="s">
        <v>556</v>
      </c>
      <c r="V38" s="241" t="s">
        <v>556</v>
      </c>
      <c r="W38" s="238">
        <v>0</v>
      </c>
      <c r="X38" s="241">
        <v>0</v>
      </c>
      <c r="Y38" s="238" t="s">
        <v>556</v>
      </c>
      <c r="Z38" s="241" t="s">
        <v>556</v>
      </c>
      <c r="AA38" s="238">
        <v>0</v>
      </c>
      <c r="AB38" s="241">
        <v>0</v>
      </c>
      <c r="AC38" s="238" t="s">
        <v>556</v>
      </c>
      <c r="AD38" s="245">
        <f t="shared" si="8"/>
        <v>0</v>
      </c>
    </row>
    <row r="39" spans="1:30" ht="31.5" x14ac:dyDescent="0.25">
      <c r="A39" s="239" t="s">
        <v>153</v>
      </c>
      <c r="B39" s="240" t="s">
        <v>141</v>
      </c>
      <c r="C39" s="238" t="s">
        <v>556</v>
      </c>
      <c r="D39" s="238">
        <f t="shared" si="4"/>
        <v>0.3</v>
      </c>
      <c r="E39" s="238">
        <f t="shared" si="5"/>
        <v>0.3</v>
      </c>
      <c r="F39" s="238">
        <f t="shared" si="6"/>
        <v>0.3</v>
      </c>
      <c r="G39" s="241">
        <f>'6.2. Паспорт фин осв ввод утв'!P39</f>
        <v>0</v>
      </c>
      <c r="H39" s="241">
        <f t="shared" si="7"/>
        <v>0</v>
      </c>
      <c r="I39" s="238" t="s">
        <v>556</v>
      </c>
      <c r="J39" s="238" t="s">
        <v>556</v>
      </c>
      <c r="K39" s="238">
        <v>0</v>
      </c>
      <c r="L39" s="238">
        <v>0</v>
      </c>
      <c r="M39" s="238" t="s">
        <v>556</v>
      </c>
      <c r="N39" s="241" t="s">
        <v>556</v>
      </c>
      <c r="O39" s="238">
        <v>0</v>
      </c>
      <c r="P39" s="241">
        <v>0</v>
      </c>
      <c r="Q39" s="241" t="s">
        <v>556</v>
      </c>
      <c r="R39" s="241" t="s">
        <v>556</v>
      </c>
      <c r="S39" s="238">
        <v>0.3</v>
      </c>
      <c r="T39" s="241">
        <v>0</v>
      </c>
      <c r="U39" s="238" t="s">
        <v>556</v>
      </c>
      <c r="V39" s="241" t="s">
        <v>556</v>
      </c>
      <c r="W39" s="238">
        <v>0</v>
      </c>
      <c r="X39" s="241">
        <v>0</v>
      </c>
      <c r="Y39" s="238" t="s">
        <v>556</v>
      </c>
      <c r="Z39" s="241" t="s">
        <v>556</v>
      </c>
      <c r="AA39" s="238">
        <v>0</v>
      </c>
      <c r="AB39" s="241">
        <v>0</v>
      </c>
      <c r="AC39" s="238" t="s">
        <v>556</v>
      </c>
      <c r="AD39" s="245">
        <f t="shared" si="8"/>
        <v>0.3</v>
      </c>
    </row>
    <row r="40" spans="1:30" ht="31.5" x14ac:dyDescent="0.25">
      <c r="A40" s="239" t="s">
        <v>152</v>
      </c>
      <c r="B40" s="240" t="s">
        <v>139</v>
      </c>
      <c r="C40" s="238" t="s">
        <v>556</v>
      </c>
      <c r="D40" s="238">
        <f t="shared" si="4"/>
        <v>0</v>
      </c>
      <c r="E40" s="238">
        <f t="shared" si="5"/>
        <v>0</v>
      </c>
      <c r="F40" s="238">
        <f t="shared" si="6"/>
        <v>0</v>
      </c>
      <c r="G40" s="241">
        <f>'6.2. Паспорт фин осв ввод утв'!P40</f>
        <v>0</v>
      </c>
      <c r="H40" s="241">
        <f t="shared" si="7"/>
        <v>0</v>
      </c>
      <c r="I40" s="238" t="s">
        <v>556</v>
      </c>
      <c r="J40" s="238" t="s">
        <v>556</v>
      </c>
      <c r="K40" s="238">
        <v>0</v>
      </c>
      <c r="L40" s="238">
        <v>0</v>
      </c>
      <c r="M40" s="238" t="s">
        <v>556</v>
      </c>
      <c r="N40" s="241" t="s">
        <v>556</v>
      </c>
      <c r="O40" s="238">
        <v>0</v>
      </c>
      <c r="P40" s="241">
        <v>0</v>
      </c>
      <c r="Q40" s="241" t="s">
        <v>556</v>
      </c>
      <c r="R40" s="241" t="s">
        <v>556</v>
      </c>
      <c r="S40" s="238">
        <v>0</v>
      </c>
      <c r="T40" s="241">
        <v>0</v>
      </c>
      <c r="U40" s="238" t="s">
        <v>556</v>
      </c>
      <c r="V40" s="241" t="s">
        <v>556</v>
      </c>
      <c r="W40" s="238">
        <v>0</v>
      </c>
      <c r="X40" s="241">
        <v>0</v>
      </c>
      <c r="Y40" s="238" t="s">
        <v>556</v>
      </c>
      <c r="Z40" s="241" t="s">
        <v>556</v>
      </c>
      <c r="AA40" s="238">
        <v>0</v>
      </c>
      <c r="AB40" s="241">
        <v>0</v>
      </c>
      <c r="AC40" s="238" t="s">
        <v>556</v>
      </c>
      <c r="AD40" s="245">
        <f t="shared" si="8"/>
        <v>0</v>
      </c>
    </row>
    <row r="41" spans="1:30" x14ac:dyDescent="0.25">
      <c r="A41" s="239" t="s">
        <v>151</v>
      </c>
      <c r="B41" s="240" t="s">
        <v>137</v>
      </c>
      <c r="C41" s="238" t="s">
        <v>556</v>
      </c>
      <c r="D41" s="238">
        <f t="shared" si="4"/>
        <v>0</v>
      </c>
      <c r="E41" s="238">
        <f t="shared" si="5"/>
        <v>0</v>
      </c>
      <c r="F41" s="238">
        <f t="shared" si="6"/>
        <v>0</v>
      </c>
      <c r="G41" s="241">
        <f>'6.2. Паспорт фин осв ввод утв'!P41</f>
        <v>0</v>
      </c>
      <c r="H41" s="241">
        <f t="shared" si="7"/>
        <v>0</v>
      </c>
      <c r="I41" s="238" t="s">
        <v>556</v>
      </c>
      <c r="J41" s="238" t="s">
        <v>556</v>
      </c>
      <c r="K41" s="238">
        <v>0</v>
      </c>
      <c r="L41" s="238">
        <v>0</v>
      </c>
      <c r="M41" s="238" t="s">
        <v>556</v>
      </c>
      <c r="N41" s="241" t="s">
        <v>556</v>
      </c>
      <c r="O41" s="238">
        <v>0</v>
      </c>
      <c r="P41" s="241">
        <v>0</v>
      </c>
      <c r="Q41" s="241" t="s">
        <v>556</v>
      </c>
      <c r="R41" s="241" t="s">
        <v>556</v>
      </c>
      <c r="S41" s="238">
        <v>0</v>
      </c>
      <c r="T41" s="241">
        <v>0</v>
      </c>
      <c r="U41" s="238" t="s">
        <v>556</v>
      </c>
      <c r="V41" s="241" t="s">
        <v>556</v>
      </c>
      <c r="W41" s="238">
        <v>0</v>
      </c>
      <c r="X41" s="241">
        <v>0</v>
      </c>
      <c r="Y41" s="238" t="s">
        <v>556</v>
      </c>
      <c r="Z41" s="241" t="s">
        <v>556</v>
      </c>
      <c r="AA41" s="238">
        <v>0</v>
      </c>
      <c r="AB41" s="241">
        <v>0</v>
      </c>
      <c r="AC41" s="238" t="s">
        <v>556</v>
      </c>
      <c r="AD41" s="245">
        <f t="shared" si="8"/>
        <v>0</v>
      </c>
    </row>
    <row r="42" spans="1:30" ht="18.75" x14ac:dyDescent="0.25">
      <c r="A42" s="239" t="s">
        <v>150</v>
      </c>
      <c r="B42" s="242" t="s">
        <v>565</v>
      </c>
      <c r="C42" s="238" t="s">
        <v>556</v>
      </c>
      <c r="D42" s="238">
        <v>1</v>
      </c>
      <c r="E42" s="238">
        <f t="shared" si="5"/>
        <v>1</v>
      </c>
      <c r="F42" s="238">
        <f t="shared" si="6"/>
        <v>1</v>
      </c>
      <c r="G42" s="241">
        <f>'6.2. Паспорт фин осв ввод утв'!P42</f>
        <v>0</v>
      </c>
      <c r="H42" s="241">
        <f t="shared" si="7"/>
        <v>0</v>
      </c>
      <c r="I42" s="238" t="s">
        <v>556</v>
      </c>
      <c r="J42" s="238" t="s">
        <v>556</v>
      </c>
      <c r="K42" s="238">
        <v>0</v>
      </c>
      <c r="L42" s="238">
        <v>0</v>
      </c>
      <c r="M42" s="238" t="s">
        <v>556</v>
      </c>
      <c r="N42" s="241" t="s">
        <v>556</v>
      </c>
      <c r="O42" s="238">
        <v>0</v>
      </c>
      <c r="P42" s="241">
        <v>0</v>
      </c>
      <c r="Q42" s="241" t="s">
        <v>556</v>
      </c>
      <c r="R42" s="241" t="s">
        <v>556</v>
      </c>
      <c r="S42" s="238">
        <f>D42</f>
        <v>1</v>
      </c>
      <c r="T42" s="241">
        <v>0</v>
      </c>
      <c r="U42" s="238" t="s">
        <v>556</v>
      </c>
      <c r="V42" s="241" t="s">
        <v>556</v>
      </c>
      <c r="W42" s="238">
        <v>0</v>
      </c>
      <c r="X42" s="241">
        <v>0</v>
      </c>
      <c r="Y42" s="238" t="s">
        <v>556</v>
      </c>
      <c r="Z42" s="241" t="s">
        <v>556</v>
      </c>
      <c r="AA42" s="238">
        <v>0</v>
      </c>
      <c r="AB42" s="241">
        <v>0</v>
      </c>
      <c r="AC42" s="238" t="s">
        <v>556</v>
      </c>
      <c r="AD42" s="245">
        <f t="shared" si="8"/>
        <v>1</v>
      </c>
    </row>
    <row r="43" spans="1:30" s="372" customFormat="1" x14ac:dyDescent="0.25">
      <c r="A43" s="236" t="s">
        <v>58</v>
      </c>
      <c r="B43" s="237" t="s">
        <v>149</v>
      </c>
      <c r="C43" s="238" t="s">
        <v>556</v>
      </c>
      <c r="D43" s="238">
        <f t="shared" si="4"/>
        <v>0</v>
      </c>
      <c r="E43" s="238">
        <f t="shared" si="5"/>
        <v>0</v>
      </c>
      <c r="F43" s="238">
        <f t="shared" si="6"/>
        <v>0</v>
      </c>
      <c r="G43" s="238">
        <f>'6.2. Паспорт фин осв ввод утв'!P43</f>
        <v>0</v>
      </c>
      <c r="H43" s="238">
        <f t="shared" si="7"/>
        <v>0</v>
      </c>
      <c r="I43" s="238" t="s">
        <v>556</v>
      </c>
      <c r="J43" s="238" t="s">
        <v>556</v>
      </c>
      <c r="K43" s="238">
        <v>0</v>
      </c>
      <c r="L43" s="238">
        <v>0</v>
      </c>
      <c r="M43" s="238" t="s">
        <v>556</v>
      </c>
      <c r="N43" s="238" t="s">
        <v>556</v>
      </c>
      <c r="O43" s="238">
        <v>0</v>
      </c>
      <c r="P43" s="238">
        <v>0</v>
      </c>
      <c r="Q43" s="238" t="s">
        <v>556</v>
      </c>
      <c r="R43" s="238" t="s">
        <v>556</v>
      </c>
      <c r="S43" s="238">
        <v>0</v>
      </c>
      <c r="T43" s="238">
        <v>0</v>
      </c>
      <c r="U43" s="238" t="s">
        <v>556</v>
      </c>
      <c r="V43" s="238" t="s">
        <v>556</v>
      </c>
      <c r="W43" s="238">
        <v>0</v>
      </c>
      <c r="X43" s="238">
        <v>0</v>
      </c>
      <c r="Y43" s="238" t="s">
        <v>556</v>
      </c>
      <c r="Z43" s="238" t="s">
        <v>556</v>
      </c>
      <c r="AA43" s="238">
        <v>0</v>
      </c>
      <c r="AB43" s="238">
        <v>0</v>
      </c>
      <c r="AC43" s="238" t="s">
        <v>556</v>
      </c>
      <c r="AD43" s="245">
        <f t="shared" si="8"/>
        <v>0</v>
      </c>
    </row>
    <row r="44" spans="1:30" x14ac:dyDescent="0.25">
      <c r="A44" s="239" t="s">
        <v>148</v>
      </c>
      <c r="B44" s="240" t="s">
        <v>147</v>
      </c>
      <c r="C44" s="238" t="s">
        <v>556</v>
      </c>
      <c r="D44" s="238">
        <f t="shared" si="4"/>
        <v>0</v>
      </c>
      <c r="E44" s="238">
        <f t="shared" si="5"/>
        <v>0</v>
      </c>
      <c r="F44" s="238">
        <f t="shared" si="6"/>
        <v>0</v>
      </c>
      <c r="G44" s="241">
        <f>'6.2. Паспорт фин осв ввод утв'!P44</f>
        <v>0</v>
      </c>
      <c r="H44" s="241">
        <f t="shared" si="7"/>
        <v>0</v>
      </c>
      <c r="I44" s="238" t="s">
        <v>556</v>
      </c>
      <c r="J44" s="238" t="s">
        <v>556</v>
      </c>
      <c r="K44" s="238">
        <v>0</v>
      </c>
      <c r="L44" s="238">
        <v>0</v>
      </c>
      <c r="M44" s="238" t="s">
        <v>556</v>
      </c>
      <c r="N44" s="241" t="s">
        <v>556</v>
      </c>
      <c r="O44" s="238">
        <v>0</v>
      </c>
      <c r="P44" s="241">
        <v>0</v>
      </c>
      <c r="Q44" s="241" t="s">
        <v>556</v>
      </c>
      <c r="R44" s="241" t="s">
        <v>556</v>
      </c>
      <c r="S44" s="238">
        <v>0</v>
      </c>
      <c r="T44" s="241">
        <v>0</v>
      </c>
      <c r="U44" s="238" t="s">
        <v>556</v>
      </c>
      <c r="V44" s="241" t="s">
        <v>556</v>
      </c>
      <c r="W44" s="238">
        <v>0</v>
      </c>
      <c r="X44" s="241">
        <v>0</v>
      </c>
      <c r="Y44" s="238" t="s">
        <v>556</v>
      </c>
      <c r="Z44" s="241" t="s">
        <v>556</v>
      </c>
      <c r="AA44" s="238">
        <v>0</v>
      </c>
      <c r="AB44" s="241">
        <v>0</v>
      </c>
      <c r="AC44" s="238" t="s">
        <v>556</v>
      </c>
      <c r="AD44" s="245">
        <f t="shared" si="8"/>
        <v>0</v>
      </c>
    </row>
    <row r="45" spans="1:30" x14ac:dyDescent="0.25">
      <c r="A45" s="239" t="s">
        <v>146</v>
      </c>
      <c r="B45" s="240" t="s">
        <v>145</v>
      </c>
      <c r="C45" s="238" t="s">
        <v>556</v>
      </c>
      <c r="D45" s="238">
        <f t="shared" si="4"/>
        <v>0</v>
      </c>
      <c r="E45" s="238">
        <f t="shared" si="5"/>
        <v>0</v>
      </c>
      <c r="F45" s="238">
        <f t="shared" si="6"/>
        <v>0</v>
      </c>
      <c r="G45" s="241">
        <f>'6.2. Паспорт фин осв ввод утв'!P45</f>
        <v>0</v>
      </c>
      <c r="H45" s="241">
        <f t="shared" si="7"/>
        <v>0</v>
      </c>
      <c r="I45" s="238" t="s">
        <v>556</v>
      </c>
      <c r="J45" s="238" t="s">
        <v>556</v>
      </c>
      <c r="K45" s="238">
        <v>0</v>
      </c>
      <c r="L45" s="238">
        <v>0</v>
      </c>
      <c r="M45" s="238" t="s">
        <v>556</v>
      </c>
      <c r="N45" s="241" t="s">
        <v>556</v>
      </c>
      <c r="O45" s="238">
        <v>0</v>
      </c>
      <c r="P45" s="241">
        <v>0</v>
      </c>
      <c r="Q45" s="241" t="s">
        <v>556</v>
      </c>
      <c r="R45" s="241" t="s">
        <v>556</v>
      </c>
      <c r="S45" s="238">
        <v>0</v>
      </c>
      <c r="T45" s="241">
        <v>0</v>
      </c>
      <c r="U45" s="238" t="s">
        <v>556</v>
      </c>
      <c r="V45" s="241" t="s">
        <v>556</v>
      </c>
      <c r="W45" s="238">
        <v>0</v>
      </c>
      <c r="X45" s="241">
        <v>0</v>
      </c>
      <c r="Y45" s="238" t="s">
        <v>556</v>
      </c>
      <c r="Z45" s="241" t="s">
        <v>556</v>
      </c>
      <c r="AA45" s="238">
        <v>0</v>
      </c>
      <c r="AB45" s="241">
        <v>0</v>
      </c>
      <c r="AC45" s="238" t="s">
        <v>556</v>
      </c>
      <c r="AD45" s="245">
        <f t="shared" si="8"/>
        <v>0</v>
      </c>
    </row>
    <row r="46" spans="1:30" x14ac:dyDescent="0.25">
      <c r="A46" s="239" t="s">
        <v>144</v>
      </c>
      <c r="B46" s="240" t="s">
        <v>143</v>
      </c>
      <c r="C46" s="238" t="s">
        <v>556</v>
      </c>
      <c r="D46" s="238">
        <f t="shared" si="4"/>
        <v>0</v>
      </c>
      <c r="E46" s="238">
        <f t="shared" si="5"/>
        <v>0</v>
      </c>
      <c r="F46" s="238">
        <f t="shared" si="6"/>
        <v>0</v>
      </c>
      <c r="G46" s="241">
        <f>'6.2. Паспорт фин осв ввод утв'!P46</f>
        <v>0</v>
      </c>
      <c r="H46" s="241">
        <f t="shared" si="7"/>
        <v>0</v>
      </c>
      <c r="I46" s="238" t="s">
        <v>556</v>
      </c>
      <c r="J46" s="238" t="s">
        <v>556</v>
      </c>
      <c r="K46" s="238">
        <v>0</v>
      </c>
      <c r="L46" s="238">
        <v>0</v>
      </c>
      <c r="M46" s="238" t="s">
        <v>556</v>
      </c>
      <c r="N46" s="241" t="s">
        <v>556</v>
      </c>
      <c r="O46" s="238">
        <v>0</v>
      </c>
      <c r="P46" s="241">
        <v>0</v>
      </c>
      <c r="Q46" s="241" t="s">
        <v>556</v>
      </c>
      <c r="R46" s="241" t="s">
        <v>556</v>
      </c>
      <c r="S46" s="238">
        <v>0</v>
      </c>
      <c r="T46" s="241">
        <v>0</v>
      </c>
      <c r="U46" s="238" t="s">
        <v>556</v>
      </c>
      <c r="V46" s="241" t="s">
        <v>556</v>
      </c>
      <c r="W46" s="238">
        <v>0</v>
      </c>
      <c r="X46" s="241">
        <v>0</v>
      </c>
      <c r="Y46" s="238" t="s">
        <v>556</v>
      </c>
      <c r="Z46" s="241" t="s">
        <v>556</v>
      </c>
      <c r="AA46" s="238">
        <v>0</v>
      </c>
      <c r="AB46" s="241">
        <v>0</v>
      </c>
      <c r="AC46" s="238" t="s">
        <v>556</v>
      </c>
      <c r="AD46" s="245">
        <f t="shared" si="8"/>
        <v>0</v>
      </c>
    </row>
    <row r="47" spans="1:30" ht="31.5" x14ac:dyDescent="0.25">
      <c r="A47" s="239" t="s">
        <v>142</v>
      </c>
      <c r="B47" s="240" t="s">
        <v>141</v>
      </c>
      <c r="C47" s="238" t="s">
        <v>556</v>
      </c>
      <c r="D47" s="238">
        <f t="shared" si="4"/>
        <v>0.3</v>
      </c>
      <c r="E47" s="238">
        <f t="shared" si="5"/>
        <v>0.3</v>
      </c>
      <c r="F47" s="238">
        <f t="shared" si="6"/>
        <v>0.3</v>
      </c>
      <c r="G47" s="241">
        <f>'6.2. Паспорт фин осв ввод утв'!P47</f>
        <v>0</v>
      </c>
      <c r="H47" s="241">
        <f t="shared" si="7"/>
        <v>0</v>
      </c>
      <c r="I47" s="238" t="s">
        <v>556</v>
      </c>
      <c r="J47" s="238" t="s">
        <v>556</v>
      </c>
      <c r="K47" s="238">
        <v>0</v>
      </c>
      <c r="L47" s="238">
        <v>0</v>
      </c>
      <c r="M47" s="238" t="s">
        <v>556</v>
      </c>
      <c r="N47" s="241" t="s">
        <v>556</v>
      </c>
      <c r="O47" s="238">
        <v>0</v>
      </c>
      <c r="P47" s="241">
        <v>0</v>
      </c>
      <c r="Q47" s="241" t="s">
        <v>556</v>
      </c>
      <c r="R47" s="241" t="s">
        <v>556</v>
      </c>
      <c r="S47" s="238">
        <f>S39</f>
        <v>0.3</v>
      </c>
      <c r="T47" s="241">
        <v>0</v>
      </c>
      <c r="U47" s="238" t="s">
        <v>556</v>
      </c>
      <c r="V47" s="241" t="s">
        <v>556</v>
      </c>
      <c r="W47" s="238">
        <v>0</v>
      </c>
      <c r="X47" s="241">
        <v>0</v>
      </c>
      <c r="Y47" s="238" t="s">
        <v>556</v>
      </c>
      <c r="Z47" s="241" t="s">
        <v>556</v>
      </c>
      <c r="AA47" s="238">
        <v>0</v>
      </c>
      <c r="AB47" s="241">
        <v>0</v>
      </c>
      <c r="AC47" s="238" t="s">
        <v>556</v>
      </c>
      <c r="AD47" s="245">
        <f t="shared" si="8"/>
        <v>0.3</v>
      </c>
    </row>
    <row r="48" spans="1:30" ht="31.5" x14ac:dyDescent="0.25">
      <c r="A48" s="239" t="s">
        <v>140</v>
      </c>
      <c r="B48" s="240" t="s">
        <v>139</v>
      </c>
      <c r="C48" s="238" t="s">
        <v>556</v>
      </c>
      <c r="D48" s="238">
        <f t="shared" si="4"/>
        <v>0</v>
      </c>
      <c r="E48" s="238">
        <f t="shared" si="5"/>
        <v>0</v>
      </c>
      <c r="F48" s="238">
        <f t="shared" si="6"/>
        <v>0</v>
      </c>
      <c r="G48" s="241">
        <f>'6.2. Паспорт фин осв ввод утв'!P48</f>
        <v>0</v>
      </c>
      <c r="H48" s="241">
        <f t="shared" si="7"/>
        <v>0</v>
      </c>
      <c r="I48" s="238" t="s">
        <v>556</v>
      </c>
      <c r="J48" s="238" t="s">
        <v>556</v>
      </c>
      <c r="K48" s="238">
        <v>0</v>
      </c>
      <c r="L48" s="238">
        <v>0</v>
      </c>
      <c r="M48" s="238" t="s">
        <v>556</v>
      </c>
      <c r="N48" s="241" t="s">
        <v>556</v>
      </c>
      <c r="O48" s="238">
        <v>0</v>
      </c>
      <c r="P48" s="241">
        <v>0</v>
      </c>
      <c r="Q48" s="241" t="s">
        <v>556</v>
      </c>
      <c r="R48" s="241" t="s">
        <v>556</v>
      </c>
      <c r="S48" s="238">
        <v>0</v>
      </c>
      <c r="T48" s="241">
        <v>0</v>
      </c>
      <c r="U48" s="238" t="s">
        <v>556</v>
      </c>
      <c r="V48" s="241" t="s">
        <v>556</v>
      </c>
      <c r="W48" s="238">
        <v>0</v>
      </c>
      <c r="X48" s="241">
        <v>0</v>
      </c>
      <c r="Y48" s="238" t="s">
        <v>556</v>
      </c>
      <c r="Z48" s="241" t="s">
        <v>556</v>
      </c>
      <c r="AA48" s="238">
        <v>0</v>
      </c>
      <c r="AB48" s="241">
        <v>0</v>
      </c>
      <c r="AC48" s="238" t="s">
        <v>556</v>
      </c>
      <c r="AD48" s="245">
        <f t="shared" si="8"/>
        <v>0</v>
      </c>
    </row>
    <row r="49" spans="1:30" x14ac:dyDescent="0.25">
      <c r="A49" s="239" t="s">
        <v>138</v>
      </c>
      <c r="B49" s="240" t="s">
        <v>137</v>
      </c>
      <c r="C49" s="238" t="s">
        <v>556</v>
      </c>
      <c r="D49" s="238">
        <f t="shared" si="4"/>
        <v>0</v>
      </c>
      <c r="E49" s="238">
        <f t="shared" si="5"/>
        <v>0</v>
      </c>
      <c r="F49" s="238">
        <f t="shared" si="6"/>
        <v>0</v>
      </c>
      <c r="G49" s="241">
        <f>'6.2. Паспорт фин осв ввод утв'!P49</f>
        <v>0</v>
      </c>
      <c r="H49" s="241">
        <f t="shared" si="7"/>
        <v>0</v>
      </c>
      <c r="I49" s="238" t="s">
        <v>556</v>
      </c>
      <c r="J49" s="238" t="s">
        <v>556</v>
      </c>
      <c r="K49" s="238">
        <v>0</v>
      </c>
      <c r="L49" s="238">
        <v>0</v>
      </c>
      <c r="M49" s="238" t="s">
        <v>556</v>
      </c>
      <c r="N49" s="241" t="s">
        <v>556</v>
      </c>
      <c r="O49" s="238">
        <v>0</v>
      </c>
      <c r="P49" s="241">
        <v>0</v>
      </c>
      <c r="Q49" s="241" t="s">
        <v>556</v>
      </c>
      <c r="R49" s="241" t="s">
        <v>556</v>
      </c>
      <c r="S49" s="238">
        <v>0</v>
      </c>
      <c r="T49" s="241">
        <v>0</v>
      </c>
      <c r="U49" s="238" t="s">
        <v>556</v>
      </c>
      <c r="V49" s="241" t="s">
        <v>556</v>
      </c>
      <c r="W49" s="238">
        <v>0</v>
      </c>
      <c r="X49" s="241">
        <v>0</v>
      </c>
      <c r="Y49" s="238" t="s">
        <v>556</v>
      </c>
      <c r="Z49" s="241" t="s">
        <v>556</v>
      </c>
      <c r="AA49" s="238">
        <v>0</v>
      </c>
      <c r="AB49" s="241">
        <v>0</v>
      </c>
      <c r="AC49" s="238" t="s">
        <v>556</v>
      </c>
      <c r="AD49" s="245">
        <f t="shared" si="8"/>
        <v>0</v>
      </c>
    </row>
    <row r="50" spans="1:30" ht="18.75" x14ac:dyDescent="0.25">
      <c r="A50" s="239" t="s">
        <v>136</v>
      </c>
      <c r="B50" s="242" t="s">
        <v>565</v>
      </c>
      <c r="C50" s="238" t="s">
        <v>556</v>
      </c>
      <c r="D50" s="238">
        <f t="shared" si="4"/>
        <v>0</v>
      </c>
      <c r="E50" s="238">
        <f t="shared" si="5"/>
        <v>0</v>
      </c>
      <c r="F50" s="238">
        <f t="shared" si="6"/>
        <v>0</v>
      </c>
      <c r="G50" s="241">
        <f>'6.2. Паспорт фин осв ввод утв'!P50</f>
        <v>0</v>
      </c>
      <c r="H50" s="241">
        <f t="shared" si="7"/>
        <v>0</v>
      </c>
      <c r="I50" s="238" t="s">
        <v>556</v>
      </c>
      <c r="J50" s="238" t="s">
        <v>556</v>
      </c>
      <c r="K50" s="238">
        <v>0</v>
      </c>
      <c r="L50" s="238">
        <v>0</v>
      </c>
      <c r="M50" s="238" t="s">
        <v>556</v>
      </c>
      <c r="N50" s="241" t="s">
        <v>556</v>
      </c>
      <c r="O50" s="238">
        <v>0</v>
      </c>
      <c r="P50" s="241">
        <v>0</v>
      </c>
      <c r="Q50" s="241" t="s">
        <v>556</v>
      </c>
      <c r="R50" s="241" t="s">
        <v>556</v>
      </c>
      <c r="S50" s="238">
        <v>0</v>
      </c>
      <c r="T50" s="241">
        <v>0</v>
      </c>
      <c r="U50" s="238" t="s">
        <v>556</v>
      </c>
      <c r="V50" s="241" t="s">
        <v>556</v>
      </c>
      <c r="W50" s="238">
        <v>0</v>
      </c>
      <c r="X50" s="241">
        <v>0</v>
      </c>
      <c r="Y50" s="238" t="s">
        <v>556</v>
      </c>
      <c r="Z50" s="241" t="s">
        <v>556</v>
      </c>
      <c r="AA50" s="238">
        <v>0</v>
      </c>
      <c r="AB50" s="241">
        <v>0</v>
      </c>
      <c r="AC50" s="238" t="s">
        <v>556</v>
      </c>
      <c r="AD50" s="245">
        <f t="shared" si="8"/>
        <v>0</v>
      </c>
    </row>
    <row r="51" spans="1:30" s="372" customFormat="1" ht="35.25" customHeight="1" x14ac:dyDescent="0.25">
      <c r="A51" s="236" t="s">
        <v>56</v>
      </c>
      <c r="B51" s="237" t="s">
        <v>134</v>
      </c>
      <c r="C51" s="238"/>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238"/>
      <c r="AB51" s="238"/>
      <c r="AC51" s="238"/>
      <c r="AD51" s="245"/>
    </row>
    <row r="52" spans="1:30" x14ac:dyDescent="0.25">
      <c r="A52" s="239" t="s">
        <v>133</v>
      </c>
      <c r="B52" s="240" t="s">
        <v>132</v>
      </c>
      <c r="C52" s="238" t="s">
        <v>556</v>
      </c>
      <c r="D52" s="238">
        <f>D30</f>
        <v>2.33</v>
      </c>
      <c r="E52" s="238">
        <f t="shared" si="5"/>
        <v>2.33</v>
      </c>
      <c r="F52" s="238">
        <f t="shared" si="6"/>
        <v>2.33</v>
      </c>
      <c r="G52" s="241">
        <f>'6.2. Паспорт фин осв ввод утв'!P52</f>
        <v>0</v>
      </c>
      <c r="H52" s="241">
        <f t="shared" si="7"/>
        <v>0</v>
      </c>
      <c r="I52" s="238" t="s">
        <v>556</v>
      </c>
      <c r="J52" s="238" t="s">
        <v>556</v>
      </c>
      <c r="K52" s="238">
        <v>0</v>
      </c>
      <c r="L52" s="238">
        <v>0</v>
      </c>
      <c r="M52" s="238" t="s">
        <v>556</v>
      </c>
      <c r="N52" s="241" t="s">
        <v>556</v>
      </c>
      <c r="O52" s="238">
        <v>0</v>
      </c>
      <c r="P52" s="241">
        <v>0</v>
      </c>
      <c r="Q52" s="241" t="s">
        <v>556</v>
      </c>
      <c r="R52" s="241" t="s">
        <v>556</v>
      </c>
      <c r="S52" s="238">
        <f>D52</f>
        <v>2.33</v>
      </c>
      <c r="T52" s="241">
        <v>0</v>
      </c>
      <c r="U52" s="238" t="s">
        <v>556</v>
      </c>
      <c r="V52" s="241" t="s">
        <v>556</v>
      </c>
      <c r="W52" s="238">
        <v>0</v>
      </c>
      <c r="X52" s="241">
        <v>0</v>
      </c>
      <c r="Y52" s="238" t="s">
        <v>556</v>
      </c>
      <c r="Z52" s="241" t="s">
        <v>556</v>
      </c>
      <c r="AA52" s="238">
        <v>0</v>
      </c>
      <c r="AB52" s="241">
        <v>0</v>
      </c>
      <c r="AC52" s="238" t="s">
        <v>556</v>
      </c>
      <c r="AD52" s="245">
        <f t="shared" si="8"/>
        <v>2.33</v>
      </c>
    </row>
    <row r="53" spans="1:30" x14ac:dyDescent="0.25">
      <c r="A53" s="239" t="s">
        <v>131</v>
      </c>
      <c r="B53" s="240" t="s">
        <v>125</v>
      </c>
      <c r="C53" s="238" t="s">
        <v>556</v>
      </c>
      <c r="D53" s="238">
        <f t="shared" si="4"/>
        <v>0</v>
      </c>
      <c r="E53" s="238">
        <f t="shared" si="5"/>
        <v>0</v>
      </c>
      <c r="F53" s="238">
        <f t="shared" si="6"/>
        <v>0</v>
      </c>
      <c r="G53" s="241">
        <f>'6.2. Паспорт фин осв ввод утв'!P53</f>
        <v>0</v>
      </c>
      <c r="H53" s="241">
        <f t="shared" si="7"/>
        <v>0</v>
      </c>
      <c r="I53" s="238" t="s">
        <v>556</v>
      </c>
      <c r="J53" s="238" t="s">
        <v>556</v>
      </c>
      <c r="K53" s="238">
        <v>0</v>
      </c>
      <c r="L53" s="238">
        <v>0</v>
      </c>
      <c r="M53" s="238" t="s">
        <v>556</v>
      </c>
      <c r="N53" s="241" t="s">
        <v>556</v>
      </c>
      <c r="O53" s="238">
        <v>0</v>
      </c>
      <c r="P53" s="241">
        <v>0</v>
      </c>
      <c r="Q53" s="241" t="s">
        <v>556</v>
      </c>
      <c r="R53" s="241" t="s">
        <v>556</v>
      </c>
      <c r="S53" s="238">
        <v>0</v>
      </c>
      <c r="T53" s="241">
        <v>0</v>
      </c>
      <c r="U53" s="238" t="s">
        <v>556</v>
      </c>
      <c r="V53" s="241" t="s">
        <v>556</v>
      </c>
      <c r="W53" s="238">
        <v>0</v>
      </c>
      <c r="X53" s="241">
        <v>0</v>
      </c>
      <c r="Y53" s="238" t="s">
        <v>556</v>
      </c>
      <c r="Z53" s="241" t="s">
        <v>556</v>
      </c>
      <c r="AA53" s="238">
        <v>0</v>
      </c>
      <c r="AB53" s="241">
        <v>0</v>
      </c>
      <c r="AC53" s="238" t="s">
        <v>556</v>
      </c>
      <c r="AD53" s="245">
        <f t="shared" si="8"/>
        <v>0</v>
      </c>
    </row>
    <row r="54" spans="1:30" x14ac:dyDescent="0.25">
      <c r="A54" s="239" t="s">
        <v>130</v>
      </c>
      <c r="B54" s="242" t="s">
        <v>124</v>
      </c>
      <c r="C54" s="238" t="s">
        <v>556</v>
      </c>
      <c r="D54" s="238">
        <f t="shared" si="4"/>
        <v>0</v>
      </c>
      <c r="E54" s="238">
        <f t="shared" si="5"/>
        <v>0</v>
      </c>
      <c r="F54" s="238">
        <f t="shared" si="6"/>
        <v>0</v>
      </c>
      <c r="G54" s="241">
        <f>'6.2. Паспорт фин осв ввод утв'!P54</f>
        <v>0</v>
      </c>
      <c r="H54" s="241">
        <f t="shared" si="7"/>
        <v>0</v>
      </c>
      <c r="I54" s="238" t="s">
        <v>556</v>
      </c>
      <c r="J54" s="238" t="s">
        <v>556</v>
      </c>
      <c r="K54" s="238">
        <v>0</v>
      </c>
      <c r="L54" s="238">
        <v>0</v>
      </c>
      <c r="M54" s="238" t="s">
        <v>556</v>
      </c>
      <c r="N54" s="241" t="s">
        <v>556</v>
      </c>
      <c r="O54" s="238">
        <v>0</v>
      </c>
      <c r="P54" s="241">
        <v>0</v>
      </c>
      <c r="Q54" s="241" t="s">
        <v>556</v>
      </c>
      <c r="R54" s="241" t="s">
        <v>556</v>
      </c>
      <c r="S54" s="238">
        <v>0</v>
      </c>
      <c r="T54" s="241">
        <v>0</v>
      </c>
      <c r="U54" s="238" t="s">
        <v>556</v>
      </c>
      <c r="V54" s="241" t="s">
        <v>556</v>
      </c>
      <c r="W54" s="238">
        <v>0</v>
      </c>
      <c r="X54" s="241">
        <v>0</v>
      </c>
      <c r="Y54" s="238" t="s">
        <v>556</v>
      </c>
      <c r="Z54" s="241" t="s">
        <v>556</v>
      </c>
      <c r="AA54" s="238">
        <v>0</v>
      </c>
      <c r="AB54" s="241">
        <v>0</v>
      </c>
      <c r="AC54" s="238" t="s">
        <v>556</v>
      </c>
      <c r="AD54" s="245">
        <f t="shared" si="8"/>
        <v>0</v>
      </c>
    </row>
    <row r="55" spans="1:30" x14ac:dyDescent="0.25">
      <c r="A55" s="239" t="s">
        <v>129</v>
      </c>
      <c r="B55" s="242" t="s">
        <v>123</v>
      </c>
      <c r="C55" s="238" t="s">
        <v>556</v>
      </c>
      <c r="D55" s="238">
        <f t="shared" si="4"/>
        <v>0</v>
      </c>
      <c r="E55" s="238">
        <f t="shared" si="5"/>
        <v>0</v>
      </c>
      <c r="F55" s="238">
        <f t="shared" si="6"/>
        <v>0</v>
      </c>
      <c r="G55" s="241">
        <f>'6.2. Паспорт фин осв ввод утв'!P55</f>
        <v>0</v>
      </c>
      <c r="H55" s="241">
        <f t="shared" si="7"/>
        <v>0</v>
      </c>
      <c r="I55" s="238" t="s">
        <v>556</v>
      </c>
      <c r="J55" s="238" t="s">
        <v>556</v>
      </c>
      <c r="K55" s="238">
        <v>0</v>
      </c>
      <c r="L55" s="238">
        <v>0</v>
      </c>
      <c r="M55" s="238" t="s">
        <v>556</v>
      </c>
      <c r="N55" s="241" t="s">
        <v>556</v>
      </c>
      <c r="O55" s="238">
        <v>0</v>
      </c>
      <c r="P55" s="241">
        <v>0</v>
      </c>
      <c r="Q55" s="241" t="s">
        <v>556</v>
      </c>
      <c r="R55" s="241" t="s">
        <v>556</v>
      </c>
      <c r="S55" s="238">
        <v>0</v>
      </c>
      <c r="T55" s="241">
        <v>0</v>
      </c>
      <c r="U55" s="238" t="s">
        <v>556</v>
      </c>
      <c r="V55" s="241" t="s">
        <v>556</v>
      </c>
      <c r="W55" s="238">
        <v>0</v>
      </c>
      <c r="X55" s="241">
        <v>0</v>
      </c>
      <c r="Y55" s="238" t="s">
        <v>556</v>
      </c>
      <c r="Z55" s="241" t="s">
        <v>556</v>
      </c>
      <c r="AA55" s="238">
        <v>0</v>
      </c>
      <c r="AB55" s="241">
        <v>0</v>
      </c>
      <c r="AC55" s="238" t="s">
        <v>556</v>
      </c>
      <c r="AD55" s="245">
        <f t="shared" si="8"/>
        <v>0</v>
      </c>
    </row>
    <row r="56" spans="1:30" x14ac:dyDescent="0.25">
      <c r="A56" s="239" t="s">
        <v>128</v>
      </c>
      <c r="B56" s="242" t="s">
        <v>122</v>
      </c>
      <c r="C56" s="238" t="s">
        <v>556</v>
      </c>
      <c r="D56" s="238">
        <f t="shared" si="4"/>
        <v>0.3</v>
      </c>
      <c r="E56" s="238">
        <f t="shared" si="5"/>
        <v>0.3</v>
      </c>
      <c r="F56" s="238">
        <f t="shared" si="6"/>
        <v>0.3</v>
      </c>
      <c r="G56" s="241">
        <f>'6.2. Паспорт фин осв ввод утв'!P56</f>
        <v>0</v>
      </c>
      <c r="H56" s="241">
        <f t="shared" si="7"/>
        <v>0</v>
      </c>
      <c r="I56" s="238" t="s">
        <v>556</v>
      </c>
      <c r="J56" s="238" t="s">
        <v>556</v>
      </c>
      <c r="K56" s="238">
        <v>0</v>
      </c>
      <c r="L56" s="238">
        <v>0</v>
      </c>
      <c r="M56" s="238" t="s">
        <v>556</v>
      </c>
      <c r="N56" s="241" t="s">
        <v>556</v>
      </c>
      <c r="O56" s="238">
        <v>0</v>
      </c>
      <c r="P56" s="241">
        <v>0</v>
      </c>
      <c r="Q56" s="241" t="s">
        <v>556</v>
      </c>
      <c r="R56" s="241" t="s">
        <v>556</v>
      </c>
      <c r="S56" s="238">
        <f>S39</f>
        <v>0.3</v>
      </c>
      <c r="T56" s="241">
        <v>0</v>
      </c>
      <c r="U56" s="238" t="s">
        <v>556</v>
      </c>
      <c r="V56" s="241" t="s">
        <v>556</v>
      </c>
      <c r="W56" s="238">
        <v>0</v>
      </c>
      <c r="X56" s="241">
        <v>0</v>
      </c>
      <c r="Y56" s="238" t="s">
        <v>556</v>
      </c>
      <c r="Z56" s="241" t="s">
        <v>556</v>
      </c>
      <c r="AA56" s="238">
        <v>0</v>
      </c>
      <c r="AB56" s="241">
        <v>0</v>
      </c>
      <c r="AC56" s="238" t="s">
        <v>556</v>
      </c>
      <c r="AD56" s="245">
        <f t="shared" si="8"/>
        <v>0.3</v>
      </c>
    </row>
    <row r="57" spans="1:30" ht="18.75" x14ac:dyDescent="0.25">
      <c r="A57" s="239" t="s">
        <v>127</v>
      </c>
      <c r="B57" s="242" t="s">
        <v>566</v>
      </c>
      <c r="C57" s="238" t="s">
        <v>556</v>
      </c>
      <c r="D57" s="238">
        <f t="shared" si="4"/>
        <v>0</v>
      </c>
      <c r="E57" s="238">
        <f t="shared" si="5"/>
        <v>0</v>
      </c>
      <c r="F57" s="238">
        <f t="shared" si="6"/>
        <v>0</v>
      </c>
      <c r="G57" s="241">
        <f>'6.2. Паспорт фин осв ввод утв'!P57</f>
        <v>0</v>
      </c>
      <c r="H57" s="241">
        <f t="shared" si="7"/>
        <v>0</v>
      </c>
      <c r="I57" s="238" t="s">
        <v>556</v>
      </c>
      <c r="J57" s="238" t="s">
        <v>556</v>
      </c>
      <c r="K57" s="238">
        <v>0</v>
      </c>
      <c r="L57" s="238">
        <v>0</v>
      </c>
      <c r="M57" s="238" t="s">
        <v>556</v>
      </c>
      <c r="N57" s="241" t="s">
        <v>556</v>
      </c>
      <c r="O57" s="238">
        <v>0</v>
      </c>
      <c r="P57" s="241">
        <v>0</v>
      </c>
      <c r="Q57" s="241" t="s">
        <v>556</v>
      </c>
      <c r="R57" s="241" t="s">
        <v>556</v>
      </c>
      <c r="S57" s="238">
        <v>0</v>
      </c>
      <c r="T57" s="241">
        <v>0</v>
      </c>
      <c r="U57" s="238" t="s">
        <v>556</v>
      </c>
      <c r="V57" s="241" t="s">
        <v>556</v>
      </c>
      <c r="W57" s="238">
        <v>0</v>
      </c>
      <c r="X57" s="241">
        <v>0</v>
      </c>
      <c r="Y57" s="238" t="s">
        <v>556</v>
      </c>
      <c r="Z57" s="241" t="s">
        <v>556</v>
      </c>
      <c r="AA57" s="238">
        <v>0</v>
      </c>
      <c r="AB57" s="241">
        <v>0</v>
      </c>
      <c r="AC57" s="238" t="s">
        <v>556</v>
      </c>
      <c r="AD57" s="245">
        <f t="shared" si="8"/>
        <v>0</v>
      </c>
    </row>
    <row r="58" spans="1:30" s="372" customFormat="1" ht="36.75" customHeight="1" x14ac:dyDescent="0.25">
      <c r="A58" s="236" t="s">
        <v>55</v>
      </c>
      <c r="B58" s="243" t="s">
        <v>225</v>
      </c>
      <c r="C58" s="238" t="s">
        <v>556</v>
      </c>
      <c r="D58" s="238">
        <f>D52</f>
        <v>2.33</v>
      </c>
      <c r="E58" s="238">
        <f t="shared" si="5"/>
        <v>2.33</v>
      </c>
      <c r="F58" s="238">
        <f t="shared" si="6"/>
        <v>2.33</v>
      </c>
      <c r="G58" s="238">
        <f>'6.2. Паспорт фин осв ввод утв'!P58</f>
        <v>0</v>
      </c>
      <c r="H58" s="238">
        <f t="shared" si="7"/>
        <v>0</v>
      </c>
      <c r="I58" s="238" t="s">
        <v>556</v>
      </c>
      <c r="J58" s="238" t="s">
        <v>556</v>
      </c>
      <c r="K58" s="238">
        <v>0</v>
      </c>
      <c r="L58" s="238">
        <v>0</v>
      </c>
      <c r="M58" s="238" t="s">
        <v>556</v>
      </c>
      <c r="N58" s="238" t="s">
        <v>556</v>
      </c>
      <c r="O58" s="238">
        <v>0</v>
      </c>
      <c r="P58" s="238">
        <v>0</v>
      </c>
      <c r="Q58" s="238" t="s">
        <v>556</v>
      </c>
      <c r="R58" s="238" t="s">
        <v>556</v>
      </c>
      <c r="S58" s="238">
        <f>D58</f>
        <v>2.33</v>
      </c>
      <c r="T58" s="238">
        <v>0</v>
      </c>
      <c r="U58" s="238" t="s">
        <v>556</v>
      </c>
      <c r="V58" s="238" t="s">
        <v>556</v>
      </c>
      <c r="W58" s="238">
        <v>0</v>
      </c>
      <c r="X58" s="238">
        <v>0</v>
      </c>
      <c r="Y58" s="238" t="s">
        <v>556</v>
      </c>
      <c r="Z58" s="238" t="s">
        <v>556</v>
      </c>
      <c r="AA58" s="238">
        <v>0</v>
      </c>
      <c r="AB58" s="238">
        <v>0</v>
      </c>
      <c r="AC58" s="238" t="s">
        <v>556</v>
      </c>
      <c r="AD58" s="245">
        <f t="shared" si="8"/>
        <v>2.33</v>
      </c>
    </row>
    <row r="59" spans="1:30" s="372" customFormat="1" x14ac:dyDescent="0.25">
      <c r="A59" s="236" t="s">
        <v>53</v>
      </c>
      <c r="B59" s="237" t="s">
        <v>126</v>
      </c>
      <c r="C59" s="238" t="s">
        <v>556</v>
      </c>
      <c r="D59" s="238">
        <f t="shared" si="4"/>
        <v>0</v>
      </c>
      <c r="E59" s="238">
        <f t="shared" si="5"/>
        <v>0</v>
      </c>
      <c r="F59" s="238">
        <f t="shared" si="6"/>
        <v>0</v>
      </c>
      <c r="G59" s="238">
        <f>'6.2. Паспорт фин осв ввод утв'!P59</f>
        <v>0</v>
      </c>
      <c r="H59" s="238">
        <f t="shared" si="7"/>
        <v>0</v>
      </c>
      <c r="I59" s="238" t="s">
        <v>556</v>
      </c>
      <c r="J59" s="238" t="s">
        <v>556</v>
      </c>
      <c r="K59" s="238">
        <v>0</v>
      </c>
      <c r="L59" s="238">
        <v>0</v>
      </c>
      <c r="M59" s="238" t="s">
        <v>556</v>
      </c>
      <c r="N59" s="238" t="s">
        <v>556</v>
      </c>
      <c r="O59" s="238">
        <v>0</v>
      </c>
      <c r="P59" s="238">
        <v>0</v>
      </c>
      <c r="Q59" s="238" t="s">
        <v>556</v>
      </c>
      <c r="R59" s="238" t="s">
        <v>556</v>
      </c>
      <c r="S59" s="238">
        <v>0</v>
      </c>
      <c r="T59" s="238">
        <v>0</v>
      </c>
      <c r="U59" s="238" t="s">
        <v>556</v>
      </c>
      <c r="V59" s="238" t="s">
        <v>556</v>
      </c>
      <c r="W59" s="238">
        <v>0</v>
      </c>
      <c r="X59" s="238">
        <v>0</v>
      </c>
      <c r="Y59" s="238" t="s">
        <v>556</v>
      </c>
      <c r="Z59" s="238" t="s">
        <v>556</v>
      </c>
      <c r="AA59" s="238">
        <v>0</v>
      </c>
      <c r="AB59" s="238">
        <v>0</v>
      </c>
      <c r="AC59" s="238" t="s">
        <v>556</v>
      </c>
      <c r="AD59" s="245">
        <f t="shared" si="8"/>
        <v>0</v>
      </c>
    </row>
    <row r="60" spans="1:30" x14ac:dyDescent="0.25">
      <c r="A60" s="239" t="s">
        <v>219</v>
      </c>
      <c r="B60" s="244" t="s">
        <v>147</v>
      </c>
      <c r="C60" s="238" t="s">
        <v>556</v>
      </c>
      <c r="D60" s="238">
        <f t="shared" si="4"/>
        <v>0</v>
      </c>
      <c r="E60" s="238">
        <f t="shared" si="5"/>
        <v>0</v>
      </c>
      <c r="F60" s="238">
        <f t="shared" si="6"/>
        <v>0</v>
      </c>
      <c r="G60" s="241">
        <f>'6.2. Паспорт фин осв ввод утв'!P60</f>
        <v>0</v>
      </c>
      <c r="H60" s="241">
        <f t="shared" si="7"/>
        <v>0</v>
      </c>
      <c r="I60" s="238" t="s">
        <v>556</v>
      </c>
      <c r="J60" s="238" t="s">
        <v>556</v>
      </c>
      <c r="K60" s="238">
        <v>0</v>
      </c>
      <c r="L60" s="238">
        <v>0</v>
      </c>
      <c r="M60" s="238" t="s">
        <v>556</v>
      </c>
      <c r="N60" s="241" t="s">
        <v>556</v>
      </c>
      <c r="O60" s="238">
        <v>0</v>
      </c>
      <c r="P60" s="241">
        <v>0</v>
      </c>
      <c r="Q60" s="241" t="s">
        <v>556</v>
      </c>
      <c r="R60" s="241" t="s">
        <v>556</v>
      </c>
      <c r="S60" s="238">
        <v>0</v>
      </c>
      <c r="T60" s="241">
        <v>0</v>
      </c>
      <c r="U60" s="238" t="s">
        <v>556</v>
      </c>
      <c r="V60" s="241" t="s">
        <v>556</v>
      </c>
      <c r="W60" s="238">
        <v>0</v>
      </c>
      <c r="X60" s="241">
        <v>0</v>
      </c>
      <c r="Y60" s="238" t="s">
        <v>556</v>
      </c>
      <c r="Z60" s="241" t="s">
        <v>556</v>
      </c>
      <c r="AA60" s="238">
        <v>0</v>
      </c>
      <c r="AB60" s="241">
        <v>0</v>
      </c>
      <c r="AC60" s="238" t="s">
        <v>556</v>
      </c>
      <c r="AD60" s="245">
        <f t="shared" si="8"/>
        <v>0</v>
      </c>
    </row>
    <row r="61" spans="1:30" x14ac:dyDescent="0.25">
      <c r="A61" s="239" t="s">
        <v>220</v>
      </c>
      <c r="B61" s="244" t="s">
        <v>145</v>
      </c>
      <c r="C61" s="238" t="s">
        <v>556</v>
      </c>
      <c r="D61" s="238">
        <f t="shared" si="4"/>
        <v>0</v>
      </c>
      <c r="E61" s="238">
        <f t="shared" si="5"/>
        <v>0</v>
      </c>
      <c r="F61" s="238">
        <f t="shared" si="6"/>
        <v>0</v>
      </c>
      <c r="G61" s="241">
        <f>'6.2. Паспорт фин осв ввод утв'!P61</f>
        <v>0</v>
      </c>
      <c r="H61" s="241">
        <f t="shared" si="7"/>
        <v>0</v>
      </c>
      <c r="I61" s="238" t="s">
        <v>556</v>
      </c>
      <c r="J61" s="238" t="s">
        <v>556</v>
      </c>
      <c r="K61" s="238">
        <v>0</v>
      </c>
      <c r="L61" s="238">
        <v>0</v>
      </c>
      <c r="M61" s="238" t="s">
        <v>556</v>
      </c>
      <c r="N61" s="241" t="s">
        <v>556</v>
      </c>
      <c r="O61" s="238">
        <v>0</v>
      </c>
      <c r="P61" s="241">
        <v>0</v>
      </c>
      <c r="Q61" s="241" t="s">
        <v>556</v>
      </c>
      <c r="R61" s="241" t="s">
        <v>556</v>
      </c>
      <c r="S61" s="238">
        <v>0</v>
      </c>
      <c r="T61" s="241">
        <v>0</v>
      </c>
      <c r="U61" s="238" t="s">
        <v>556</v>
      </c>
      <c r="V61" s="241" t="s">
        <v>556</v>
      </c>
      <c r="W61" s="238">
        <v>0</v>
      </c>
      <c r="X61" s="241">
        <v>0</v>
      </c>
      <c r="Y61" s="238" t="s">
        <v>556</v>
      </c>
      <c r="Z61" s="241" t="s">
        <v>556</v>
      </c>
      <c r="AA61" s="238">
        <v>0</v>
      </c>
      <c r="AB61" s="241">
        <v>0</v>
      </c>
      <c r="AC61" s="238" t="s">
        <v>556</v>
      </c>
      <c r="AD61" s="245">
        <f t="shared" si="8"/>
        <v>0</v>
      </c>
    </row>
    <row r="62" spans="1:30" x14ac:dyDescent="0.25">
      <c r="A62" s="239" t="s">
        <v>221</v>
      </c>
      <c r="B62" s="244" t="s">
        <v>143</v>
      </c>
      <c r="C62" s="238" t="s">
        <v>556</v>
      </c>
      <c r="D62" s="238">
        <f t="shared" si="4"/>
        <v>0</v>
      </c>
      <c r="E62" s="238">
        <f t="shared" si="5"/>
        <v>0</v>
      </c>
      <c r="F62" s="238">
        <f t="shared" si="6"/>
        <v>0</v>
      </c>
      <c r="G62" s="241">
        <f>'6.2. Паспорт фин осв ввод утв'!P62</f>
        <v>0</v>
      </c>
      <c r="H62" s="241">
        <f t="shared" si="7"/>
        <v>0</v>
      </c>
      <c r="I62" s="238" t="s">
        <v>556</v>
      </c>
      <c r="J62" s="238" t="s">
        <v>556</v>
      </c>
      <c r="K62" s="238">
        <v>0</v>
      </c>
      <c r="L62" s="238">
        <v>0</v>
      </c>
      <c r="M62" s="238" t="s">
        <v>556</v>
      </c>
      <c r="N62" s="241" t="s">
        <v>556</v>
      </c>
      <c r="O62" s="238">
        <v>0</v>
      </c>
      <c r="P62" s="241">
        <v>0</v>
      </c>
      <c r="Q62" s="241" t="s">
        <v>556</v>
      </c>
      <c r="R62" s="241" t="s">
        <v>556</v>
      </c>
      <c r="S62" s="238">
        <v>0</v>
      </c>
      <c r="T62" s="241">
        <v>0</v>
      </c>
      <c r="U62" s="238" t="s">
        <v>556</v>
      </c>
      <c r="V62" s="241" t="s">
        <v>556</v>
      </c>
      <c r="W62" s="238">
        <v>0</v>
      </c>
      <c r="X62" s="241">
        <v>0</v>
      </c>
      <c r="Y62" s="238" t="s">
        <v>556</v>
      </c>
      <c r="Z62" s="241" t="s">
        <v>556</v>
      </c>
      <c r="AA62" s="238">
        <v>0</v>
      </c>
      <c r="AB62" s="241">
        <v>0</v>
      </c>
      <c r="AC62" s="238" t="s">
        <v>556</v>
      </c>
      <c r="AD62" s="245">
        <f t="shared" si="8"/>
        <v>0</v>
      </c>
    </row>
    <row r="63" spans="1:30" x14ac:dyDescent="0.25">
      <c r="A63" s="239" t="s">
        <v>222</v>
      </c>
      <c r="B63" s="244" t="s">
        <v>224</v>
      </c>
      <c r="C63" s="238" t="s">
        <v>556</v>
      </c>
      <c r="D63" s="238">
        <f t="shared" si="4"/>
        <v>0</v>
      </c>
      <c r="E63" s="238">
        <f t="shared" si="5"/>
        <v>0</v>
      </c>
      <c r="F63" s="238">
        <f t="shared" si="6"/>
        <v>0</v>
      </c>
      <c r="G63" s="241">
        <f>'6.2. Паспорт фин осв ввод утв'!P63</f>
        <v>0</v>
      </c>
      <c r="H63" s="241">
        <f t="shared" si="7"/>
        <v>0</v>
      </c>
      <c r="I63" s="238" t="s">
        <v>556</v>
      </c>
      <c r="J63" s="238" t="s">
        <v>556</v>
      </c>
      <c r="K63" s="238">
        <v>0</v>
      </c>
      <c r="L63" s="238">
        <v>0</v>
      </c>
      <c r="M63" s="238" t="s">
        <v>556</v>
      </c>
      <c r="N63" s="241" t="s">
        <v>556</v>
      </c>
      <c r="O63" s="238">
        <v>0</v>
      </c>
      <c r="P63" s="241">
        <v>0</v>
      </c>
      <c r="Q63" s="241" t="s">
        <v>556</v>
      </c>
      <c r="R63" s="241" t="s">
        <v>556</v>
      </c>
      <c r="S63" s="238">
        <v>0</v>
      </c>
      <c r="T63" s="241">
        <v>0</v>
      </c>
      <c r="U63" s="238" t="s">
        <v>556</v>
      </c>
      <c r="V63" s="241" t="s">
        <v>556</v>
      </c>
      <c r="W63" s="238">
        <v>0</v>
      </c>
      <c r="X63" s="241">
        <v>0</v>
      </c>
      <c r="Y63" s="238" t="s">
        <v>556</v>
      </c>
      <c r="Z63" s="241" t="s">
        <v>556</v>
      </c>
      <c r="AA63" s="238">
        <v>0</v>
      </c>
      <c r="AB63" s="241">
        <v>0</v>
      </c>
      <c r="AC63" s="238" t="s">
        <v>556</v>
      </c>
      <c r="AD63" s="245">
        <f t="shared" si="8"/>
        <v>0</v>
      </c>
    </row>
    <row r="64" spans="1:30" ht="18.75" x14ac:dyDescent="0.25">
      <c r="A64" s="239" t="s">
        <v>223</v>
      </c>
      <c r="B64" s="242" t="s">
        <v>566</v>
      </c>
      <c r="C64" s="238" t="s">
        <v>556</v>
      </c>
      <c r="D64" s="238">
        <f t="shared" si="4"/>
        <v>0</v>
      </c>
      <c r="E64" s="238">
        <f t="shared" si="5"/>
        <v>0</v>
      </c>
      <c r="F64" s="238">
        <f t="shared" si="6"/>
        <v>0</v>
      </c>
      <c r="G64" s="241">
        <f>'6.2. Паспорт фин осв ввод утв'!P64</f>
        <v>0</v>
      </c>
      <c r="H64" s="241">
        <f t="shared" si="7"/>
        <v>0</v>
      </c>
      <c r="I64" s="238" t="s">
        <v>556</v>
      </c>
      <c r="J64" s="238" t="s">
        <v>556</v>
      </c>
      <c r="K64" s="238">
        <v>0</v>
      </c>
      <c r="L64" s="238">
        <v>0</v>
      </c>
      <c r="M64" s="238" t="s">
        <v>556</v>
      </c>
      <c r="N64" s="241" t="s">
        <v>556</v>
      </c>
      <c r="O64" s="238">
        <v>0</v>
      </c>
      <c r="P64" s="241">
        <v>0</v>
      </c>
      <c r="Q64" s="241" t="s">
        <v>556</v>
      </c>
      <c r="R64" s="241" t="s">
        <v>556</v>
      </c>
      <c r="S64" s="238">
        <v>0</v>
      </c>
      <c r="T64" s="241">
        <v>0</v>
      </c>
      <c r="U64" s="238" t="s">
        <v>556</v>
      </c>
      <c r="V64" s="241" t="s">
        <v>556</v>
      </c>
      <c r="W64" s="238">
        <v>0</v>
      </c>
      <c r="X64" s="241">
        <v>0</v>
      </c>
      <c r="Y64" s="238" t="s">
        <v>556</v>
      </c>
      <c r="Z64" s="241" t="s">
        <v>556</v>
      </c>
      <c r="AA64" s="238">
        <v>0</v>
      </c>
      <c r="AB64" s="241">
        <v>0</v>
      </c>
      <c r="AC64" s="238" t="s">
        <v>556</v>
      </c>
      <c r="AD64" s="245">
        <f t="shared" si="8"/>
        <v>0</v>
      </c>
    </row>
    <row r="65" spans="1:29" x14ac:dyDescent="0.25">
      <c r="A65" s="66"/>
      <c r="B65" s="67"/>
      <c r="C65" s="67"/>
      <c r="D65" s="67"/>
      <c r="E65" s="67"/>
      <c r="F65" s="67"/>
      <c r="G65" s="67"/>
      <c r="H65" s="67"/>
    </row>
    <row r="66" spans="1:29" ht="54" customHeight="1" x14ac:dyDescent="0.25">
      <c r="B66" s="462"/>
      <c r="C66" s="462"/>
      <c r="D66" s="462"/>
      <c r="E66" s="462"/>
      <c r="F66" s="462"/>
      <c r="G66" s="366"/>
      <c r="H66" s="366"/>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D67" s="373"/>
    </row>
    <row r="68" spans="1:29" ht="50.25" customHeight="1" x14ac:dyDescent="0.25">
      <c r="B68" s="463"/>
      <c r="C68" s="463"/>
      <c r="D68" s="463"/>
      <c r="E68" s="463"/>
      <c r="F68" s="463"/>
      <c r="G68" s="367"/>
      <c r="H68" s="367"/>
    </row>
    <row r="70" spans="1:29" ht="36.75" customHeight="1" x14ac:dyDescent="0.25">
      <c r="B70" s="462"/>
      <c r="C70" s="462"/>
      <c r="D70" s="462"/>
      <c r="E70" s="462"/>
      <c r="F70" s="462"/>
      <c r="G70" s="366"/>
      <c r="H70" s="366"/>
    </row>
    <row r="71" spans="1:29" x14ac:dyDescent="0.25">
      <c r="B71" s="64"/>
      <c r="C71" s="64"/>
      <c r="D71" s="64"/>
      <c r="E71" s="64"/>
      <c r="F71" s="64"/>
    </row>
    <row r="72" spans="1:29" ht="51" customHeight="1" x14ac:dyDescent="0.25">
      <c r="B72" s="462"/>
      <c r="C72" s="462"/>
      <c r="D72" s="462"/>
      <c r="E72" s="462"/>
      <c r="F72" s="462"/>
      <c r="G72" s="366"/>
      <c r="H72" s="366"/>
    </row>
    <row r="73" spans="1:29" ht="32.25" customHeight="1" x14ac:dyDescent="0.25">
      <c r="B73" s="463"/>
      <c r="C73" s="463"/>
      <c r="D73" s="463"/>
      <c r="E73" s="463"/>
      <c r="F73" s="463"/>
      <c r="G73" s="367"/>
      <c r="H73" s="367"/>
    </row>
    <row r="74" spans="1:29" ht="51.75" customHeight="1" x14ac:dyDescent="0.25">
      <c r="B74" s="462"/>
      <c r="C74" s="462"/>
      <c r="D74" s="462"/>
      <c r="E74" s="462"/>
      <c r="F74" s="462"/>
      <c r="G74" s="366"/>
      <c r="H74" s="366"/>
    </row>
    <row r="75" spans="1:29" ht="21.75" customHeight="1" x14ac:dyDescent="0.25">
      <c r="B75" s="460"/>
      <c r="C75" s="460"/>
      <c r="D75" s="460"/>
      <c r="E75" s="460"/>
      <c r="F75" s="460"/>
      <c r="G75" s="364"/>
      <c r="H75" s="364"/>
    </row>
    <row r="76" spans="1:29" ht="23.25" customHeight="1" x14ac:dyDescent="0.25">
      <c r="B76" s="59"/>
      <c r="C76" s="59"/>
      <c r="D76" s="59"/>
      <c r="E76" s="59"/>
      <c r="F76" s="59"/>
    </row>
    <row r="77" spans="1:29" ht="18.75" customHeight="1" x14ac:dyDescent="0.25">
      <c r="B77" s="461"/>
      <c r="C77" s="461"/>
      <c r="D77" s="461"/>
      <c r="E77" s="461"/>
      <c r="F77" s="461"/>
      <c r="G77" s="365"/>
      <c r="H77" s="365"/>
    </row>
    <row r="90" spans="22:22" x14ac:dyDescent="0.25">
      <c r="V90" s="57">
        <f>SUM(V91)</f>
        <v>0</v>
      </c>
    </row>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7"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9" t="str">
        <f>'1. паспорт местоположение'!A5:C5</f>
        <v>Год раскрытия информации: 2022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c r="AS5" s="379"/>
      <c r="AT5" s="379"/>
      <c r="AU5" s="379"/>
      <c r="AV5" s="379"/>
    </row>
    <row r="6" spans="1:48" ht="18.75" x14ac:dyDescent="0.3">
      <c r="AV6" s="14"/>
    </row>
    <row r="7" spans="1:48" ht="18.75" x14ac:dyDescent="0.25">
      <c r="A7" s="390" t="s">
        <v>6</v>
      </c>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8.75" x14ac:dyDescent="0.25">
      <c r="A8" s="390"/>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c r="AL8" s="390"/>
      <c r="AM8" s="390"/>
      <c r="AN8" s="390"/>
      <c r="AO8" s="390"/>
      <c r="AP8" s="390"/>
      <c r="AQ8" s="390"/>
      <c r="AR8" s="390"/>
      <c r="AS8" s="390"/>
      <c r="AT8" s="390"/>
      <c r="AU8" s="390"/>
      <c r="AV8" s="390"/>
    </row>
    <row r="9" spans="1:48" x14ac:dyDescent="0.25">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95" t="s">
        <v>5</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x14ac:dyDescent="0.25">
      <c r="A12" s="391" t="str">
        <f>'1. паспорт местоположение'!A12:C12</f>
        <v>M  22-19</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95" t="s">
        <v>4</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x14ac:dyDescent="0.25">
      <c r="A15" s="391" t="str">
        <f>'1. паспорт местоположение'!A15</f>
        <v>Строительство 2-х КЛ-0,4кВ от ТП-12 до СП-0,4 (Новый), монтаж СП-0,4кВ п.Южный, Багратионовского р-на</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95" t="s">
        <v>3</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5"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5" customFormat="1" x14ac:dyDescent="0.25">
      <c r="A21" s="499" t="s">
        <v>436</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490" t="s">
        <v>49</v>
      </c>
      <c r="B22" s="501" t="s">
        <v>21</v>
      </c>
      <c r="C22" s="490" t="s">
        <v>48</v>
      </c>
      <c r="D22" s="490" t="s">
        <v>47</v>
      </c>
      <c r="E22" s="504" t="s">
        <v>447</v>
      </c>
      <c r="F22" s="505"/>
      <c r="G22" s="505"/>
      <c r="H22" s="505"/>
      <c r="I22" s="505"/>
      <c r="J22" s="505"/>
      <c r="K22" s="505"/>
      <c r="L22" s="506"/>
      <c r="M22" s="490" t="s">
        <v>46</v>
      </c>
      <c r="N22" s="490" t="s">
        <v>45</v>
      </c>
      <c r="O22" s="490" t="s">
        <v>44</v>
      </c>
      <c r="P22" s="485" t="s">
        <v>232</v>
      </c>
      <c r="Q22" s="485" t="s">
        <v>43</v>
      </c>
      <c r="R22" s="485" t="s">
        <v>42</v>
      </c>
      <c r="S22" s="485" t="s">
        <v>41</v>
      </c>
      <c r="T22" s="485"/>
      <c r="U22" s="507" t="s">
        <v>40</v>
      </c>
      <c r="V22" s="507" t="s">
        <v>39</v>
      </c>
      <c r="W22" s="485" t="s">
        <v>38</v>
      </c>
      <c r="X22" s="485" t="s">
        <v>37</v>
      </c>
      <c r="Y22" s="485" t="s">
        <v>36</v>
      </c>
      <c r="Z22" s="492" t="s">
        <v>35</v>
      </c>
      <c r="AA22" s="485" t="s">
        <v>34</v>
      </c>
      <c r="AB22" s="485" t="s">
        <v>33</v>
      </c>
      <c r="AC22" s="485" t="s">
        <v>32</v>
      </c>
      <c r="AD22" s="485" t="s">
        <v>31</v>
      </c>
      <c r="AE22" s="485" t="s">
        <v>30</v>
      </c>
      <c r="AF22" s="485" t="s">
        <v>29</v>
      </c>
      <c r="AG22" s="485"/>
      <c r="AH22" s="485"/>
      <c r="AI22" s="485"/>
      <c r="AJ22" s="485"/>
      <c r="AK22" s="485"/>
      <c r="AL22" s="485" t="s">
        <v>28</v>
      </c>
      <c r="AM22" s="485"/>
      <c r="AN22" s="485"/>
      <c r="AO22" s="485"/>
      <c r="AP22" s="485" t="s">
        <v>27</v>
      </c>
      <c r="AQ22" s="485"/>
      <c r="AR22" s="485" t="s">
        <v>26</v>
      </c>
      <c r="AS22" s="485" t="s">
        <v>25</v>
      </c>
      <c r="AT22" s="485" t="s">
        <v>24</v>
      </c>
      <c r="AU22" s="485" t="s">
        <v>23</v>
      </c>
      <c r="AV22" s="493" t="s">
        <v>22</v>
      </c>
    </row>
    <row r="23" spans="1:48" s="25" customFormat="1" ht="64.5" customHeight="1" x14ac:dyDescent="0.25">
      <c r="A23" s="500"/>
      <c r="B23" s="502"/>
      <c r="C23" s="500"/>
      <c r="D23" s="500"/>
      <c r="E23" s="495" t="s">
        <v>20</v>
      </c>
      <c r="F23" s="486" t="s">
        <v>125</v>
      </c>
      <c r="G23" s="486" t="s">
        <v>124</v>
      </c>
      <c r="H23" s="486" t="s">
        <v>123</v>
      </c>
      <c r="I23" s="488" t="s">
        <v>357</v>
      </c>
      <c r="J23" s="488" t="s">
        <v>358</v>
      </c>
      <c r="K23" s="488" t="s">
        <v>359</v>
      </c>
      <c r="L23" s="486" t="s">
        <v>73</v>
      </c>
      <c r="M23" s="500"/>
      <c r="N23" s="500"/>
      <c r="O23" s="500"/>
      <c r="P23" s="485"/>
      <c r="Q23" s="485"/>
      <c r="R23" s="485"/>
      <c r="S23" s="497" t="s">
        <v>1</v>
      </c>
      <c r="T23" s="497" t="s">
        <v>8</v>
      </c>
      <c r="U23" s="507"/>
      <c r="V23" s="507"/>
      <c r="W23" s="485"/>
      <c r="X23" s="485"/>
      <c r="Y23" s="485"/>
      <c r="Z23" s="485"/>
      <c r="AA23" s="485"/>
      <c r="AB23" s="485"/>
      <c r="AC23" s="485"/>
      <c r="AD23" s="485"/>
      <c r="AE23" s="485"/>
      <c r="AF23" s="485" t="s">
        <v>19</v>
      </c>
      <c r="AG23" s="485"/>
      <c r="AH23" s="485" t="s">
        <v>18</v>
      </c>
      <c r="AI23" s="485"/>
      <c r="AJ23" s="490" t="s">
        <v>17</v>
      </c>
      <c r="AK23" s="490" t="s">
        <v>16</v>
      </c>
      <c r="AL23" s="490" t="s">
        <v>15</v>
      </c>
      <c r="AM23" s="490" t="s">
        <v>14</v>
      </c>
      <c r="AN23" s="490" t="s">
        <v>13</v>
      </c>
      <c r="AO23" s="490" t="s">
        <v>12</v>
      </c>
      <c r="AP23" s="490" t="s">
        <v>11</v>
      </c>
      <c r="AQ23" s="508" t="s">
        <v>8</v>
      </c>
      <c r="AR23" s="485"/>
      <c r="AS23" s="485"/>
      <c r="AT23" s="485"/>
      <c r="AU23" s="485"/>
      <c r="AV23" s="494"/>
    </row>
    <row r="24" spans="1:48" s="25" customFormat="1" ht="96.75" customHeight="1" x14ac:dyDescent="0.25">
      <c r="A24" s="491"/>
      <c r="B24" s="503"/>
      <c r="C24" s="491"/>
      <c r="D24" s="491"/>
      <c r="E24" s="496"/>
      <c r="F24" s="487"/>
      <c r="G24" s="487"/>
      <c r="H24" s="487"/>
      <c r="I24" s="489"/>
      <c r="J24" s="489"/>
      <c r="K24" s="489"/>
      <c r="L24" s="487"/>
      <c r="M24" s="491"/>
      <c r="N24" s="491"/>
      <c r="O24" s="491"/>
      <c r="P24" s="485"/>
      <c r="Q24" s="485"/>
      <c r="R24" s="485"/>
      <c r="S24" s="498"/>
      <c r="T24" s="498"/>
      <c r="U24" s="507"/>
      <c r="V24" s="507"/>
      <c r="W24" s="485"/>
      <c r="X24" s="485"/>
      <c r="Y24" s="485"/>
      <c r="Z24" s="485"/>
      <c r="AA24" s="485"/>
      <c r="AB24" s="485"/>
      <c r="AC24" s="485"/>
      <c r="AD24" s="485"/>
      <c r="AE24" s="485"/>
      <c r="AF24" s="134" t="s">
        <v>10</v>
      </c>
      <c r="AG24" s="134" t="s">
        <v>9</v>
      </c>
      <c r="AH24" s="135" t="s">
        <v>1</v>
      </c>
      <c r="AI24" s="135" t="s">
        <v>8</v>
      </c>
      <c r="AJ24" s="491"/>
      <c r="AK24" s="491"/>
      <c r="AL24" s="491"/>
      <c r="AM24" s="491"/>
      <c r="AN24" s="491"/>
      <c r="AO24" s="491"/>
      <c r="AP24" s="491"/>
      <c r="AQ24" s="509"/>
      <c r="AR24" s="485"/>
      <c r="AS24" s="485"/>
      <c r="AT24" s="485"/>
      <c r="AU24" s="485"/>
      <c r="AV24" s="49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6" t="str">
        <f>'1. паспорт местоположение'!A5:C5</f>
        <v>Год раскрытия информации: 2022 год</v>
      </c>
      <c r="B5" s="516"/>
      <c r="C5" s="79"/>
      <c r="D5" s="79"/>
      <c r="E5" s="79"/>
      <c r="F5" s="79"/>
      <c r="G5" s="79"/>
      <c r="H5" s="79"/>
    </row>
    <row r="6" spans="1:8" ht="18.75" x14ac:dyDescent="0.3">
      <c r="A6" s="163"/>
      <c r="B6" s="163"/>
      <c r="C6" s="163"/>
      <c r="D6" s="163"/>
      <c r="E6" s="163"/>
      <c r="F6" s="163"/>
      <c r="G6" s="163"/>
      <c r="H6" s="163"/>
    </row>
    <row r="7" spans="1:8" ht="18.75" x14ac:dyDescent="0.25">
      <c r="A7" s="390" t="s">
        <v>6</v>
      </c>
      <c r="B7" s="390"/>
      <c r="C7" s="139"/>
      <c r="D7" s="139"/>
      <c r="E7" s="139"/>
      <c r="F7" s="139"/>
      <c r="G7" s="139"/>
      <c r="H7" s="139"/>
    </row>
    <row r="8" spans="1:8" ht="18.75" x14ac:dyDescent="0.25">
      <c r="A8" s="139"/>
      <c r="B8" s="139"/>
      <c r="C8" s="139"/>
      <c r="D8" s="139"/>
      <c r="E8" s="139"/>
      <c r="F8" s="139"/>
      <c r="G8" s="139"/>
      <c r="H8" s="139"/>
    </row>
    <row r="9" spans="1:8" x14ac:dyDescent="0.25">
      <c r="A9" s="391" t="str">
        <f>'1. паспорт местоположение'!A9:C9</f>
        <v xml:space="preserve">Акционерное общество "Западная энергетическая компания" </v>
      </c>
      <c r="B9" s="391"/>
      <c r="C9" s="153"/>
      <c r="D9" s="153"/>
      <c r="E9" s="153"/>
      <c r="F9" s="153"/>
      <c r="G9" s="153"/>
      <c r="H9" s="153"/>
    </row>
    <row r="10" spans="1:8" x14ac:dyDescent="0.25">
      <c r="A10" s="395" t="s">
        <v>5</v>
      </c>
      <c r="B10" s="395"/>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91" t="str">
        <f>'1. паспорт местоположение'!A12:C12</f>
        <v>M  22-19</v>
      </c>
      <c r="B12" s="391"/>
      <c r="C12" s="153"/>
      <c r="D12" s="153"/>
      <c r="E12" s="153"/>
      <c r="F12" s="153"/>
      <c r="G12" s="153"/>
      <c r="H12" s="153"/>
    </row>
    <row r="13" spans="1:8" x14ac:dyDescent="0.25">
      <c r="A13" s="395" t="s">
        <v>4</v>
      </c>
      <c r="B13" s="395"/>
      <c r="C13" s="141"/>
      <c r="D13" s="141"/>
      <c r="E13" s="141"/>
      <c r="F13" s="141"/>
      <c r="G13" s="141"/>
      <c r="H13" s="141"/>
    </row>
    <row r="14" spans="1:8" ht="18.75" x14ac:dyDescent="0.25">
      <c r="A14" s="10"/>
      <c r="B14" s="10"/>
      <c r="C14" s="10"/>
      <c r="D14" s="10"/>
      <c r="E14" s="10"/>
      <c r="F14" s="10"/>
      <c r="G14" s="10"/>
      <c r="H14" s="10"/>
    </row>
    <row r="15" spans="1:8" ht="39" customHeight="1" x14ac:dyDescent="0.25">
      <c r="A15" s="510" t="str">
        <f>'1. паспорт местоположение'!A15:C15</f>
        <v>Строительство 2-х КЛ-0,4кВ от ТП-12 до СП-0,4 (Новый), монтаж СП-0,4кВ п.Южный, Багратионовского р-на</v>
      </c>
      <c r="B15" s="424"/>
      <c r="C15" s="153"/>
      <c r="D15" s="153"/>
      <c r="E15" s="153"/>
      <c r="F15" s="153"/>
      <c r="G15" s="153"/>
      <c r="H15" s="153"/>
    </row>
    <row r="16" spans="1:8" x14ac:dyDescent="0.25">
      <c r="A16" s="395" t="s">
        <v>3</v>
      </c>
      <c r="B16" s="395"/>
      <c r="C16" s="141"/>
      <c r="D16" s="141"/>
      <c r="E16" s="141"/>
      <c r="F16" s="141"/>
      <c r="G16" s="141"/>
      <c r="H16" s="141"/>
    </row>
    <row r="17" spans="1:2" x14ac:dyDescent="0.25">
      <c r="B17" s="109"/>
    </row>
    <row r="18" spans="1:2" ht="33.75" customHeight="1" x14ac:dyDescent="0.25">
      <c r="A18" s="511" t="s">
        <v>437</v>
      </c>
      <c r="B18" s="512"/>
    </row>
    <row r="19" spans="1:2" x14ac:dyDescent="0.25">
      <c r="B19" s="42"/>
    </row>
    <row r="20" spans="1:2" ht="16.5" thickBot="1" x14ac:dyDescent="0.3">
      <c r="B20" s="110"/>
    </row>
    <row r="21" spans="1:2" ht="55.5" customHeight="1" thickBot="1" x14ac:dyDescent="0.3">
      <c r="A21" s="111" t="s">
        <v>307</v>
      </c>
      <c r="B21" s="161" t="str">
        <f>A15</f>
        <v>Строительство 2-х КЛ-0,4кВ от ТП-12 до СП-0,4 (Новый), монтаж СП-0,4кВ п.Южный, Багратионовского р-на</v>
      </c>
    </row>
    <row r="22" spans="1:2" ht="16.5" thickBot="1" x14ac:dyDescent="0.3">
      <c r="A22" s="111" t="s">
        <v>308</v>
      </c>
      <c r="B22" s="270" t="str">
        <f>'1. паспорт местоположение'!C27</f>
        <v>Багратионовский муниципальный район</v>
      </c>
    </row>
    <row r="23" spans="1:2" ht="16.5" thickBot="1" x14ac:dyDescent="0.3">
      <c r="A23" s="111" t="s">
        <v>288</v>
      </c>
      <c r="B23" s="112" t="s">
        <v>580</v>
      </c>
    </row>
    <row r="24" spans="1:2" ht="16.5" thickBot="1" x14ac:dyDescent="0.3">
      <c r="A24" s="111" t="s">
        <v>309</v>
      </c>
      <c r="B24" s="112">
        <f>'6.2. Паспорт фин осв ввод'!S47</f>
        <v>0.3</v>
      </c>
    </row>
    <row r="25" spans="1:2" ht="16.5" thickBot="1" x14ac:dyDescent="0.3">
      <c r="A25" s="113" t="s">
        <v>310</v>
      </c>
      <c r="B25" s="260">
        <f>'6.1. Паспорт сетевой график'!H54</f>
        <v>44925</v>
      </c>
    </row>
    <row r="26" spans="1:2" ht="16.5" thickBot="1" x14ac:dyDescent="0.3">
      <c r="A26" s="114" t="s">
        <v>311</v>
      </c>
      <c r="B26" s="115" t="s">
        <v>558</v>
      </c>
    </row>
    <row r="27" spans="1:2" ht="29.25" thickBot="1" x14ac:dyDescent="0.3">
      <c r="A27" s="122" t="s">
        <v>575</v>
      </c>
      <c r="B27" s="264">
        <f>'6.2. Паспорт фин осв ввод'!D24</f>
        <v>2.7959999999999998</v>
      </c>
    </row>
    <row r="28" spans="1:2" ht="48" customHeight="1" thickBot="1" x14ac:dyDescent="0.3">
      <c r="A28" s="117" t="s">
        <v>312</v>
      </c>
      <c r="B28" s="228" t="s">
        <v>572</v>
      </c>
    </row>
    <row r="29" spans="1:2" ht="29.25" thickBot="1" x14ac:dyDescent="0.3">
      <c r="A29" s="123" t="s">
        <v>313</v>
      </c>
      <c r="B29" s="247">
        <f>B30</f>
        <v>0</v>
      </c>
    </row>
    <row r="30" spans="1:2" ht="29.25" thickBot="1" x14ac:dyDescent="0.3">
      <c r="A30" s="123" t="s">
        <v>314</v>
      </c>
      <c r="B30" s="247">
        <f>B32+B41+B58</f>
        <v>0</v>
      </c>
    </row>
    <row r="31" spans="1:2" ht="16.5" thickBot="1" x14ac:dyDescent="0.3">
      <c r="A31" s="117" t="s">
        <v>315</v>
      </c>
      <c r="B31" s="247"/>
    </row>
    <row r="32" spans="1:2" ht="29.25" thickBot="1" x14ac:dyDescent="0.3">
      <c r="A32" s="123" t="s">
        <v>316</v>
      </c>
      <c r="B32" s="247">
        <v>0</v>
      </c>
    </row>
    <row r="33" spans="1:3" s="167" customFormat="1" ht="16.5" thickBot="1" x14ac:dyDescent="0.3">
      <c r="A33" s="361"/>
      <c r="B33" s="248">
        <v>0</v>
      </c>
    </row>
    <row r="34" spans="1:3" ht="16.5" thickBot="1" x14ac:dyDescent="0.3">
      <c r="A34" s="117" t="s">
        <v>318</v>
      </c>
      <c r="B34" s="168">
        <f>B33/B27</f>
        <v>0</v>
      </c>
    </row>
    <row r="35" spans="1:3" ht="16.5" thickBot="1" x14ac:dyDescent="0.3">
      <c r="A35" s="117" t="s">
        <v>319</v>
      </c>
      <c r="B35" s="247">
        <v>0</v>
      </c>
      <c r="C35" s="108">
        <v>1</v>
      </c>
    </row>
    <row r="36" spans="1:3" ht="16.5" thickBot="1" x14ac:dyDescent="0.3">
      <c r="A36" s="117" t="s">
        <v>320</v>
      </c>
      <c r="B36" s="247">
        <v>0</v>
      </c>
      <c r="C36" s="108">
        <v>2</v>
      </c>
    </row>
    <row r="37" spans="1:3" s="167" customFormat="1" ht="16.5" thickBot="1" x14ac:dyDescent="0.3">
      <c r="A37" s="176" t="s">
        <v>317</v>
      </c>
      <c r="B37" s="248">
        <v>0</v>
      </c>
    </row>
    <row r="38" spans="1:3" ht="16.5" thickBot="1" x14ac:dyDescent="0.3">
      <c r="A38" s="117" t="s">
        <v>318</v>
      </c>
      <c r="B38" s="168">
        <v>0</v>
      </c>
    </row>
    <row r="39" spans="1:3" ht="16.5" thickBot="1" x14ac:dyDescent="0.3">
      <c r="A39" s="117" t="s">
        <v>319</v>
      </c>
      <c r="B39" s="247">
        <v>0</v>
      </c>
      <c r="C39" s="108">
        <v>1</v>
      </c>
    </row>
    <row r="40" spans="1:3" ht="16.5" thickBot="1" x14ac:dyDescent="0.3">
      <c r="A40" s="117" t="s">
        <v>320</v>
      </c>
      <c r="B40" s="247">
        <v>0</v>
      </c>
      <c r="C40" s="108">
        <v>2</v>
      </c>
    </row>
    <row r="41" spans="1:3" ht="29.25" thickBot="1" x14ac:dyDescent="0.3">
      <c r="A41" s="123" t="s">
        <v>321</v>
      </c>
      <c r="B41" s="247">
        <f>B42+B46+B50+B54</f>
        <v>0</v>
      </c>
    </row>
    <row r="42" spans="1:3" s="167" customFormat="1" ht="16.5" thickBot="1" x14ac:dyDescent="0.3">
      <c r="A42" s="176" t="s">
        <v>601</v>
      </c>
      <c r="B42" s="248">
        <v>0</v>
      </c>
    </row>
    <row r="43" spans="1:3" ht="16.5" thickBot="1" x14ac:dyDescent="0.3">
      <c r="A43" s="117" t="s">
        <v>318</v>
      </c>
      <c r="B43" s="168">
        <f>B42/B27</f>
        <v>0</v>
      </c>
    </row>
    <row r="44" spans="1:3" ht="16.5" thickBot="1" x14ac:dyDescent="0.3">
      <c r="A44" s="117" t="s">
        <v>319</v>
      </c>
      <c r="B44" s="247">
        <v>0</v>
      </c>
      <c r="C44" s="108">
        <v>1</v>
      </c>
    </row>
    <row r="45" spans="1:3" ht="16.5" thickBot="1" x14ac:dyDescent="0.3">
      <c r="A45" s="117" t="s">
        <v>320</v>
      </c>
      <c r="B45" s="247">
        <v>0</v>
      </c>
      <c r="C45" s="108">
        <v>2</v>
      </c>
    </row>
    <row r="46" spans="1:3" s="167" customFormat="1" ht="16.5" thickBot="1" x14ac:dyDescent="0.3">
      <c r="A46" s="176" t="s">
        <v>317</v>
      </c>
      <c r="B46" s="248">
        <v>0</v>
      </c>
    </row>
    <row r="47" spans="1:3" ht="16.5" thickBot="1" x14ac:dyDescent="0.3">
      <c r="A47" s="117" t="s">
        <v>318</v>
      </c>
      <c r="B47" s="168">
        <v>0</v>
      </c>
    </row>
    <row r="48" spans="1:3" ht="16.5" thickBot="1" x14ac:dyDescent="0.3">
      <c r="A48" s="117" t="s">
        <v>319</v>
      </c>
      <c r="B48" s="247">
        <v>0</v>
      </c>
      <c r="C48" s="108">
        <v>1</v>
      </c>
    </row>
    <row r="49" spans="1:3" ht="16.5" thickBot="1" x14ac:dyDescent="0.3">
      <c r="A49" s="117" t="s">
        <v>320</v>
      </c>
      <c r="B49" s="247">
        <v>0</v>
      </c>
      <c r="C49" s="108">
        <v>2</v>
      </c>
    </row>
    <row r="50" spans="1:3" s="167" customFormat="1" ht="16.5" thickBot="1" x14ac:dyDescent="0.3">
      <c r="A50" s="166" t="s">
        <v>317</v>
      </c>
      <c r="B50" s="248">
        <v>0</v>
      </c>
    </row>
    <row r="51" spans="1:3" ht="16.5" thickBot="1" x14ac:dyDescent="0.3">
      <c r="A51" s="117" t="s">
        <v>318</v>
      </c>
      <c r="B51" s="168">
        <v>0</v>
      </c>
    </row>
    <row r="52" spans="1:3" ht="16.5" thickBot="1" x14ac:dyDescent="0.3">
      <c r="A52" s="117" t="s">
        <v>319</v>
      </c>
      <c r="B52" s="247">
        <v>0</v>
      </c>
      <c r="C52" s="108">
        <v>1</v>
      </c>
    </row>
    <row r="53" spans="1:3" ht="16.5" thickBot="1" x14ac:dyDescent="0.3">
      <c r="A53" s="117" t="s">
        <v>320</v>
      </c>
      <c r="B53" s="247">
        <v>0</v>
      </c>
      <c r="C53" s="108">
        <v>2</v>
      </c>
    </row>
    <row r="54" spans="1:3" s="167" customFormat="1" ht="16.5" thickBot="1" x14ac:dyDescent="0.3">
      <c r="A54" s="166" t="s">
        <v>317</v>
      </c>
      <c r="B54" s="248">
        <v>0</v>
      </c>
    </row>
    <row r="55" spans="1:3" ht="16.5" thickBot="1" x14ac:dyDescent="0.3">
      <c r="A55" s="117" t="s">
        <v>318</v>
      </c>
      <c r="B55" s="168">
        <v>0</v>
      </c>
    </row>
    <row r="56" spans="1:3" ht="16.5" thickBot="1" x14ac:dyDescent="0.3">
      <c r="A56" s="117" t="s">
        <v>319</v>
      </c>
      <c r="B56" s="247">
        <v>0</v>
      </c>
      <c r="C56" s="108">
        <v>1</v>
      </c>
    </row>
    <row r="57" spans="1:3" ht="16.5" thickBot="1" x14ac:dyDescent="0.3">
      <c r="A57" s="117" t="s">
        <v>320</v>
      </c>
      <c r="B57" s="247">
        <v>0</v>
      </c>
      <c r="C57" s="108">
        <v>2</v>
      </c>
    </row>
    <row r="58" spans="1:3" ht="29.25" thickBot="1" x14ac:dyDescent="0.3">
      <c r="A58" s="123" t="s">
        <v>322</v>
      </c>
      <c r="B58" s="247">
        <v>0</v>
      </c>
    </row>
    <row r="59" spans="1:3" s="167" customFormat="1" ht="16.5" thickBot="1" x14ac:dyDescent="0.3">
      <c r="A59" s="362"/>
      <c r="B59" s="248">
        <v>0</v>
      </c>
    </row>
    <row r="60" spans="1:3" ht="16.5" thickBot="1" x14ac:dyDescent="0.3">
      <c r="A60" s="117" t="s">
        <v>318</v>
      </c>
      <c r="B60" s="168">
        <f>B59/B27</f>
        <v>0</v>
      </c>
    </row>
    <row r="61" spans="1:3" ht="16.5" thickBot="1" x14ac:dyDescent="0.3">
      <c r="A61" s="117" t="s">
        <v>319</v>
      </c>
      <c r="B61" s="247">
        <v>0</v>
      </c>
      <c r="C61" s="108">
        <v>1</v>
      </c>
    </row>
    <row r="62" spans="1:3" ht="16.5" thickBot="1" x14ac:dyDescent="0.3">
      <c r="A62" s="117" t="s">
        <v>320</v>
      </c>
      <c r="B62" s="247">
        <v>0</v>
      </c>
      <c r="C62" s="108">
        <v>2</v>
      </c>
    </row>
    <row r="63" spans="1:3" s="167" customFormat="1" ht="16.5" thickBot="1" x14ac:dyDescent="0.3">
      <c r="A63" s="166" t="s">
        <v>317</v>
      </c>
      <c r="B63" s="248">
        <v>0</v>
      </c>
    </row>
    <row r="64" spans="1:3" ht="16.5" thickBot="1" x14ac:dyDescent="0.3">
      <c r="A64" s="117" t="s">
        <v>318</v>
      </c>
      <c r="B64" s="168">
        <v>0</v>
      </c>
    </row>
    <row r="65" spans="1:3" ht="16.5" thickBot="1" x14ac:dyDescent="0.3">
      <c r="A65" s="117" t="s">
        <v>319</v>
      </c>
      <c r="B65" s="247">
        <v>0</v>
      </c>
      <c r="C65" s="108">
        <v>1</v>
      </c>
    </row>
    <row r="66" spans="1:3" ht="16.5" thickBot="1" x14ac:dyDescent="0.3">
      <c r="A66" s="117" t="s">
        <v>320</v>
      </c>
      <c r="B66" s="247">
        <v>0</v>
      </c>
      <c r="C66" s="108">
        <v>2</v>
      </c>
    </row>
    <row r="67" spans="1:3" s="167" customFormat="1" ht="16.5" thickBot="1" x14ac:dyDescent="0.3">
      <c r="A67" s="166" t="s">
        <v>317</v>
      </c>
      <c r="B67" s="248">
        <v>0</v>
      </c>
    </row>
    <row r="68" spans="1:3" ht="16.5" thickBot="1" x14ac:dyDescent="0.3">
      <c r="A68" s="117" t="s">
        <v>318</v>
      </c>
      <c r="B68" s="168">
        <v>0</v>
      </c>
    </row>
    <row r="69" spans="1:3" ht="16.5" thickBot="1" x14ac:dyDescent="0.3">
      <c r="A69" s="117" t="s">
        <v>319</v>
      </c>
      <c r="B69" s="247">
        <v>0</v>
      </c>
      <c r="C69" s="108">
        <v>1</v>
      </c>
    </row>
    <row r="70" spans="1:3" ht="16.5" thickBot="1" x14ac:dyDescent="0.3">
      <c r="A70" s="117" t="s">
        <v>320</v>
      </c>
      <c r="B70" s="247">
        <v>0</v>
      </c>
      <c r="C70" s="108">
        <v>2</v>
      </c>
    </row>
    <row r="71" spans="1:3" s="167" customFormat="1" ht="16.5" thickBot="1" x14ac:dyDescent="0.3">
      <c r="A71" s="166" t="s">
        <v>317</v>
      </c>
      <c r="B71" s="248">
        <v>0</v>
      </c>
    </row>
    <row r="72" spans="1:3" ht="16.5" thickBot="1" x14ac:dyDescent="0.3">
      <c r="A72" s="117" t="s">
        <v>318</v>
      </c>
      <c r="B72" s="168">
        <v>0</v>
      </c>
    </row>
    <row r="73" spans="1:3" ht="16.5" thickBot="1" x14ac:dyDescent="0.3">
      <c r="A73" s="117" t="s">
        <v>319</v>
      </c>
      <c r="B73" s="247">
        <v>0</v>
      </c>
      <c r="C73" s="108">
        <v>1</v>
      </c>
    </row>
    <row r="74" spans="1:3" ht="16.5" thickBot="1" x14ac:dyDescent="0.3">
      <c r="A74" s="117" t="s">
        <v>320</v>
      </c>
      <c r="B74" s="247">
        <v>0</v>
      </c>
      <c r="C74" s="108">
        <v>2</v>
      </c>
    </row>
    <row r="75" spans="1:3" ht="29.25" thickBot="1" x14ac:dyDescent="0.3">
      <c r="A75" s="116" t="s">
        <v>323</v>
      </c>
      <c r="B75" s="168">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v>0</v>
      </c>
    </row>
    <row r="81" spans="1:2" ht="16.5" thickBot="1" x14ac:dyDescent="0.3">
      <c r="A81" s="113" t="s">
        <v>328</v>
      </c>
      <c r="B81" s="249">
        <f xml:space="preserve"> SUMIF(C33:C74, 1,B33:B74)</f>
        <v>0</v>
      </c>
    </row>
    <row r="82" spans="1:2" ht="16.5" thickBot="1" x14ac:dyDescent="0.3">
      <c r="A82" s="113" t="s">
        <v>329</v>
      </c>
      <c r="B82" s="169">
        <v>0</v>
      </c>
    </row>
    <row r="83" spans="1:2" ht="16.5" thickBot="1" x14ac:dyDescent="0.3">
      <c r="A83" s="114" t="s">
        <v>330</v>
      </c>
      <c r="B83" s="249">
        <f xml:space="preserve"> SUMIF(C35:C76, 2,B35:B76)</f>
        <v>0</v>
      </c>
    </row>
    <row r="84" spans="1:2" ht="15.6" customHeight="1" x14ac:dyDescent="0.25">
      <c r="A84" s="116" t="s">
        <v>331</v>
      </c>
      <c r="B84" s="118" t="s">
        <v>332</v>
      </c>
    </row>
    <row r="85" spans="1:2" x14ac:dyDescent="0.25">
      <c r="A85" s="120" t="s">
        <v>333</v>
      </c>
      <c r="B85" s="230" t="s">
        <v>596</v>
      </c>
    </row>
    <row r="86" spans="1:2" x14ac:dyDescent="0.25">
      <c r="A86" s="120" t="s">
        <v>334</v>
      </c>
      <c r="B86" s="230"/>
    </row>
    <row r="87" spans="1:2" x14ac:dyDescent="0.25">
      <c r="A87" s="120" t="s">
        <v>335</v>
      </c>
      <c r="B87" s="230"/>
    </row>
    <row r="88" spans="1:2" x14ac:dyDescent="0.25">
      <c r="A88" s="120" t="s">
        <v>336</v>
      </c>
      <c r="B88" s="230"/>
    </row>
    <row r="89" spans="1:2" ht="16.5" thickBot="1" x14ac:dyDescent="0.3">
      <c r="A89" s="121" t="s">
        <v>337</v>
      </c>
      <c r="B89" s="231"/>
    </row>
    <row r="90" spans="1:2" ht="30.75" thickBot="1" x14ac:dyDescent="0.3">
      <c r="A90" s="118" t="s">
        <v>338</v>
      </c>
      <c r="B90" s="119"/>
    </row>
    <row r="91" spans="1:2" ht="29.25" thickBot="1" x14ac:dyDescent="0.3">
      <c r="A91" s="113" t="s">
        <v>339</v>
      </c>
      <c r="B91" s="228"/>
    </row>
    <row r="92" spans="1:2" ht="16.5" thickBot="1" x14ac:dyDescent="0.3">
      <c r="A92" s="118" t="s">
        <v>315</v>
      </c>
      <c r="B92" s="250"/>
    </row>
    <row r="93" spans="1:2" ht="16.5" thickBot="1" x14ac:dyDescent="0.3">
      <c r="A93" s="118" t="s">
        <v>340</v>
      </c>
      <c r="B93" s="228"/>
    </row>
    <row r="94" spans="1:2" ht="16.5" thickBot="1" x14ac:dyDescent="0.3">
      <c r="A94" s="118" t="s">
        <v>341</v>
      </c>
      <c r="B94" s="250"/>
    </row>
    <row r="95" spans="1:2" ht="16.5" thickBot="1" x14ac:dyDescent="0.3">
      <c r="A95" s="126" t="s">
        <v>342</v>
      </c>
      <c r="B95" s="162" t="s">
        <v>542</v>
      </c>
    </row>
    <row r="96" spans="1:2" ht="16.5" thickBot="1" x14ac:dyDescent="0.3">
      <c r="A96" s="113" t="s">
        <v>343</v>
      </c>
      <c r="B96" s="124"/>
    </row>
    <row r="97" spans="1:2" ht="16.5" thickBot="1" x14ac:dyDescent="0.3">
      <c r="A97" s="120" t="s">
        <v>344</v>
      </c>
      <c r="B97" s="251">
        <f>'6.1. Паспорт сетевой график'!H43</f>
        <v>44732</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row>
    <row r="101" spans="1:2" ht="28.5" x14ac:dyDescent="0.25">
      <c r="A101" s="116" t="s">
        <v>348</v>
      </c>
      <c r="B101" s="513"/>
    </row>
    <row r="102" spans="1:2" x14ac:dyDescent="0.25">
      <c r="A102" s="120" t="s">
        <v>349</v>
      </c>
      <c r="B102" s="514"/>
    </row>
    <row r="103" spans="1:2" x14ac:dyDescent="0.25">
      <c r="A103" s="120" t="s">
        <v>350</v>
      </c>
      <c r="B103" s="514"/>
    </row>
    <row r="104" spans="1:2" x14ac:dyDescent="0.25">
      <c r="A104" s="120" t="s">
        <v>351</v>
      </c>
      <c r="B104" s="514"/>
    </row>
    <row r="105" spans="1:2" x14ac:dyDescent="0.25">
      <c r="A105" s="120" t="s">
        <v>352</v>
      </c>
      <c r="B105" s="514"/>
    </row>
    <row r="106" spans="1:2" ht="16.5" thickBot="1" x14ac:dyDescent="0.3">
      <c r="A106" s="129" t="s">
        <v>353</v>
      </c>
      <c r="B106" s="515"/>
    </row>
    <row r="109" spans="1:2" x14ac:dyDescent="0.25">
      <c r="A109" s="130"/>
      <c r="B109" s="131"/>
    </row>
    <row r="110" spans="1:2" x14ac:dyDescent="0.25">
      <c r="B110" s="132"/>
    </row>
    <row r="111" spans="1:2" x14ac:dyDescent="0.25">
      <c r="B111" s="13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7" t="s">
        <v>468</v>
      </c>
    </row>
    <row r="2" spans="1:1" ht="25.5" customHeight="1" x14ac:dyDescent="0.25">
      <c r="A2" s="517"/>
    </row>
    <row r="3" spans="1:1" ht="25.5" customHeight="1" x14ac:dyDescent="0.25">
      <c r="A3" s="517"/>
    </row>
    <row r="4" spans="1:1" ht="25.5" customHeight="1" x14ac:dyDescent="0.25">
      <c r="A4" s="517"/>
    </row>
    <row r="5" spans="1:1" ht="25.5" customHeight="1" x14ac:dyDescent="0.25">
      <c r="A5" s="517"/>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9" t="str">
        <f>'1. паспорт местоположение'!A5:C5</f>
        <v>Год раскрытия информации: 2022 год</v>
      </c>
      <c r="B4" s="379"/>
      <c r="C4" s="379"/>
      <c r="D4" s="379"/>
      <c r="E4" s="379"/>
      <c r="F4" s="379"/>
      <c r="G4" s="379"/>
      <c r="H4" s="379"/>
      <c r="I4" s="379"/>
      <c r="J4" s="379"/>
      <c r="K4" s="379"/>
      <c r="L4" s="379"/>
      <c r="M4" s="379"/>
      <c r="N4" s="379"/>
      <c r="O4" s="379"/>
      <c r="P4" s="379"/>
      <c r="Q4" s="379"/>
      <c r="R4" s="379"/>
      <c r="S4" s="379"/>
    </row>
    <row r="5" spans="1:28" s="11" customFormat="1" ht="15.75" x14ac:dyDescent="0.2">
      <c r="A5" s="16"/>
    </row>
    <row r="6" spans="1:28" s="11" customFormat="1" ht="18.75" x14ac:dyDescent="0.2">
      <c r="A6" s="390" t="s">
        <v>6</v>
      </c>
      <c r="B6" s="390"/>
      <c r="C6" s="390"/>
      <c r="D6" s="390"/>
      <c r="E6" s="390"/>
      <c r="F6" s="390"/>
      <c r="G6" s="390"/>
      <c r="H6" s="390"/>
      <c r="I6" s="390"/>
      <c r="J6" s="390"/>
      <c r="K6" s="390"/>
      <c r="L6" s="390"/>
      <c r="M6" s="390"/>
      <c r="N6" s="390"/>
      <c r="O6" s="390"/>
      <c r="P6" s="390"/>
      <c r="Q6" s="390"/>
      <c r="R6" s="390"/>
      <c r="S6" s="390"/>
      <c r="T6" s="12"/>
      <c r="U6" s="12"/>
      <c r="V6" s="12"/>
      <c r="W6" s="12"/>
      <c r="X6" s="12"/>
      <c r="Y6" s="12"/>
      <c r="Z6" s="12"/>
      <c r="AA6" s="12"/>
      <c r="AB6" s="12"/>
    </row>
    <row r="7" spans="1:28" s="11" customFormat="1" ht="18.75" x14ac:dyDescent="0.2">
      <c r="A7" s="390"/>
      <c r="B7" s="390"/>
      <c r="C7" s="390"/>
      <c r="D7" s="390"/>
      <c r="E7" s="390"/>
      <c r="F7" s="390"/>
      <c r="G7" s="390"/>
      <c r="H7" s="390"/>
      <c r="I7" s="390"/>
      <c r="J7" s="390"/>
      <c r="K7" s="390"/>
      <c r="L7" s="390"/>
      <c r="M7" s="390"/>
      <c r="N7" s="390"/>
      <c r="O7" s="390"/>
      <c r="P7" s="390"/>
      <c r="Q7" s="390"/>
      <c r="R7" s="390"/>
      <c r="S7" s="390"/>
      <c r="T7" s="12"/>
      <c r="U7" s="12"/>
      <c r="V7" s="12"/>
      <c r="W7" s="12"/>
      <c r="X7" s="12"/>
      <c r="Y7" s="12"/>
      <c r="Z7" s="12"/>
      <c r="AA7" s="12"/>
      <c r="AB7" s="12"/>
    </row>
    <row r="8" spans="1:28" s="11" customFormat="1" ht="18.75" x14ac:dyDescent="0.2">
      <c r="A8" s="391" t="str">
        <f>'1. паспорт местоположение'!A9:C9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12"/>
      <c r="U8" s="12"/>
      <c r="V8" s="12"/>
      <c r="W8" s="12"/>
      <c r="X8" s="12"/>
      <c r="Y8" s="12"/>
      <c r="Z8" s="12"/>
      <c r="AA8" s="12"/>
      <c r="AB8" s="12"/>
    </row>
    <row r="9" spans="1:28" s="11" customFormat="1" ht="18.75" x14ac:dyDescent="0.2">
      <c r="A9" s="395" t="s">
        <v>5</v>
      </c>
      <c r="B9" s="395"/>
      <c r="C9" s="395"/>
      <c r="D9" s="395"/>
      <c r="E9" s="395"/>
      <c r="F9" s="395"/>
      <c r="G9" s="395"/>
      <c r="H9" s="395"/>
      <c r="I9" s="395"/>
      <c r="J9" s="395"/>
      <c r="K9" s="395"/>
      <c r="L9" s="395"/>
      <c r="M9" s="395"/>
      <c r="N9" s="395"/>
      <c r="O9" s="395"/>
      <c r="P9" s="395"/>
      <c r="Q9" s="395"/>
      <c r="R9" s="395"/>
      <c r="S9" s="395"/>
      <c r="T9" s="12"/>
      <c r="U9" s="12"/>
      <c r="V9" s="12"/>
      <c r="W9" s="12"/>
      <c r="X9" s="12"/>
      <c r="Y9" s="12"/>
      <c r="Z9" s="12"/>
      <c r="AA9" s="12"/>
      <c r="AB9" s="12"/>
    </row>
    <row r="10" spans="1:28" s="11" customFormat="1" ht="18.75" x14ac:dyDescent="0.2">
      <c r="A10" s="390"/>
      <c r="B10" s="390"/>
      <c r="C10" s="390"/>
      <c r="D10" s="390"/>
      <c r="E10" s="390"/>
      <c r="F10" s="390"/>
      <c r="G10" s="390"/>
      <c r="H10" s="390"/>
      <c r="I10" s="390"/>
      <c r="J10" s="390"/>
      <c r="K10" s="390"/>
      <c r="L10" s="390"/>
      <c r="M10" s="390"/>
      <c r="N10" s="390"/>
      <c r="O10" s="390"/>
      <c r="P10" s="390"/>
      <c r="Q10" s="390"/>
      <c r="R10" s="390"/>
      <c r="S10" s="390"/>
      <c r="T10" s="12"/>
      <c r="U10" s="12"/>
      <c r="V10" s="12"/>
      <c r="W10" s="12"/>
      <c r="X10" s="12"/>
      <c r="Y10" s="12"/>
      <c r="Z10" s="12"/>
      <c r="AA10" s="12"/>
      <c r="AB10" s="12"/>
    </row>
    <row r="11" spans="1:28" s="11" customFormat="1" ht="18.75" x14ac:dyDescent="0.2">
      <c r="A11" s="391" t="str">
        <f>'1. паспорт местоположение'!A12:C12</f>
        <v>M  22-19</v>
      </c>
      <c r="B11" s="391"/>
      <c r="C11" s="391"/>
      <c r="D11" s="391"/>
      <c r="E11" s="391"/>
      <c r="F11" s="391"/>
      <c r="G11" s="391"/>
      <c r="H11" s="391"/>
      <c r="I11" s="391"/>
      <c r="J11" s="391"/>
      <c r="K11" s="391"/>
      <c r="L11" s="391"/>
      <c r="M11" s="391"/>
      <c r="N11" s="391"/>
      <c r="O11" s="391"/>
      <c r="P11" s="391"/>
      <c r="Q11" s="391"/>
      <c r="R11" s="391"/>
      <c r="S11" s="391"/>
      <c r="T11" s="12"/>
      <c r="U11" s="12"/>
      <c r="V11" s="12"/>
      <c r="W11" s="12"/>
      <c r="X11" s="12"/>
      <c r="Y11" s="12"/>
      <c r="Z11" s="12"/>
      <c r="AA11" s="12"/>
      <c r="AB11" s="12"/>
    </row>
    <row r="12" spans="1:28" s="11" customFormat="1" ht="18.75" x14ac:dyDescent="0.2">
      <c r="A12" s="395" t="s">
        <v>4</v>
      </c>
      <c r="B12" s="395"/>
      <c r="C12" s="395"/>
      <c r="D12" s="395"/>
      <c r="E12" s="395"/>
      <c r="F12" s="395"/>
      <c r="G12" s="395"/>
      <c r="H12" s="395"/>
      <c r="I12" s="395"/>
      <c r="J12" s="395"/>
      <c r="K12" s="395"/>
      <c r="L12" s="395"/>
      <c r="M12" s="395"/>
      <c r="N12" s="395"/>
      <c r="O12" s="395"/>
      <c r="P12" s="395"/>
      <c r="Q12" s="395"/>
      <c r="R12" s="395"/>
      <c r="S12" s="395"/>
      <c r="T12" s="12"/>
      <c r="U12" s="12"/>
      <c r="V12" s="12"/>
      <c r="W12" s="12"/>
      <c r="X12" s="12"/>
      <c r="Y12" s="12"/>
      <c r="Z12" s="12"/>
      <c r="AA12" s="12"/>
      <c r="AB12" s="12"/>
    </row>
    <row r="13" spans="1:28" s="8"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9"/>
      <c r="U13" s="9"/>
      <c r="V13" s="9"/>
      <c r="W13" s="9"/>
      <c r="X13" s="9"/>
      <c r="Y13" s="9"/>
      <c r="Z13" s="9"/>
      <c r="AA13" s="9"/>
      <c r="AB13" s="9"/>
    </row>
    <row r="14" spans="1:28" s="3" customFormat="1" ht="12" x14ac:dyDescent="0.2">
      <c r="A14" s="391" t="str">
        <f>'1. паспорт местоположение'!A9:C9</f>
        <v xml:space="preserve">Акционерное общество "Западная энергетическая компания" </v>
      </c>
      <c r="B14" s="391"/>
      <c r="C14" s="391"/>
      <c r="D14" s="391"/>
      <c r="E14" s="391"/>
      <c r="F14" s="391"/>
      <c r="G14" s="391"/>
      <c r="H14" s="391"/>
      <c r="I14" s="391"/>
      <c r="J14" s="391"/>
      <c r="K14" s="391"/>
      <c r="L14" s="391"/>
      <c r="M14" s="391"/>
      <c r="N14" s="391"/>
      <c r="O14" s="391"/>
      <c r="P14" s="391"/>
      <c r="Q14" s="391"/>
      <c r="R14" s="391"/>
      <c r="S14" s="391"/>
      <c r="T14" s="7"/>
      <c r="U14" s="7"/>
      <c r="V14" s="7"/>
      <c r="W14" s="7"/>
      <c r="X14" s="7"/>
      <c r="Y14" s="7"/>
      <c r="Z14" s="7"/>
      <c r="AA14" s="7"/>
      <c r="AB14" s="7"/>
    </row>
    <row r="15" spans="1:28" s="3" customFormat="1" ht="15" customHeight="1" x14ac:dyDescent="0.2">
      <c r="A15" s="397" t="str">
        <f>'1. паспорт местоположение'!A15:C15</f>
        <v>Строительство 2-х КЛ-0,4кВ от ТП-12 до СП-0,4 (Новый), монтаж СП-0,4кВ п.Южный, Багратионовского р-на</v>
      </c>
      <c r="B15" s="395"/>
      <c r="C15" s="395"/>
      <c r="D15" s="395"/>
      <c r="E15" s="395"/>
      <c r="F15" s="395"/>
      <c r="G15" s="395"/>
      <c r="H15" s="395"/>
      <c r="I15" s="395"/>
      <c r="J15" s="395"/>
      <c r="K15" s="395"/>
      <c r="L15" s="395"/>
      <c r="M15" s="395"/>
      <c r="N15" s="395"/>
      <c r="O15" s="395"/>
      <c r="P15" s="395"/>
      <c r="Q15" s="395"/>
      <c r="R15" s="395"/>
      <c r="S15" s="395"/>
      <c r="T15" s="5"/>
      <c r="U15" s="5"/>
      <c r="V15" s="5"/>
      <c r="W15" s="5"/>
      <c r="X15" s="5"/>
      <c r="Y15" s="5"/>
      <c r="Z15" s="5"/>
      <c r="AA15" s="5"/>
      <c r="AB15" s="5"/>
    </row>
    <row r="16" spans="1:28" s="3"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4"/>
      <c r="U16" s="4"/>
      <c r="V16" s="4"/>
      <c r="W16" s="4"/>
      <c r="X16" s="4"/>
      <c r="Y16" s="4"/>
    </row>
    <row r="17" spans="1:28" s="3" customFormat="1" ht="45.75" customHeight="1" x14ac:dyDescent="0.2">
      <c r="A17" s="399" t="s">
        <v>412</v>
      </c>
      <c r="B17" s="399"/>
      <c r="C17" s="399"/>
      <c r="D17" s="399"/>
      <c r="E17" s="399"/>
      <c r="F17" s="399"/>
      <c r="G17" s="399"/>
      <c r="H17" s="399"/>
      <c r="I17" s="399"/>
      <c r="J17" s="399"/>
      <c r="K17" s="399"/>
      <c r="L17" s="399"/>
      <c r="M17" s="399"/>
      <c r="N17" s="399"/>
      <c r="O17" s="399"/>
      <c r="P17" s="399"/>
      <c r="Q17" s="399"/>
      <c r="R17" s="399"/>
      <c r="S17" s="399"/>
      <c r="T17" s="6"/>
      <c r="U17" s="6"/>
      <c r="V17" s="6"/>
      <c r="W17" s="6"/>
      <c r="X17" s="6"/>
      <c r="Y17" s="6"/>
      <c r="Z17" s="6"/>
      <c r="AA17" s="6"/>
      <c r="AB17" s="6"/>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389" t="s">
        <v>2</v>
      </c>
      <c r="B19" s="389" t="s">
        <v>93</v>
      </c>
      <c r="C19" s="392" t="s">
        <v>306</v>
      </c>
      <c r="D19" s="389" t="s">
        <v>305</v>
      </c>
      <c r="E19" s="389" t="s">
        <v>92</v>
      </c>
      <c r="F19" s="389" t="s">
        <v>91</v>
      </c>
      <c r="G19" s="389" t="s">
        <v>301</v>
      </c>
      <c r="H19" s="389" t="s">
        <v>90</v>
      </c>
      <c r="I19" s="389" t="s">
        <v>89</v>
      </c>
      <c r="J19" s="389" t="s">
        <v>88</v>
      </c>
      <c r="K19" s="389" t="s">
        <v>87</v>
      </c>
      <c r="L19" s="389" t="s">
        <v>86</v>
      </c>
      <c r="M19" s="389" t="s">
        <v>85</v>
      </c>
      <c r="N19" s="389" t="s">
        <v>84</v>
      </c>
      <c r="O19" s="389" t="s">
        <v>83</v>
      </c>
      <c r="P19" s="389" t="s">
        <v>82</v>
      </c>
      <c r="Q19" s="389" t="s">
        <v>304</v>
      </c>
      <c r="R19" s="389"/>
      <c r="S19" s="394" t="s">
        <v>406</v>
      </c>
      <c r="T19" s="4"/>
      <c r="U19" s="4"/>
      <c r="V19" s="4"/>
      <c r="W19" s="4"/>
      <c r="X19" s="4"/>
      <c r="Y19" s="4"/>
    </row>
    <row r="20" spans="1:28" s="3" customFormat="1" ht="180.75" customHeight="1" x14ac:dyDescent="0.2">
      <c r="A20" s="389"/>
      <c r="B20" s="389"/>
      <c r="C20" s="393"/>
      <c r="D20" s="389"/>
      <c r="E20" s="389"/>
      <c r="F20" s="389"/>
      <c r="G20" s="389"/>
      <c r="H20" s="389"/>
      <c r="I20" s="389"/>
      <c r="J20" s="389"/>
      <c r="K20" s="389"/>
      <c r="L20" s="389"/>
      <c r="M20" s="389"/>
      <c r="N20" s="389"/>
      <c r="O20" s="389"/>
      <c r="P20" s="389"/>
      <c r="Q20" s="40" t="s">
        <v>302</v>
      </c>
      <c r="R20" s="41" t="s">
        <v>303</v>
      </c>
      <c r="S20" s="394"/>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576</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9" t="str">
        <f>'1. паспорт местоположение'!A5:C5</f>
        <v>Год раскрытия информации: 2022 год</v>
      </c>
      <c r="B6" s="379"/>
      <c r="C6" s="379"/>
      <c r="D6" s="379"/>
      <c r="E6" s="379"/>
      <c r="F6" s="379"/>
      <c r="G6" s="379"/>
      <c r="H6" s="379"/>
      <c r="I6" s="379"/>
      <c r="J6" s="379"/>
      <c r="K6" s="379"/>
      <c r="L6" s="379"/>
      <c r="M6" s="379"/>
      <c r="N6" s="379"/>
      <c r="O6" s="379"/>
      <c r="P6" s="379"/>
      <c r="Q6" s="379"/>
      <c r="R6" s="379"/>
      <c r="S6" s="379"/>
      <c r="T6" s="379"/>
    </row>
    <row r="7" spans="1:20" s="11" customFormat="1" x14ac:dyDescent="0.2">
      <c r="A7" s="16"/>
      <c r="H7" s="15"/>
    </row>
    <row r="8" spans="1:20" s="11" customFormat="1" ht="18.75" x14ac:dyDescent="0.2">
      <c r="A8" s="390" t="s">
        <v>6</v>
      </c>
      <c r="B8" s="390"/>
      <c r="C8" s="390"/>
      <c r="D8" s="390"/>
      <c r="E8" s="390"/>
      <c r="F8" s="390"/>
      <c r="G8" s="390"/>
      <c r="H8" s="390"/>
      <c r="I8" s="390"/>
      <c r="J8" s="390"/>
      <c r="K8" s="390"/>
      <c r="L8" s="390"/>
      <c r="M8" s="390"/>
      <c r="N8" s="390"/>
      <c r="O8" s="390"/>
      <c r="P8" s="390"/>
      <c r="Q8" s="390"/>
      <c r="R8" s="390"/>
      <c r="S8" s="390"/>
      <c r="T8" s="390"/>
    </row>
    <row r="9" spans="1:20" s="11" customFormat="1" ht="18.75" x14ac:dyDescent="0.2">
      <c r="A9" s="390"/>
      <c r="B9" s="390"/>
      <c r="C9" s="390"/>
      <c r="D9" s="390"/>
      <c r="E9" s="390"/>
      <c r="F9" s="390"/>
      <c r="G9" s="390"/>
      <c r="H9" s="390"/>
      <c r="I9" s="390"/>
      <c r="J9" s="390"/>
      <c r="K9" s="390"/>
      <c r="L9" s="390"/>
      <c r="M9" s="390"/>
      <c r="N9" s="390"/>
      <c r="O9" s="390"/>
      <c r="P9" s="390"/>
      <c r="Q9" s="390"/>
      <c r="R9" s="390"/>
      <c r="S9" s="390"/>
      <c r="T9" s="390"/>
    </row>
    <row r="10" spans="1:20" s="11" customFormat="1" ht="18.75" customHeight="1" x14ac:dyDescent="0.2">
      <c r="A10" s="391" t="str">
        <f>'1. паспорт местоположение'!A9:C9</f>
        <v xml:space="preserve">Акционерное общество "Западная энергетическая компания" </v>
      </c>
      <c r="B10" s="391"/>
      <c r="C10" s="391"/>
      <c r="D10" s="391"/>
      <c r="E10" s="391"/>
      <c r="F10" s="391"/>
      <c r="G10" s="391"/>
      <c r="H10" s="391"/>
      <c r="I10" s="391"/>
      <c r="J10" s="391"/>
      <c r="K10" s="391"/>
      <c r="L10" s="391"/>
      <c r="M10" s="391"/>
      <c r="N10" s="391"/>
      <c r="O10" s="391"/>
      <c r="P10" s="391"/>
      <c r="Q10" s="391"/>
      <c r="R10" s="391"/>
      <c r="S10" s="391"/>
      <c r="T10" s="391"/>
    </row>
    <row r="11" spans="1:20" s="11" customFormat="1" ht="18.75" customHeight="1" x14ac:dyDescent="0.2">
      <c r="A11" s="395" t="s">
        <v>5</v>
      </c>
      <c r="B11" s="395"/>
      <c r="C11" s="395"/>
      <c r="D11" s="395"/>
      <c r="E11" s="395"/>
      <c r="F11" s="395"/>
      <c r="G11" s="395"/>
      <c r="H11" s="395"/>
      <c r="I11" s="395"/>
      <c r="J11" s="395"/>
      <c r="K11" s="395"/>
      <c r="L11" s="395"/>
      <c r="M11" s="395"/>
      <c r="N11" s="395"/>
      <c r="O11" s="395"/>
      <c r="P11" s="395"/>
      <c r="Q11" s="395"/>
      <c r="R11" s="395"/>
      <c r="S11" s="395"/>
      <c r="T11" s="395"/>
    </row>
    <row r="12" spans="1:20" s="11" customFormat="1" ht="18.75" x14ac:dyDescent="0.2">
      <c r="A12" s="390"/>
      <c r="B12" s="390"/>
      <c r="C12" s="390"/>
      <c r="D12" s="390"/>
      <c r="E12" s="390"/>
      <c r="F12" s="390"/>
      <c r="G12" s="390"/>
      <c r="H12" s="390"/>
      <c r="I12" s="390"/>
      <c r="J12" s="390"/>
      <c r="K12" s="390"/>
      <c r="L12" s="390"/>
      <c r="M12" s="390"/>
      <c r="N12" s="390"/>
      <c r="O12" s="390"/>
      <c r="P12" s="390"/>
      <c r="Q12" s="390"/>
      <c r="R12" s="390"/>
      <c r="S12" s="390"/>
      <c r="T12" s="390"/>
    </row>
    <row r="13" spans="1:20" s="11" customFormat="1" ht="18.75" customHeight="1" x14ac:dyDescent="0.2">
      <c r="A13" s="391" t="str">
        <f>'1. паспорт местоположение'!A12:C12</f>
        <v>M  22-19</v>
      </c>
      <c r="B13" s="391"/>
      <c r="C13" s="391"/>
      <c r="D13" s="391"/>
      <c r="E13" s="391"/>
      <c r="F13" s="391"/>
      <c r="G13" s="391"/>
      <c r="H13" s="391"/>
      <c r="I13" s="391"/>
      <c r="J13" s="391"/>
      <c r="K13" s="391"/>
      <c r="L13" s="391"/>
      <c r="M13" s="391"/>
      <c r="N13" s="391"/>
      <c r="O13" s="391"/>
      <c r="P13" s="391"/>
      <c r="Q13" s="391"/>
      <c r="R13" s="391"/>
      <c r="S13" s="391"/>
      <c r="T13" s="391"/>
    </row>
    <row r="14" spans="1:20" s="11" customFormat="1" ht="18.75" customHeight="1" x14ac:dyDescent="0.2">
      <c r="A14" s="395" t="s">
        <v>4</v>
      </c>
      <c r="B14" s="395"/>
      <c r="C14" s="395"/>
      <c r="D14" s="395"/>
      <c r="E14" s="395"/>
      <c r="F14" s="395"/>
      <c r="G14" s="395"/>
      <c r="H14" s="395"/>
      <c r="I14" s="395"/>
      <c r="J14" s="395"/>
      <c r="K14" s="395"/>
      <c r="L14" s="395"/>
      <c r="M14" s="395"/>
      <c r="N14" s="395"/>
      <c r="O14" s="395"/>
      <c r="P14" s="395"/>
      <c r="Q14" s="395"/>
      <c r="R14" s="395"/>
      <c r="S14" s="395"/>
      <c r="T14" s="395"/>
    </row>
    <row r="15" spans="1:20" s="8" customFormat="1" ht="15.75" customHeight="1" x14ac:dyDescent="0.2">
      <c r="A15" s="396"/>
      <c r="B15" s="396"/>
      <c r="C15" s="396"/>
      <c r="D15" s="396"/>
      <c r="E15" s="396"/>
      <c r="F15" s="396"/>
      <c r="G15" s="396"/>
      <c r="H15" s="396"/>
      <c r="I15" s="396"/>
      <c r="J15" s="396"/>
      <c r="K15" s="396"/>
      <c r="L15" s="396"/>
      <c r="M15" s="396"/>
      <c r="N15" s="396"/>
      <c r="O15" s="396"/>
      <c r="P15" s="396"/>
      <c r="Q15" s="396"/>
      <c r="R15" s="396"/>
      <c r="S15" s="396"/>
      <c r="T15" s="396"/>
    </row>
    <row r="16" spans="1:20" s="3" customFormat="1" ht="12" x14ac:dyDescent="0.2">
      <c r="A16" s="391" t="str">
        <f>'1. паспорт местоположение'!A15</f>
        <v>Строительство 2-х КЛ-0,4кВ от ТП-12 до СП-0,4 (Новый), монтаж СП-0,4кВ п.Южный, Багратионовского р-на</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95" t="s">
        <v>3</v>
      </c>
      <c r="B17" s="395"/>
      <c r="C17" s="395"/>
      <c r="D17" s="395"/>
      <c r="E17" s="395"/>
      <c r="F17" s="395"/>
      <c r="G17" s="395"/>
      <c r="H17" s="395"/>
      <c r="I17" s="395"/>
      <c r="J17" s="395"/>
      <c r="K17" s="395"/>
      <c r="L17" s="395"/>
      <c r="M17" s="395"/>
      <c r="N17" s="395"/>
      <c r="O17" s="395"/>
      <c r="P17" s="395"/>
      <c r="Q17" s="395"/>
      <c r="R17" s="395"/>
      <c r="S17" s="395"/>
      <c r="T17" s="395"/>
    </row>
    <row r="18" spans="1:113"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398"/>
    </row>
    <row r="19" spans="1:113" s="3" customFormat="1" ht="15" customHeight="1" x14ac:dyDescent="0.2">
      <c r="A19" s="415" t="s">
        <v>417</v>
      </c>
      <c r="B19" s="415"/>
      <c r="C19" s="415"/>
      <c r="D19" s="415"/>
      <c r="E19" s="415"/>
      <c r="F19" s="415"/>
      <c r="G19" s="415"/>
      <c r="H19" s="415"/>
      <c r="I19" s="415"/>
      <c r="J19" s="415"/>
      <c r="K19" s="415"/>
      <c r="L19" s="415"/>
      <c r="M19" s="415"/>
      <c r="N19" s="415"/>
      <c r="O19" s="415"/>
      <c r="P19" s="415"/>
      <c r="Q19" s="415"/>
      <c r="R19" s="415"/>
      <c r="S19" s="415"/>
      <c r="T19" s="415"/>
    </row>
    <row r="20" spans="1:113" s="53"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113" ht="46.5" customHeight="1" x14ac:dyDescent="0.25">
      <c r="A21" s="409" t="s">
        <v>2</v>
      </c>
      <c r="B21" s="402" t="s">
        <v>218</v>
      </c>
      <c r="C21" s="403"/>
      <c r="D21" s="406" t="s">
        <v>115</v>
      </c>
      <c r="E21" s="402" t="s">
        <v>446</v>
      </c>
      <c r="F21" s="403"/>
      <c r="G21" s="402" t="s">
        <v>237</v>
      </c>
      <c r="H21" s="403"/>
      <c r="I21" s="402" t="s">
        <v>114</v>
      </c>
      <c r="J21" s="403"/>
      <c r="K21" s="406" t="s">
        <v>113</v>
      </c>
      <c r="L21" s="402" t="s">
        <v>112</v>
      </c>
      <c r="M21" s="403"/>
      <c r="N21" s="402" t="s">
        <v>442</v>
      </c>
      <c r="O21" s="403"/>
      <c r="P21" s="406" t="s">
        <v>111</v>
      </c>
      <c r="Q21" s="412" t="s">
        <v>110</v>
      </c>
      <c r="R21" s="413"/>
      <c r="S21" s="412" t="s">
        <v>109</v>
      </c>
      <c r="T21" s="414"/>
    </row>
    <row r="22" spans="1:113" ht="204.75" customHeight="1" x14ac:dyDescent="0.25">
      <c r="A22" s="410"/>
      <c r="B22" s="404"/>
      <c r="C22" s="405"/>
      <c r="D22" s="408"/>
      <c r="E22" s="404"/>
      <c r="F22" s="405"/>
      <c r="G22" s="404"/>
      <c r="H22" s="405"/>
      <c r="I22" s="404"/>
      <c r="J22" s="405"/>
      <c r="K22" s="407"/>
      <c r="L22" s="404"/>
      <c r="M22" s="405"/>
      <c r="N22" s="404"/>
      <c r="O22" s="405"/>
      <c r="P22" s="407"/>
      <c r="Q22" s="99" t="s">
        <v>108</v>
      </c>
      <c r="R22" s="99" t="s">
        <v>416</v>
      </c>
      <c r="S22" s="99" t="s">
        <v>107</v>
      </c>
      <c r="T22" s="99" t="s">
        <v>106</v>
      </c>
    </row>
    <row r="23" spans="1:113" ht="51.75" customHeight="1" x14ac:dyDescent="0.25">
      <c r="A23" s="411"/>
      <c r="B23" s="144" t="s">
        <v>104</v>
      </c>
      <c r="C23" s="144" t="s">
        <v>105</v>
      </c>
      <c r="D23" s="407"/>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01" t="s">
        <v>452</v>
      </c>
      <c r="C29" s="401"/>
      <c r="D29" s="401"/>
      <c r="E29" s="401"/>
      <c r="F29" s="401"/>
      <c r="G29" s="401"/>
      <c r="H29" s="401"/>
      <c r="I29" s="401"/>
      <c r="J29" s="401"/>
      <c r="K29" s="401"/>
      <c r="L29" s="401"/>
      <c r="M29" s="401"/>
      <c r="N29" s="401"/>
      <c r="O29" s="401"/>
      <c r="P29" s="401"/>
      <c r="Q29" s="401"/>
      <c r="R29" s="40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C10" zoomScaleSheetLayoutView="100" workbookViewId="0">
      <selection activeCell="R25" sqref="R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9" t="str">
        <f>'1. паспорт местоположение'!A5:C5</f>
        <v>Год раскрытия информации: 2022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0" t="s">
        <v>6</v>
      </c>
      <c r="F7" s="390"/>
      <c r="G7" s="390"/>
      <c r="H7" s="390"/>
      <c r="I7" s="390"/>
      <c r="J7" s="390"/>
      <c r="K7" s="390"/>
      <c r="L7" s="390"/>
      <c r="M7" s="390"/>
      <c r="N7" s="390"/>
      <c r="O7" s="390"/>
      <c r="P7" s="390"/>
      <c r="Q7" s="390"/>
      <c r="R7" s="390"/>
      <c r="S7" s="390"/>
      <c r="T7" s="390"/>
      <c r="U7" s="390"/>
      <c r="V7" s="390"/>
      <c r="W7" s="390"/>
      <c r="X7" s="390"/>
      <c r="Y7" s="39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1" t="str">
        <f>'1. паспорт местоположение'!A9</f>
        <v xml:space="preserve">Акционерное общество "Западная энергетическая компания" </v>
      </c>
      <c r="F9" s="391"/>
      <c r="G9" s="391"/>
      <c r="H9" s="391"/>
      <c r="I9" s="391"/>
      <c r="J9" s="391"/>
      <c r="K9" s="391"/>
      <c r="L9" s="391"/>
      <c r="M9" s="391"/>
      <c r="N9" s="391"/>
      <c r="O9" s="391"/>
      <c r="P9" s="391"/>
      <c r="Q9" s="391"/>
      <c r="R9" s="391"/>
      <c r="S9" s="391"/>
      <c r="T9" s="391"/>
      <c r="U9" s="391"/>
      <c r="V9" s="391"/>
      <c r="W9" s="391"/>
      <c r="X9" s="391"/>
      <c r="Y9" s="391"/>
    </row>
    <row r="10" spans="1:27" s="11" customFormat="1" ht="18.75" customHeight="1" x14ac:dyDescent="0.2">
      <c r="E10" s="395" t="s">
        <v>5</v>
      </c>
      <c r="F10" s="395"/>
      <c r="G10" s="395"/>
      <c r="H10" s="395"/>
      <c r="I10" s="395"/>
      <c r="J10" s="395"/>
      <c r="K10" s="395"/>
      <c r="L10" s="395"/>
      <c r="M10" s="395"/>
      <c r="N10" s="395"/>
      <c r="O10" s="395"/>
      <c r="P10" s="395"/>
      <c r="Q10" s="395"/>
      <c r="R10" s="395"/>
      <c r="S10" s="395"/>
      <c r="T10" s="395"/>
      <c r="U10" s="395"/>
      <c r="V10" s="395"/>
      <c r="W10" s="395"/>
      <c r="X10" s="395"/>
      <c r="Y10" s="39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1" t="str">
        <f>'1. паспорт местоположение'!A12</f>
        <v>M  22-19</v>
      </c>
      <c r="F12" s="391"/>
      <c r="G12" s="391"/>
      <c r="H12" s="391"/>
      <c r="I12" s="391"/>
      <c r="J12" s="391"/>
      <c r="K12" s="391"/>
      <c r="L12" s="391"/>
      <c r="M12" s="391"/>
      <c r="N12" s="391"/>
      <c r="O12" s="391"/>
      <c r="P12" s="391"/>
      <c r="Q12" s="391"/>
      <c r="R12" s="391"/>
      <c r="S12" s="391"/>
      <c r="T12" s="391"/>
      <c r="U12" s="391"/>
      <c r="V12" s="391"/>
      <c r="W12" s="391"/>
      <c r="X12" s="391"/>
      <c r="Y12" s="391"/>
    </row>
    <row r="13" spans="1:27" s="11" customFormat="1" ht="18.75" customHeight="1" x14ac:dyDescent="0.2">
      <c r="E13" s="395" t="s">
        <v>4</v>
      </c>
      <c r="F13" s="395"/>
      <c r="G13" s="395"/>
      <c r="H13" s="395"/>
      <c r="I13" s="395"/>
      <c r="J13" s="395"/>
      <c r="K13" s="395"/>
      <c r="L13" s="395"/>
      <c r="M13" s="395"/>
      <c r="N13" s="395"/>
      <c r="O13" s="395"/>
      <c r="P13" s="395"/>
      <c r="Q13" s="395"/>
      <c r="R13" s="395"/>
      <c r="S13" s="395"/>
      <c r="T13" s="395"/>
      <c r="U13" s="395"/>
      <c r="V13" s="395"/>
      <c r="W13" s="395"/>
      <c r="X13" s="395"/>
      <c r="Y13" s="39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1" t="str">
        <f>'1. паспорт местоположение'!A15</f>
        <v>Строительство 2-х КЛ-0,4кВ от ТП-12 до СП-0,4 (Новый), монтаж СП-0,4кВ п.Южный, Багратионовского р-на</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95" t="s">
        <v>3</v>
      </c>
      <c r="F16" s="395"/>
      <c r="G16" s="395"/>
      <c r="H16" s="395"/>
      <c r="I16" s="395"/>
      <c r="J16" s="395"/>
      <c r="K16" s="395"/>
      <c r="L16" s="395"/>
      <c r="M16" s="395"/>
      <c r="N16" s="395"/>
      <c r="O16" s="395"/>
      <c r="P16" s="395"/>
      <c r="Q16" s="395"/>
      <c r="R16" s="395"/>
      <c r="S16" s="395"/>
      <c r="T16" s="395"/>
      <c r="U16" s="395"/>
      <c r="V16" s="395"/>
      <c r="W16" s="395"/>
      <c r="X16" s="395"/>
      <c r="Y16" s="3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419</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53" customFormat="1" ht="21" customHeight="1" x14ac:dyDescent="0.25"/>
    <row r="21" spans="1:27" ht="15.75" customHeight="1" x14ac:dyDescent="0.25">
      <c r="A21" s="417" t="s">
        <v>2</v>
      </c>
      <c r="B21" s="420" t="s">
        <v>426</v>
      </c>
      <c r="C21" s="421"/>
      <c r="D21" s="420" t="s">
        <v>428</v>
      </c>
      <c r="E21" s="421"/>
      <c r="F21" s="412" t="s">
        <v>87</v>
      </c>
      <c r="G21" s="414"/>
      <c r="H21" s="414"/>
      <c r="I21" s="413"/>
      <c r="J21" s="417" t="s">
        <v>429</v>
      </c>
      <c r="K21" s="420" t="s">
        <v>430</v>
      </c>
      <c r="L21" s="421"/>
      <c r="M21" s="420" t="s">
        <v>431</v>
      </c>
      <c r="N21" s="421"/>
      <c r="O21" s="420" t="s">
        <v>418</v>
      </c>
      <c r="P21" s="421"/>
      <c r="Q21" s="420" t="s">
        <v>120</v>
      </c>
      <c r="R21" s="421"/>
      <c r="S21" s="417" t="s">
        <v>119</v>
      </c>
      <c r="T21" s="417" t="s">
        <v>432</v>
      </c>
      <c r="U21" s="417" t="s">
        <v>427</v>
      </c>
      <c r="V21" s="420" t="s">
        <v>118</v>
      </c>
      <c r="W21" s="421"/>
      <c r="X21" s="412" t="s">
        <v>110</v>
      </c>
      <c r="Y21" s="414"/>
      <c r="Z21" s="412" t="s">
        <v>109</v>
      </c>
      <c r="AA21" s="414"/>
    </row>
    <row r="22" spans="1:27" ht="154.5" customHeight="1" x14ac:dyDescent="0.25">
      <c r="A22" s="418"/>
      <c r="B22" s="422"/>
      <c r="C22" s="423"/>
      <c r="D22" s="422"/>
      <c r="E22" s="423"/>
      <c r="F22" s="412" t="s">
        <v>117</v>
      </c>
      <c r="G22" s="413"/>
      <c r="H22" s="412" t="s">
        <v>116</v>
      </c>
      <c r="I22" s="413"/>
      <c r="J22" s="419"/>
      <c r="K22" s="422"/>
      <c r="L22" s="423"/>
      <c r="M22" s="422"/>
      <c r="N22" s="423"/>
      <c r="O22" s="422"/>
      <c r="P22" s="423"/>
      <c r="Q22" s="422"/>
      <c r="R22" s="423"/>
      <c r="S22" s="419"/>
      <c r="T22" s="419"/>
      <c r="U22" s="419"/>
      <c r="V22" s="422"/>
      <c r="W22" s="423"/>
      <c r="X22" s="99" t="s">
        <v>108</v>
      </c>
      <c r="Y22" s="99" t="s">
        <v>416</v>
      </c>
      <c r="Z22" s="99" t="s">
        <v>107</v>
      </c>
      <c r="AA22" s="99" t="s">
        <v>106</v>
      </c>
    </row>
    <row r="23" spans="1:27" ht="60" customHeight="1" x14ac:dyDescent="0.25">
      <c r="A23" s="419"/>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2" customFormat="1" x14ac:dyDescent="0.25">
      <c r="A25" s="261">
        <v>1</v>
      </c>
      <c r="B25" s="261" t="s">
        <v>300</v>
      </c>
      <c r="C25" s="261" t="s">
        <v>603</v>
      </c>
      <c r="D25" s="261" t="s">
        <v>300</v>
      </c>
      <c r="E25" s="261" t="s">
        <v>603</v>
      </c>
      <c r="F25" s="261" t="s">
        <v>300</v>
      </c>
      <c r="G25" s="261">
        <v>0.4</v>
      </c>
      <c r="H25" s="261" t="s">
        <v>300</v>
      </c>
      <c r="I25" s="261">
        <v>0.4</v>
      </c>
      <c r="J25" s="261" t="s">
        <v>300</v>
      </c>
      <c r="K25" s="261" t="s">
        <v>300</v>
      </c>
      <c r="L25" s="262">
        <v>0</v>
      </c>
      <c r="M25" s="261" t="s">
        <v>300</v>
      </c>
      <c r="N25" s="262"/>
      <c r="O25" s="263"/>
      <c r="P25" s="263"/>
      <c r="Q25" s="263"/>
      <c r="R25" s="263"/>
      <c r="S25" s="261">
        <v>2022</v>
      </c>
      <c r="T25" s="261" t="s">
        <v>300</v>
      </c>
      <c r="U25" s="261" t="s">
        <v>300</v>
      </c>
      <c r="V25" s="261" t="s">
        <v>300</v>
      </c>
      <c r="W25" s="262"/>
      <c r="X25" s="263" t="s">
        <v>300</v>
      </c>
      <c r="Y25" s="263" t="s">
        <v>300</v>
      </c>
      <c r="Z25" s="263" t="s">
        <v>300</v>
      </c>
      <c r="AA25" s="263" t="s">
        <v>300</v>
      </c>
    </row>
    <row r="26" spans="1:27" s="232" customFormat="1" x14ac:dyDescent="0.25">
      <c r="A26" s="261"/>
      <c r="B26" s="261"/>
      <c r="C26" s="261"/>
      <c r="D26" s="261"/>
      <c r="E26" s="261"/>
      <c r="F26" s="261"/>
      <c r="G26" s="261"/>
      <c r="H26" s="261"/>
      <c r="I26" s="261"/>
      <c r="J26" s="261"/>
      <c r="K26" s="261"/>
      <c r="L26" s="262"/>
      <c r="M26" s="261"/>
      <c r="N26" s="262"/>
      <c r="O26" s="263"/>
      <c r="P26" s="263"/>
      <c r="Q26" s="263"/>
      <c r="R26" s="263"/>
      <c r="S26" s="261"/>
      <c r="T26" s="261"/>
      <c r="U26" s="261"/>
      <c r="V26" s="261"/>
      <c r="W26" s="262"/>
      <c r="X26" s="263"/>
      <c r="Y26" s="263"/>
      <c r="Z26" s="263"/>
      <c r="AA26" s="263"/>
    </row>
    <row r="27" spans="1:27" s="232" customFormat="1" x14ac:dyDescent="0.25">
      <c r="A27" s="261"/>
      <c r="B27" s="261"/>
      <c r="C27" s="261"/>
      <c r="D27" s="261"/>
      <c r="E27" s="261"/>
      <c r="F27" s="261"/>
      <c r="G27" s="261"/>
      <c r="H27" s="261"/>
      <c r="I27" s="261"/>
      <c r="J27" s="261"/>
      <c r="K27" s="261"/>
      <c r="L27" s="262"/>
      <c r="M27" s="261"/>
      <c r="N27" s="262"/>
      <c r="O27" s="263"/>
      <c r="P27" s="263"/>
      <c r="Q27" s="263"/>
      <c r="R27" s="263"/>
      <c r="S27" s="261"/>
      <c r="T27" s="261"/>
      <c r="U27" s="261"/>
      <c r="V27" s="261"/>
      <c r="W27" s="262"/>
      <c r="X27" s="263"/>
      <c r="Y27" s="263"/>
      <c r="Z27" s="263"/>
      <c r="AA27" s="263"/>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9" t="str">
        <f>'1. паспорт местоположение'!A5:C5</f>
        <v>Год раскрытия информации: 2022 год</v>
      </c>
      <c r="B5" s="379"/>
      <c r="C5" s="379"/>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90" t="s">
        <v>6</v>
      </c>
      <c r="B7" s="390"/>
      <c r="C7" s="390"/>
      <c r="D7" s="12"/>
      <c r="E7" s="12"/>
      <c r="F7" s="12"/>
      <c r="G7" s="12"/>
      <c r="H7" s="12"/>
      <c r="I7" s="12"/>
      <c r="J7" s="12"/>
      <c r="K7" s="12"/>
      <c r="L7" s="12"/>
      <c r="M7" s="12"/>
      <c r="N7" s="12"/>
      <c r="O7" s="12"/>
      <c r="P7" s="12"/>
      <c r="Q7" s="12"/>
      <c r="R7" s="12"/>
      <c r="S7" s="12"/>
      <c r="T7" s="12"/>
      <c r="U7" s="12"/>
    </row>
    <row r="8" spans="1:29" s="11" customFormat="1" ht="18.75" x14ac:dyDescent="0.2">
      <c r="A8" s="390"/>
      <c r="B8" s="390"/>
      <c r="C8" s="390"/>
      <c r="D8" s="13"/>
      <c r="E8" s="13"/>
      <c r="F8" s="13"/>
      <c r="G8" s="13"/>
      <c r="H8" s="12"/>
      <c r="I8" s="12"/>
      <c r="J8" s="12"/>
      <c r="K8" s="12"/>
      <c r="L8" s="12"/>
      <c r="M8" s="12"/>
      <c r="N8" s="12"/>
      <c r="O8" s="12"/>
      <c r="P8" s="12"/>
      <c r="Q8" s="12"/>
      <c r="R8" s="12"/>
      <c r="S8" s="12"/>
      <c r="T8" s="12"/>
      <c r="U8" s="12"/>
    </row>
    <row r="9" spans="1:29" s="11" customFormat="1" ht="18.75" x14ac:dyDescent="0.2">
      <c r="A9" s="391" t="str">
        <f>'1. паспорт местоположение'!A9:C9</f>
        <v xml:space="preserve">Акционерное общество "Западная энергетическая компания" </v>
      </c>
      <c r="B9" s="391"/>
      <c r="C9" s="391"/>
      <c r="D9" s="7"/>
      <c r="E9" s="7"/>
      <c r="F9" s="7"/>
      <c r="G9" s="7"/>
      <c r="H9" s="12"/>
      <c r="I9" s="12"/>
      <c r="J9" s="12"/>
      <c r="K9" s="12"/>
      <c r="L9" s="12"/>
      <c r="M9" s="12"/>
      <c r="N9" s="12"/>
      <c r="O9" s="12"/>
      <c r="P9" s="12"/>
      <c r="Q9" s="12"/>
      <c r="R9" s="12"/>
      <c r="S9" s="12"/>
      <c r="T9" s="12"/>
      <c r="U9" s="12"/>
    </row>
    <row r="10" spans="1:29" s="11" customFormat="1" ht="18.75" x14ac:dyDescent="0.2">
      <c r="A10" s="395" t="s">
        <v>5</v>
      </c>
      <c r="B10" s="395"/>
      <c r="C10" s="395"/>
      <c r="D10" s="5"/>
      <c r="E10" s="5"/>
      <c r="F10" s="5"/>
      <c r="G10" s="5"/>
      <c r="H10" s="12"/>
      <c r="I10" s="12"/>
      <c r="J10" s="12"/>
      <c r="K10" s="12"/>
      <c r="L10" s="12"/>
      <c r="M10" s="12"/>
      <c r="N10" s="12"/>
      <c r="O10" s="12"/>
      <c r="P10" s="12"/>
      <c r="Q10" s="12"/>
      <c r="R10" s="12"/>
      <c r="S10" s="12"/>
      <c r="T10" s="12"/>
      <c r="U10" s="12"/>
    </row>
    <row r="11" spans="1:29" s="11" customFormat="1" ht="18.75" x14ac:dyDescent="0.2">
      <c r="A11" s="390"/>
      <c r="B11" s="390"/>
      <c r="C11" s="390"/>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M  22-19</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395" t="s">
        <v>4</v>
      </c>
      <c r="B13" s="395"/>
      <c r="C13" s="39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6"/>
      <c r="B14" s="396"/>
      <c r="C14" s="396"/>
      <c r="D14" s="9"/>
      <c r="E14" s="9"/>
      <c r="F14" s="9"/>
      <c r="G14" s="9"/>
      <c r="H14" s="9"/>
      <c r="I14" s="9"/>
      <c r="J14" s="9"/>
      <c r="K14" s="9"/>
      <c r="L14" s="9"/>
      <c r="M14" s="9"/>
      <c r="N14" s="9"/>
      <c r="O14" s="9"/>
      <c r="P14" s="9"/>
      <c r="Q14" s="9"/>
      <c r="R14" s="9"/>
      <c r="S14" s="9"/>
      <c r="T14" s="9"/>
      <c r="U14" s="9"/>
    </row>
    <row r="15" spans="1:29" s="3" customFormat="1" ht="33.75" customHeight="1" x14ac:dyDescent="0.2">
      <c r="A15" s="424" t="str">
        <f>'1. паспорт местоположение'!A15</f>
        <v>Строительство 2-х КЛ-0,4кВ от ТП-12 до СП-0,4 (Новый), монтаж СП-0,4кВ п.Южный, Багратионовского р-на</v>
      </c>
      <c r="B15" s="424"/>
      <c r="C15" s="424"/>
      <c r="D15" s="7"/>
      <c r="E15" s="7"/>
      <c r="F15" s="7"/>
      <c r="G15" s="7"/>
      <c r="H15" s="7"/>
      <c r="I15" s="7"/>
      <c r="J15" s="7"/>
      <c r="K15" s="7"/>
      <c r="L15" s="7"/>
      <c r="M15" s="7"/>
      <c r="N15" s="7"/>
      <c r="O15" s="7"/>
      <c r="P15" s="7"/>
      <c r="Q15" s="7"/>
      <c r="R15" s="7"/>
      <c r="S15" s="7"/>
      <c r="T15" s="7"/>
      <c r="U15" s="7"/>
    </row>
    <row r="16" spans="1:29" s="3" customFormat="1" ht="15" customHeight="1" x14ac:dyDescent="0.2">
      <c r="A16" s="395" t="s">
        <v>3</v>
      </c>
      <c r="B16" s="395"/>
      <c r="C16" s="395"/>
      <c r="D16" s="5"/>
      <c r="E16" s="5"/>
      <c r="F16" s="5"/>
      <c r="G16" s="5"/>
      <c r="H16" s="5"/>
      <c r="I16" s="5"/>
      <c r="J16" s="5"/>
      <c r="K16" s="5"/>
      <c r="L16" s="5"/>
      <c r="M16" s="5"/>
      <c r="N16" s="5"/>
      <c r="O16" s="5"/>
      <c r="P16" s="5"/>
      <c r="Q16" s="5"/>
      <c r="R16" s="5"/>
      <c r="S16" s="5"/>
      <c r="T16" s="5"/>
      <c r="U16" s="5"/>
    </row>
    <row r="17" spans="1:21" s="3" customFormat="1" ht="15" customHeight="1" x14ac:dyDescent="0.2">
      <c r="A17" s="398"/>
      <c r="B17" s="398"/>
      <c r="C17" s="398"/>
      <c r="D17" s="4"/>
      <c r="E17" s="4"/>
      <c r="F17" s="4"/>
      <c r="G17" s="4"/>
      <c r="H17" s="4"/>
      <c r="I17" s="4"/>
      <c r="J17" s="4"/>
      <c r="K17" s="4"/>
      <c r="L17" s="4"/>
      <c r="M17" s="4"/>
      <c r="N17" s="4"/>
      <c r="O17" s="4"/>
      <c r="P17" s="4"/>
      <c r="Q17" s="4"/>
      <c r="R17" s="4"/>
    </row>
    <row r="18" spans="1:21" s="3" customFormat="1" ht="27.75" customHeight="1" x14ac:dyDescent="0.2">
      <c r="A18" s="399" t="s">
        <v>411</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5" t="s">
        <v>579</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27" t="str">
        <f>A15</f>
        <v>Строительство 2-х КЛ-0,4кВ от ТП-12 до СП-0,4 (Новый), монтаж СП-0,4кВ п.Южный, Багратионовского р-на</v>
      </c>
      <c r="D23" s="26"/>
      <c r="E23" s="259"/>
      <c r="F23" s="26"/>
      <c r="G23" s="26"/>
      <c r="H23" s="26"/>
      <c r="I23" s="26"/>
      <c r="J23" s="26"/>
      <c r="K23" s="26"/>
      <c r="L23" s="26"/>
      <c r="M23" s="26"/>
      <c r="N23" s="26"/>
      <c r="O23" s="26"/>
      <c r="P23" s="26"/>
      <c r="Q23" s="26"/>
      <c r="R23" s="26"/>
      <c r="S23" s="26"/>
      <c r="T23" s="26"/>
      <c r="U23" s="26"/>
    </row>
    <row r="24" spans="1:21" ht="47.25" x14ac:dyDescent="0.25">
      <c r="A24" s="27" t="s">
        <v>59</v>
      </c>
      <c r="B24" s="29" t="s">
        <v>444</v>
      </c>
      <c r="C24" s="199" t="str">
        <f>A15</f>
        <v>Строительство 2-х КЛ-0,4кВ от ТП-12 до СП-0,4 (Новый), монтаж СП-0,4кВ п.Южный, Багратионовского р-на</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71" t="s">
        <v>300</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425</v>
      </c>
      <c r="C27" s="28" t="s">
        <v>581</v>
      </c>
      <c r="D27" s="26"/>
      <c r="E27" s="25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9" t="str">
        <f>'1. паспорт местоположение'!A5:C5</f>
        <v>Год раскрытия информации: 2022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row>
    <row r="6" spans="1:28" ht="18.75" x14ac:dyDescent="0.25">
      <c r="A6" s="390" t="s">
        <v>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139"/>
      <c r="AB6" s="139"/>
    </row>
    <row r="7" spans="1:28" ht="18.75" x14ac:dyDescent="0.2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139"/>
      <c r="AB7" s="139"/>
    </row>
    <row r="8" spans="1:28" x14ac:dyDescent="0.25">
      <c r="A8" s="391" t="str">
        <f>'1. паспорт местоположение'!A9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40"/>
      <c r="AB8" s="140"/>
    </row>
    <row r="9" spans="1:28" ht="15.75"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141"/>
      <c r="AB9" s="141"/>
    </row>
    <row r="10" spans="1:28" ht="18.75" x14ac:dyDescent="0.25">
      <c r="A10" s="390"/>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139"/>
      <c r="AB10" s="139"/>
    </row>
    <row r="11" spans="1:28" x14ac:dyDescent="0.25">
      <c r="A11" s="391" t="str">
        <f>'1. паспорт местоположение'!A12:C12</f>
        <v>M  22-19</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40"/>
      <c r="AB11" s="140"/>
    </row>
    <row r="12" spans="1:28" ht="15.75"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141"/>
      <c r="AB12" s="141"/>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10"/>
      <c r="AB13" s="10"/>
    </row>
    <row r="14" spans="1:28" x14ac:dyDescent="0.25">
      <c r="A14" s="391" t="str">
        <f>'1. паспорт местоположение'!A15</f>
        <v>Строительство 2-х КЛ-0,4кВ от ТП-12 до СП-0,4 (Новый), монтаж СП-0,4кВ п.Южный, Багратионовского р-на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40"/>
      <c r="AB14" s="140"/>
    </row>
    <row r="15" spans="1:28" ht="15.75" x14ac:dyDescent="0.25">
      <c r="A15" s="395" t="s">
        <v>3</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141"/>
      <c r="AB15" s="141"/>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49"/>
      <c r="AB16" s="149"/>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49"/>
      <c r="AB17" s="149"/>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49"/>
      <c r="AB18" s="149"/>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49"/>
      <c r="AB19" s="149"/>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50"/>
      <c r="AB20" s="150"/>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50"/>
      <c r="AB21" s="150"/>
    </row>
    <row r="22" spans="1:28" x14ac:dyDescent="0.25">
      <c r="A22" s="427" t="s">
        <v>443</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51"/>
      <c r="AB22" s="151"/>
    </row>
    <row r="23" spans="1:28" ht="32.25" customHeight="1" x14ac:dyDescent="0.25">
      <c r="A23" s="429" t="s">
        <v>297</v>
      </c>
      <c r="B23" s="430"/>
      <c r="C23" s="430"/>
      <c r="D23" s="430"/>
      <c r="E23" s="430"/>
      <c r="F23" s="430"/>
      <c r="G23" s="430"/>
      <c r="H23" s="430"/>
      <c r="I23" s="430"/>
      <c r="J23" s="430"/>
      <c r="K23" s="430"/>
      <c r="L23" s="431"/>
      <c r="M23" s="428" t="s">
        <v>298</v>
      </c>
      <c r="N23" s="428"/>
      <c r="O23" s="428"/>
      <c r="P23" s="428"/>
      <c r="Q23" s="428"/>
      <c r="R23" s="428"/>
      <c r="S23" s="428"/>
      <c r="T23" s="428"/>
      <c r="U23" s="428"/>
      <c r="V23" s="428"/>
      <c r="W23" s="428"/>
      <c r="X23" s="428"/>
      <c r="Y23" s="428"/>
      <c r="Z23" s="428"/>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38.25" customHeight="1" x14ac:dyDescent="0.25">
      <c r="A26" s="272" t="s">
        <v>556</v>
      </c>
      <c r="B26" s="272" t="s">
        <v>556</v>
      </c>
      <c r="C26" s="272" t="s">
        <v>556</v>
      </c>
      <c r="D26" s="272" t="s">
        <v>556</v>
      </c>
      <c r="E26" s="272" t="s">
        <v>556</v>
      </c>
      <c r="F26" s="272" t="s">
        <v>556</v>
      </c>
      <c r="G26" s="272" t="s">
        <v>556</v>
      </c>
      <c r="H26" s="272" t="s">
        <v>556</v>
      </c>
      <c r="I26" s="272" t="s">
        <v>556</v>
      </c>
      <c r="J26" s="272" t="s">
        <v>556</v>
      </c>
      <c r="K26" s="272" t="s">
        <v>556</v>
      </c>
      <c r="L26" s="272" t="s">
        <v>556</v>
      </c>
      <c r="M26" s="272" t="s">
        <v>556</v>
      </c>
      <c r="N26" s="272" t="s">
        <v>556</v>
      </c>
      <c r="O26" s="272" t="s">
        <v>556</v>
      </c>
      <c r="P26" s="272" t="s">
        <v>556</v>
      </c>
      <c r="Q26" s="272" t="s">
        <v>556</v>
      </c>
      <c r="R26" s="272" t="s">
        <v>556</v>
      </c>
      <c r="S26" s="272" t="s">
        <v>556</v>
      </c>
      <c r="T26" s="272" t="s">
        <v>556</v>
      </c>
      <c r="U26" s="272" t="s">
        <v>556</v>
      </c>
      <c r="V26" s="272" t="s">
        <v>556</v>
      </c>
      <c r="W26" s="272" t="s">
        <v>556</v>
      </c>
      <c r="X26" s="272" t="s">
        <v>556</v>
      </c>
      <c r="Y26" s="272" t="s">
        <v>556</v>
      </c>
      <c r="Z26" s="272" t="s">
        <v>556</v>
      </c>
    </row>
    <row r="27" spans="1:28" x14ac:dyDescent="0.25">
      <c r="A27" s="219"/>
      <c r="B27" s="217"/>
      <c r="C27" s="219"/>
      <c r="D27" s="219"/>
      <c r="E27" s="219"/>
      <c r="F27" s="219"/>
      <c r="G27" s="219"/>
      <c r="H27" s="219"/>
      <c r="I27" s="219"/>
      <c r="J27" s="219"/>
      <c r="K27" s="220"/>
      <c r="L27" s="219"/>
      <c r="M27" s="220"/>
      <c r="N27" s="219"/>
      <c r="O27" s="219"/>
      <c r="P27" s="219"/>
      <c r="Q27" s="219"/>
      <c r="R27" s="219"/>
      <c r="S27" s="219"/>
      <c r="T27" s="219"/>
      <c r="U27" s="219"/>
      <c r="V27" s="219"/>
      <c r="W27" s="219"/>
      <c r="X27" s="219"/>
      <c r="Y27" s="219"/>
      <c r="Z27" s="221"/>
    </row>
    <row r="28" spans="1:28" x14ac:dyDescent="0.25">
      <c r="A28" s="218"/>
      <c r="B28" s="218"/>
      <c r="C28" s="222"/>
      <c r="D28" s="223"/>
      <c r="E28" s="224"/>
      <c r="F28" s="219"/>
      <c r="G28" s="219"/>
      <c r="H28" s="219"/>
      <c r="I28" s="225"/>
      <c r="J28" s="219"/>
      <c r="K28" s="219"/>
      <c r="L28" s="219"/>
      <c r="M28" s="219"/>
      <c r="N28" s="219"/>
      <c r="O28" s="219"/>
      <c r="P28" s="219"/>
      <c r="Q28" s="219"/>
      <c r="R28" s="219"/>
      <c r="S28" s="219"/>
      <c r="T28" s="219"/>
      <c r="U28" s="219"/>
      <c r="V28" s="219"/>
      <c r="W28" s="219"/>
      <c r="X28" s="219"/>
      <c r="Y28" s="219"/>
      <c r="Z28" s="226"/>
    </row>
    <row r="29" spans="1:28" x14ac:dyDescent="0.25">
      <c r="A29" s="219"/>
      <c r="B29" s="217"/>
      <c r="C29" s="222"/>
      <c r="D29" s="223"/>
      <c r="E29" s="224"/>
      <c r="F29" s="219"/>
      <c r="G29" s="219"/>
      <c r="H29" s="219"/>
      <c r="I29" s="219"/>
      <c r="J29" s="219"/>
      <c r="K29" s="219"/>
      <c r="L29" s="219"/>
      <c r="M29" s="219"/>
      <c r="N29" s="219"/>
      <c r="O29" s="219"/>
      <c r="P29" s="219"/>
      <c r="Q29" s="219"/>
      <c r="R29" s="219"/>
      <c r="S29" s="219"/>
      <c r="T29" s="219"/>
      <c r="U29" s="219"/>
      <c r="V29" s="219"/>
      <c r="W29" s="219"/>
      <c r="X29" s="219"/>
      <c r="Y29" s="219"/>
      <c r="Z29" s="221"/>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9" t="str">
        <f>'1. паспорт местоположение'!A5:C5</f>
        <v>Год раскрытия информации: 2022 год</v>
      </c>
      <c r="B5" s="379"/>
      <c r="C5" s="379"/>
      <c r="D5" s="379"/>
      <c r="E5" s="379"/>
      <c r="F5" s="379"/>
      <c r="G5" s="379"/>
      <c r="H5" s="379"/>
      <c r="I5" s="379"/>
      <c r="J5" s="379"/>
      <c r="K5" s="379"/>
      <c r="L5" s="379"/>
      <c r="M5" s="379"/>
      <c r="N5" s="379"/>
      <c r="O5" s="379"/>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90" t="s">
        <v>6</v>
      </c>
      <c r="B7" s="390"/>
      <c r="C7" s="390"/>
      <c r="D7" s="390"/>
      <c r="E7" s="390"/>
      <c r="F7" s="390"/>
      <c r="G7" s="390"/>
      <c r="H7" s="390"/>
      <c r="I7" s="390"/>
      <c r="J7" s="390"/>
      <c r="K7" s="390"/>
      <c r="L7" s="390"/>
      <c r="M7" s="390"/>
      <c r="N7" s="390"/>
      <c r="O7" s="390"/>
      <c r="P7" s="12"/>
      <c r="Q7" s="12"/>
      <c r="R7" s="12"/>
      <c r="S7" s="12"/>
      <c r="T7" s="12"/>
      <c r="U7" s="12"/>
      <c r="V7" s="12"/>
      <c r="W7" s="12"/>
      <c r="X7" s="12"/>
      <c r="Y7" s="12"/>
      <c r="Z7" s="12"/>
    </row>
    <row r="8" spans="1:28" s="11" customFormat="1" ht="18.75" x14ac:dyDescent="0.2">
      <c r="A8" s="390"/>
      <c r="B8" s="390"/>
      <c r="C8" s="390"/>
      <c r="D8" s="390"/>
      <c r="E8" s="390"/>
      <c r="F8" s="390"/>
      <c r="G8" s="390"/>
      <c r="H8" s="390"/>
      <c r="I8" s="390"/>
      <c r="J8" s="390"/>
      <c r="K8" s="390"/>
      <c r="L8" s="390"/>
      <c r="M8" s="390"/>
      <c r="N8" s="390"/>
      <c r="O8" s="390"/>
      <c r="P8" s="12"/>
      <c r="Q8" s="12"/>
      <c r="R8" s="12"/>
      <c r="S8" s="12"/>
      <c r="T8" s="12"/>
      <c r="U8" s="12"/>
      <c r="V8" s="12"/>
      <c r="W8" s="12"/>
      <c r="X8" s="12"/>
      <c r="Y8" s="12"/>
      <c r="Z8" s="12"/>
    </row>
    <row r="9" spans="1:28" s="11" customFormat="1" ht="18.75" x14ac:dyDescent="0.2">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12"/>
      <c r="Q9" s="12"/>
      <c r="R9" s="12"/>
      <c r="S9" s="12"/>
      <c r="T9" s="12"/>
      <c r="U9" s="12"/>
      <c r="V9" s="12"/>
      <c r="W9" s="12"/>
      <c r="X9" s="12"/>
      <c r="Y9" s="12"/>
      <c r="Z9" s="12"/>
    </row>
    <row r="10" spans="1:28" s="11" customFormat="1" ht="18.75" x14ac:dyDescent="0.2">
      <c r="A10" s="395" t="s">
        <v>5</v>
      </c>
      <c r="B10" s="395"/>
      <c r="C10" s="395"/>
      <c r="D10" s="395"/>
      <c r="E10" s="395"/>
      <c r="F10" s="395"/>
      <c r="G10" s="395"/>
      <c r="H10" s="395"/>
      <c r="I10" s="395"/>
      <c r="J10" s="395"/>
      <c r="K10" s="395"/>
      <c r="L10" s="395"/>
      <c r="M10" s="395"/>
      <c r="N10" s="395"/>
      <c r="O10" s="395"/>
      <c r="P10" s="12"/>
      <c r="Q10" s="12"/>
      <c r="R10" s="12"/>
      <c r="S10" s="12"/>
      <c r="T10" s="12"/>
      <c r="U10" s="12"/>
      <c r="V10" s="12"/>
      <c r="W10" s="12"/>
      <c r="X10" s="12"/>
      <c r="Y10" s="12"/>
      <c r="Z10" s="12"/>
    </row>
    <row r="11" spans="1:28" s="11" customFormat="1" ht="18.75" x14ac:dyDescent="0.2">
      <c r="A11" s="390"/>
      <c r="B11" s="390"/>
      <c r="C11" s="390"/>
      <c r="D11" s="390"/>
      <c r="E11" s="390"/>
      <c r="F11" s="390"/>
      <c r="G11" s="390"/>
      <c r="H11" s="390"/>
      <c r="I11" s="390"/>
      <c r="J11" s="390"/>
      <c r="K11" s="390"/>
      <c r="L11" s="390"/>
      <c r="M11" s="390"/>
      <c r="N11" s="390"/>
      <c r="O11" s="390"/>
      <c r="P11" s="12"/>
      <c r="Q11" s="12"/>
      <c r="R11" s="12"/>
      <c r="S11" s="12"/>
      <c r="T11" s="12"/>
      <c r="U11" s="12"/>
      <c r="V11" s="12"/>
      <c r="W11" s="12"/>
      <c r="X11" s="12"/>
      <c r="Y11" s="12"/>
      <c r="Z11" s="12"/>
    </row>
    <row r="12" spans="1:28" s="11" customFormat="1" ht="18.75" x14ac:dyDescent="0.2">
      <c r="A12" s="391" t="str">
        <f>'1. паспорт местоположение'!A12:C12</f>
        <v>M  22-19</v>
      </c>
      <c r="B12" s="391"/>
      <c r="C12" s="391"/>
      <c r="D12" s="391"/>
      <c r="E12" s="391"/>
      <c r="F12" s="391"/>
      <c r="G12" s="391"/>
      <c r="H12" s="391"/>
      <c r="I12" s="391"/>
      <c r="J12" s="391"/>
      <c r="K12" s="391"/>
      <c r="L12" s="391"/>
      <c r="M12" s="391"/>
      <c r="N12" s="391"/>
      <c r="O12" s="391"/>
      <c r="P12" s="12"/>
      <c r="Q12" s="12"/>
      <c r="R12" s="12"/>
      <c r="S12" s="12"/>
      <c r="T12" s="12"/>
      <c r="U12" s="12"/>
      <c r="V12" s="12"/>
      <c r="W12" s="12"/>
      <c r="X12" s="12"/>
      <c r="Y12" s="12"/>
      <c r="Z12" s="12"/>
    </row>
    <row r="13" spans="1:28" s="11" customFormat="1" ht="18.75" x14ac:dyDescent="0.2">
      <c r="A13" s="395" t="s">
        <v>4</v>
      </c>
      <c r="B13" s="395"/>
      <c r="C13" s="395"/>
      <c r="D13" s="395"/>
      <c r="E13" s="395"/>
      <c r="F13" s="395"/>
      <c r="G13" s="395"/>
      <c r="H13" s="395"/>
      <c r="I13" s="395"/>
      <c r="J13" s="395"/>
      <c r="K13" s="395"/>
      <c r="L13" s="395"/>
      <c r="M13" s="395"/>
      <c r="N13" s="395"/>
      <c r="O13" s="395"/>
      <c r="P13" s="12"/>
      <c r="Q13" s="12"/>
      <c r="R13" s="12"/>
      <c r="S13" s="12"/>
      <c r="T13" s="12"/>
      <c r="U13" s="12"/>
      <c r="V13" s="12"/>
      <c r="W13" s="12"/>
      <c r="X13" s="12"/>
      <c r="Y13" s="12"/>
      <c r="Z13" s="12"/>
    </row>
    <row r="14" spans="1:28" s="8" customFormat="1" ht="15.75" customHeight="1" x14ac:dyDescent="0.2">
      <c r="A14" s="396"/>
      <c r="B14" s="396"/>
      <c r="C14" s="396"/>
      <c r="D14" s="396"/>
      <c r="E14" s="396"/>
      <c r="F14" s="396"/>
      <c r="G14" s="396"/>
      <c r="H14" s="396"/>
      <c r="I14" s="396"/>
      <c r="J14" s="396"/>
      <c r="K14" s="396"/>
      <c r="L14" s="396"/>
      <c r="M14" s="396"/>
      <c r="N14" s="396"/>
      <c r="O14" s="396"/>
      <c r="P14" s="9"/>
      <c r="Q14" s="9"/>
      <c r="R14" s="9"/>
      <c r="S14" s="9"/>
      <c r="T14" s="9"/>
      <c r="U14" s="9"/>
      <c r="V14" s="9"/>
      <c r="W14" s="9"/>
      <c r="X14" s="9"/>
      <c r="Y14" s="9"/>
      <c r="Z14" s="9"/>
    </row>
    <row r="15" spans="1:28" s="3" customFormat="1" ht="12" x14ac:dyDescent="0.2">
      <c r="A15" s="391" t="str">
        <f>'1. паспорт местоположение'!A15</f>
        <v>Строительство 2-х КЛ-0,4кВ от ТП-12 до СП-0,4 (Новый), монтаж СП-0,4кВ п.Южный, Багратионовского р-на</v>
      </c>
      <c r="B15" s="391"/>
      <c r="C15" s="391"/>
      <c r="D15" s="391"/>
      <c r="E15" s="391"/>
      <c r="F15" s="391"/>
      <c r="G15" s="391"/>
      <c r="H15" s="391"/>
      <c r="I15" s="391"/>
      <c r="J15" s="391"/>
      <c r="K15" s="391"/>
      <c r="L15" s="391"/>
      <c r="M15" s="391"/>
      <c r="N15" s="391"/>
      <c r="O15" s="391"/>
      <c r="P15" s="7"/>
      <c r="Q15" s="7"/>
      <c r="R15" s="7"/>
      <c r="S15" s="7"/>
      <c r="T15" s="7"/>
      <c r="U15" s="7"/>
      <c r="V15" s="7"/>
      <c r="W15" s="7"/>
      <c r="X15" s="7"/>
      <c r="Y15" s="7"/>
      <c r="Z15" s="7"/>
    </row>
    <row r="16" spans="1:28" s="3" customFormat="1" ht="15" customHeight="1" x14ac:dyDescent="0.2">
      <c r="A16" s="395" t="s">
        <v>3</v>
      </c>
      <c r="B16" s="395"/>
      <c r="C16" s="395"/>
      <c r="D16" s="395"/>
      <c r="E16" s="395"/>
      <c r="F16" s="395"/>
      <c r="G16" s="395"/>
      <c r="H16" s="395"/>
      <c r="I16" s="395"/>
      <c r="J16" s="395"/>
      <c r="K16" s="395"/>
      <c r="L16" s="395"/>
      <c r="M16" s="395"/>
      <c r="N16" s="395"/>
      <c r="O16" s="395"/>
      <c r="P16" s="5"/>
      <c r="Q16" s="5"/>
      <c r="R16" s="5"/>
      <c r="S16" s="5"/>
      <c r="T16" s="5"/>
      <c r="U16" s="5"/>
      <c r="V16" s="5"/>
      <c r="W16" s="5"/>
      <c r="X16" s="5"/>
      <c r="Y16" s="5"/>
      <c r="Z16" s="5"/>
    </row>
    <row r="17" spans="1:26" s="3" customFormat="1" ht="15" customHeight="1" x14ac:dyDescent="0.2">
      <c r="A17" s="398"/>
      <c r="B17" s="398"/>
      <c r="C17" s="398"/>
      <c r="D17" s="398"/>
      <c r="E17" s="398"/>
      <c r="F17" s="398"/>
      <c r="G17" s="398"/>
      <c r="H17" s="398"/>
      <c r="I17" s="398"/>
      <c r="J17" s="398"/>
      <c r="K17" s="398"/>
      <c r="L17" s="398"/>
      <c r="M17" s="398"/>
      <c r="N17" s="398"/>
      <c r="O17" s="398"/>
      <c r="P17" s="4"/>
      <c r="Q17" s="4"/>
      <c r="R17" s="4"/>
      <c r="S17" s="4"/>
      <c r="T17" s="4"/>
      <c r="U17" s="4"/>
      <c r="V17" s="4"/>
      <c r="W17" s="4"/>
    </row>
    <row r="18" spans="1:26" s="3" customFormat="1" ht="91.5" customHeight="1" x14ac:dyDescent="0.2">
      <c r="A18" s="433" t="s">
        <v>420</v>
      </c>
      <c r="B18" s="433"/>
      <c r="C18" s="433"/>
      <c r="D18" s="433"/>
      <c r="E18" s="433"/>
      <c r="F18" s="433"/>
      <c r="G18" s="433"/>
      <c r="H18" s="433"/>
      <c r="I18" s="433"/>
      <c r="J18" s="433"/>
      <c r="K18" s="433"/>
      <c r="L18" s="433"/>
      <c r="M18" s="433"/>
      <c r="N18" s="433"/>
      <c r="O18" s="433"/>
      <c r="P18" s="6"/>
      <c r="Q18" s="6"/>
      <c r="R18" s="6"/>
      <c r="S18" s="6"/>
      <c r="T18" s="6"/>
      <c r="U18" s="6"/>
      <c r="V18" s="6"/>
      <c r="W18" s="6"/>
      <c r="X18" s="6"/>
      <c r="Y18" s="6"/>
      <c r="Z18" s="6"/>
    </row>
    <row r="19" spans="1:26" s="3" customFormat="1" ht="78" customHeight="1" x14ac:dyDescent="0.2">
      <c r="A19" s="434" t="s">
        <v>2</v>
      </c>
      <c r="B19" s="434" t="s">
        <v>81</v>
      </c>
      <c r="C19" s="434" t="s">
        <v>80</v>
      </c>
      <c r="D19" s="434" t="s">
        <v>72</v>
      </c>
      <c r="E19" s="435" t="s">
        <v>79</v>
      </c>
      <c r="F19" s="436"/>
      <c r="G19" s="436"/>
      <c r="H19" s="436"/>
      <c r="I19" s="437"/>
      <c r="J19" s="434" t="s">
        <v>78</v>
      </c>
      <c r="K19" s="434"/>
      <c r="L19" s="434"/>
      <c r="M19" s="434"/>
      <c r="N19" s="434"/>
      <c r="O19" s="434"/>
      <c r="P19" s="4"/>
      <c r="Q19" s="4"/>
      <c r="R19" s="4"/>
      <c r="S19" s="4"/>
      <c r="T19" s="4"/>
      <c r="U19" s="4"/>
      <c r="V19" s="4"/>
      <c r="W19" s="4"/>
    </row>
    <row r="20" spans="1:26" s="3" customFormat="1" ht="51" customHeight="1" x14ac:dyDescent="0.2">
      <c r="A20" s="434"/>
      <c r="B20" s="434"/>
      <c r="C20" s="434"/>
      <c r="D20" s="434"/>
      <c r="E20" s="252" t="s">
        <v>77</v>
      </c>
      <c r="F20" s="252" t="s">
        <v>76</v>
      </c>
      <c r="G20" s="252" t="s">
        <v>75</v>
      </c>
      <c r="H20" s="252" t="s">
        <v>74</v>
      </c>
      <c r="I20" s="252" t="s">
        <v>73</v>
      </c>
      <c r="J20" s="252">
        <v>2018</v>
      </c>
      <c r="K20" s="252">
        <v>2019</v>
      </c>
      <c r="L20" s="252">
        <v>2020</v>
      </c>
      <c r="M20" s="252">
        <v>2021</v>
      </c>
      <c r="N20" s="252">
        <v>2022</v>
      </c>
      <c r="O20" s="252">
        <v>2023</v>
      </c>
      <c r="P20" s="31"/>
      <c r="Q20" s="31"/>
      <c r="R20" s="31"/>
      <c r="S20" s="31"/>
      <c r="T20" s="31"/>
      <c r="U20" s="31"/>
      <c r="V20" s="31"/>
      <c r="W20" s="31"/>
      <c r="X20" s="30"/>
      <c r="Y20" s="30"/>
      <c r="Z20" s="30"/>
    </row>
    <row r="21" spans="1:26" s="3" customFormat="1" ht="16.5" customHeight="1" x14ac:dyDescent="0.2">
      <c r="A21" s="253">
        <v>1</v>
      </c>
      <c r="B21" s="178">
        <v>2</v>
      </c>
      <c r="C21" s="253">
        <v>3</v>
      </c>
      <c r="D21" s="178">
        <v>4</v>
      </c>
      <c r="E21" s="253">
        <v>5</v>
      </c>
      <c r="F21" s="178">
        <v>6</v>
      </c>
      <c r="G21" s="253">
        <v>7</v>
      </c>
      <c r="H21" s="178">
        <v>8</v>
      </c>
      <c r="I21" s="253">
        <v>9</v>
      </c>
      <c r="J21" s="178">
        <v>10</v>
      </c>
      <c r="K21" s="253">
        <v>11</v>
      </c>
      <c r="L21" s="178">
        <v>12</v>
      </c>
      <c r="M21" s="253">
        <v>13</v>
      </c>
      <c r="N21" s="178">
        <v>14</v>
      </c>
      <c r="O21" s="253">
        <v>15</v>
      </c>
      <c r="P21" s="31"/>
      <c r="Q21" s="31"/>
      <c r="R21" s="31"/>
      <c r="S21" s="31"/>
      <c r="T21" s="31"/>
      <c r="U21" s="31"/>
      <c r="V21" s="31"/>
      <c r="W21" s="31"/>
      <c r="X21" s="30"/>
      <c r="Y21" s="30"/>
      <c r="Z21" s="30"/>
    </row>
    <row r="22" spans="1:26" s="3" customFormat="1" ht="33" customHeight="1" x14ac:dyDescent="0.2">
      <c r="A22" s="254" t="s">
        <v>61</v>
      </c>
      <c r="B22" s="255" t="s">
        <v>567</v>
      </c>
      <c r="C22" s="256">
        <v>0</v>
      </c>
      <c r="D22" s="256">
        <v>0</v>
      </c>
      <c r="E22" s="256">
        <v>0</v>
      </c>
      <c r="F22" s="256">
        <v>0</v>
      </c>
      <c r="G22" s="256">
        <v>0</v>
      </c>
      <c r="H22" s="256">
        <v>0</v>
      </c>
      <c r="I22" s="256">
        <v>0</v>
      </c>
      <c r="J22" s="257">
        <v>0</v>
      </c>
      <c r="K22" s="257">
        <v>0</v>
      </c>
      <c r="L22" s="258">
        <v>0</v>
      </c>
      <c r="M22" s="258">
        <v>0</v>
      </c>
      <c r="N22" s="258">
        <v>0</v>
      </c>
      <c r="O22" s="25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12" sqref="A12:P12"/>
    </sheetView>
  </sheetViews>
  <sheetFormatPr defaultRowHeight="12.75" x14ac:dyDescent="0.2"/>
  <cols>
    <col min="1" max="1" width="66.140625" style="286" customWidth="1"/>
    <col min="2" max="2" width="17.140625" style="286" customWidth="1"/>
    <col min="3" max="3" width="13.85546875" style="286" customWidth="1"/>
    <col min="4" max="5" width="13.5703125" style="286" customWidth="1"/>
    <col min="6" max="6" width="14.5703125" style="286" customWidth="1"/>
    <col min="7" max="7" width="13.42578125" style="286" customWidth="1"/>
    <col min="8" max="12" width="15.42578125" style="286" customWidth="1"/>
    <col min="13" max="13" width="15.42578125" style="286" hidden="1" customWidth="1"/>
    <col min="14" max="14" width="15.42578125" style="359" hidden="1" customWidth="1"/>
    <col min="15" max="19" width="15.42578125" style="286" hidden="1" customWidth="1"/>
    <col min="20" max="29" width="17.28515625" style="286" hidden="1" customWidth="1"/>
    <col min="30" max="31" width="17.28515625" style="276" hidden="1" customWidth="1"/>
    <col min="32" max="16384" width="9.140625" style="276"/>
  </cols>
  <sheetData>
    <row r="1" spans="1:45" x14ac:dyDescent="0.2">
      <c r="A1" s="273"/>
      <c r="B1" s="274"/>
      <c r="C1" s="274"/>
      <c r="D1" s="274"/>
      <c r="E1" s="274"/>
      <c r="F1" s="274"/>
      <c r="G1" s="274"/>
      <c r="H1" s="274"/>
      <c r="I1" s="274"/>
      <c r="J1" s="274"/>
      <c r="K1" s="275"/>
      <c r="L1" s="274"/>
      <c r="M1" s="274"/>
      <c r="N1" s="274"/>
      <c r="O1" s="274"/>
      <c r="P1" s="275" t="s">
        <v>65</v>
      </c>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P1" s="277"/>
      <c r="AQ1" s="277"/>
      <c r="AR1" s="278"/>
      <c r="AS1" s="278"/>
    </row>
    <row r="2" spans="1:45" x14ac:dyDescent="0.2">
      <c r="A2" s="273"/>
      <c r="B2" s="274"/>
      <c r="C2" s="274"/>
      <c r="D2" s="274"/>
      <c r="E2" s="274"/>
      <c r="F2" s="274"/>
      <c r="G2" s="274"/>
      <c r="H2" s="274"/>
      <c r="I2" s="274"/>
      <c r="J2" s="274"/>
      <c r="K2" s="279"/>
      <c r="L2" s="274"/>
      <c r="M2" s="274"/>
      <c r="N2" s="274"/>
      <c r="O2" s="274"/>
      <c r="P2" s="279" t="s">
        <v>7</v>
      </c>
      <c r="Q2" s="274"/>
      <c r="R2" s="274"/>
      <c r="S2" s="274"/>
      <c r="T2" s="274"/>
      <c r="U2" s="274"/>
      <c r="V2" s="274"/>
      <c r="W2" s="274"/>
      <c r="X2" s="274"/>
      <c r="Y2" s="274"/>
      <c r="Z2" s="274"/>
      <c r="AA2" s="274"/>
      <c r="AB2" s="274"/>
      <c r="AC2" s="274"/>
      <c r="AD2" s="274"/>
      <c r="AE2" s="274"/>
      <c r="AF2" s="274"/>
      <c r="AG2" s="274"/>
      <c r="AH2" s="274"/>
      <c r="AI2" s="274"/>
      <c r="AJ2" s="274"/>
      <c r="AK2" s="274"/>
      <c r="AL2" s="274"/>
      <c r="AM2" s="274"/>
      <c r="AN2" s="274"/>
      <c r="AP2" s="277"/>
      <c r="AQ2" s="277"/>
      <c r="AR2" s="278"/>
      <c r="AS2" s="278"/>
    </row>
    <row r="3" spans="1:45" x14ac:dyDescent="0.2">
      <c r="A3" s="280"/>
      <c r="B3" s="274"/>
      <c r="C3" s="274"/>
      <c r="D3" s="274"/>
      <c r="E3" s="274"/>
      <c r="F3" s="274"/>
      <c r="G3" s="274"/>
      <c r="H3" s="274"/>
      <c r="I3" s="274"/>
      <c r="J3" s="274"/>
      <c r="K3" s="279"/>
      <c r="L3" s="274"/>
      <c r="M3" s="274"/>
      <c r="N3" s="274"/>
      <c r="O3" s="274"/>
      <c r="P3" s="279" t="s">
        <v>287</v>
      </c>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P3" s="277"/>
      <c r="AQ3" s="277"/>
      <c r="AR3" s="278"/>
      <c r="AS3" s="278"/>
    </row>
    <row r="4" spans="1:45" x14ac:dyDescent="0.2">
      <c r="A4" s="281"/>
      <c r="B4" s="273"/>
      <c r="C4" s="273"/>
      <c r="D4" s="273"/>
      <c r="E4" s="273"/>
      <c r="F4" s="273"/>
      <c r="G4" s="273"/>
      <c r="H4" s="273"/>
      <c r="I4" s="273"/>
      <c r="J4" s="273"/>
      <c r="K4" s="279"/>
      <c r="L4" s="273"/>
      <c r="M4" s="273"/>
      <c r="N4" s="273"/>
      <c r="O4" s="273"/>
      <c r="P4" s="273"/>
      <c r="Q4" s="274"/>
      <c r="R4" s="274"/>
      <c r="S4" s="274"/>
      <c r="T4" s="274"/>
      <c r="U4" s="274"/>
      <c r="V4" s="274"/>
      <c r="W4" s="274"/>
      <c r="X4" s="274"/>
      <c r="Y4" s="274"/>
      <c r="Z4" s="274"/>
      <c r="AA4" s="274"/>
      <c r="AB4" s="274"/>
      <c r="AC4" s="274"/>
      <c r="AD4" s="274"/>
      <c r="AE4" s="274"/>
      <c r="AF4" s="274"/>
      <c r="AG4" s="274"/>
      <c r="AH4" s="274"/>
      <c r="AI4" s="274"/>
      <c r="AJ4" s="274"/>
      <c r="AK4" s="274"/>
      <c r="AL4" s="274"/>
      <c r="AM4" s="274"/>
      <c r="AN4" s="274"/>
      <c r="AO4" s="274"/>
      <c r="AP4" s="277"/>
      <c r="AQ4" s="277"/>
      <c r="AR4" s="278"/>
      <c r="AS4" s="278"/>
    </row>
    <row r="5" spans="1:45" x14ac:dyDescent="0.2">
      <c r="A5" s="439" t="str">
        <f>'1. паспорт местоположение'!A5:C5</f>
        <v>Год раскрытия информации: 2022 год</v>
      </c>
      <c r="B5" s="439"/>
      <c r="C5" s="439"/>
      <c r="D5" s="439"/>
      <c r="E5" s="439"/>
      <c r="F5" s="439"/>
      <c r="G5" s="439"/>
      <c r="H5" s="439"/>
      <c r="I5" s="439"/>
      <c r="J5" s="439"/>
      <c r="K5" s="439"/>
      <c r="L5" s="439"/>
      <c r="M5" s="439"/>
      <c r="N5" s="439"/>
      <c r="O5" s="439"/>
      <c r="P5" s="439"/>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77"/>
      <c r="AQ5" s="277"/>
      <c r="AR5" s="278"/>
      <c r="AS5" s="278"/>
    </row>
    <row r="6" spans="1:45" x14ac:dyDescent="0.2">
      <c r="A6" s="281"/>
      <c r="B6" s="273"/>
      <c r="C6" s="273"/>
      <c r="D6" s="273"/>
      <c r="E6" s="273"/>
      <c r="F6" s="273"/>
      <c r="G6" s="273"/>
      <c r="H6" s="273"/>
      <c r="I6" s="273"/>
      <c r="J6" s="273"/>
      <c r="K6" s="279"/>
      <c r="L6" s="273"/>
      <c r="M6" s="273"/>
      <c r="N6" s="273"/>
      <c r="O6" s="273"/>
      <c r="P6" s="273"/>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77"/>
      <c r="AQ6" s="277"/>
      <c r="AR6" s="278"/>
      <c r="AS6" s="278"/>
    </row>
    <row r="7" spans="1:45" x14ac:dyDescent="0.2">
      <c r="A7" s="439" t="s">
        <v>6</v>
      </c>
      <c r="B7" s="439"/>
      <c r="C7" s="439"/>
      <c r="D7" s="439"/>
      <c r="E7" s="439"/>
      <c r="F7" s="439"/>
      <c r="G7" s="439"/>
      <c r="H7" s="439"/>
      <c r="I7" s="439"/>
      <c r="J7" s="439"/>
      <c r="K7" s="439"/>
      <c r="L7" s="439"/>
      <c r="M7" s="439"/>
      <c r="N7" s="439"/>
      <c r="O7" s="439"/>
      <c r="P7" s="439"/>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77"/>
      <c r="AQ7" s="277"/>
      <c r="AR7" s="278"/>
      <c r="AS7" s="278"/>
    </row>
    <row r="8" spans="1:45" x14ac:dyDescent="0.2">
      <c r="A8" s="284"/>
      <c r="B8" s="284"/>
      <c r="C8" s="284"/>
      <c r="D8" s="284"/>
      <c r="E8" s="284"/>
      <c r="F8" s="284"/>
      <c r="G8" s="284"/>
      <c r="H8" s="284"/>
      <c r="I8" s="284"/>
      <c r="J8" s="284"/>
      <c r="K8" s="284"/>
      <c r="L8" s="282"/>
      <c r="M8" s="282"/>
      <c r="N8" s="282"/>
      <c r="O8" s="282"/>
      <c r="P8" s="282"/>
      <c r="Q8" s="283"/>
      <c r="R8" s="283"/>
      <c r="S8" s="283"/>
      <c r="T8" s="283"/>
      <c r="U8" s="283"/>
      <c r="V8" s="283"/>
      <c r="W8" s="283"/>
      <c r="X8" s="283"/>
      <c r="Y8" s="283"/>
      <c r="Z8" s="274"/>
      <c r="AA8" s="274"/>
      <c r="AB8" s="274"/>
      <c r="AC8" s="274"/>
      <c r="AD8" s="274"/>
      <c r="AE8" s="274"/>
      <c r="AF8" s="274"/>
      <c r="AG8" s="274"/>
      <c r="AH8" s="274"/>
      <c r="AI8" s="274"/>
      <c r="AJ8" s="274"/>
      <c r="AK8" s="274"/>
      <c r="AL8" s="274"/>
      <c r="AM8" s="274"/>
      <c r="AN8" s="274"/>
      <c r="AO8" s="274"/>
      <c r="AP8" s="277"/>
      <c r="AQ8" s="277"/>
      <c r="AR8" s="278"/>
      <c r="AS8" s="278"/>
    </row>
    <row r="9" spans="1:45" x14ac:dyDescent="0.2">
      <c r="A9" s="440" t="str">
        <f>'1. паспорт местоположение'!A9:C9</f>
        <v xml:space="preserve">Акционерное общество "Западная энергетическая компания" </v>
      </c>
      <c r="B9" s="440"/>
      <c r="C9" s="440"/>
      <c r="D9" s="440"/>
      <c r="E9" s="440"/>
      <c r="F9" s="440"/>
      <c r="G9" s="440"/>
      <c r="H9" s="440"/>
      <c r="I9" s="440"/>
      <c r="J9" s="440"/>
      <c r="K9" s="440"/>
      <c r="L9" s="440"/>
      <c r="M9" s="440"/>
      <c r="N9" s="440"/>
      <c r="O9" s="440"/>
      <c r="P9" s="440"/>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77"/>
      <c r="AQ9" s="277"/>
      <c r="AR9" s="278"/>
      <c r="AS9" s="278"/>
    </row>
    <row r="10" spans="1:45" x14ac:dyDescent="0.2">
      <c r="A10" s="438" t="s">
        <v>5</v>
      </c>
      <c r="B10" s="438"/>
      <c r="C10" s="438"/>
      <c r="D10" s="438"/>
      <c r="E10" s="438"/>
      <c r="F10" s="438"/>
      <c r="G10" s="438"/>
      <c r="H10" s="438"/>
      <c r="I10" s="438"/>
      <c r="J10" s="438"/>
      <c r="K10" s="438"/>
      <c r="L10" s="438"/>
      <c r="M10" s="438"/>
      <c r="N10" s="438"/>
      <c r="O10" s="438"/>
      <c r="P10" s="438"/>
      <c r="AD10" s="286"/>
      <c r="AE10" s="286"/>
      <c r="AF10" s="286"/>
      <c r="AG10" s="286"/>
      <c r="AH10" s="286"/>
      <c r="AI10" s="286"/>
      <c r="AJ10" s="286"/>
      <c r="AK10" s="286"/>
      <c r="AL10" s="286"/>
      <c r="AM10" s="286"/>
      <c r="AN10" s="286"/>
      <c r="AO10" s="286"/>
      <c r="AP10" s="277"/>
      <c r="AQ10" s="277"/>
      <c r="AR10" s="278"/>
      <c r="AS10" s="278"/>
    </row>
    <row r="11" spans="1:45" x14ac:dyDescent="0.2">
      <c r="A11" s="284"/>
      <c r="B11" s="284"/>
      <c r="C11" s="284"/>
      <c r="D11" s="284"/>
      <c r="E11" s="284"/>
      <c r="F11" s="284"/>
      <c r="G11" s="284"/>
      <c r="H11" s="284"/>
      <c r="I11" s="284"/>
      <c r="J11" s="284"/>
      <c r="K11" s="284"/>
      <c r="L11" s="282"/>
      <c r="M11" s="282"/>
      <c r="N11" s="282"/>
      <c r="O11" s="282"/>
      <c r="P11" s="282"/>
      <c r="Q11" s="283"/>
      <c r="R11" s="283"/>
      <c r="S11" s="283"/>
      <c r="T11" s="283"/>
      <c r="U11" s="283"/>
      <c r="V11" s="283"/>
      <c r="W11" s="283"/>
      <c r="X11" s="283"/>
      <c r="Y11" s="283"/>
      <c r="Z11" s="274"/>
      <c r="AA11" s="274"/>
      <c r="AB11" s="274"/>
      <c r="AC11" s="274"/>
      <c r="AD11" s="274"/>
      <c r="AE11" s="274"/>
      <c r="AF11" s="274"/>
      <c r="AG11" s="274"/>
      <c r="AH11" s="274"/>
      <c r="AI11" s="274"/>
      <c r="AJ11" s="274"/>
      <c r="AK11" s="274"/>
      <c r="AL11" s="274"/>
      <c r="AM11" s="274"/>
      <c r="AN11" s="274"/>
      <c r="AO11" s="274"/>
      <c r="AP11" s="277"/>
      <c r="AQ11" s="277"/>
      <c r="AR11" s="278"/>
      <c r="AS11" s="278"/>
    </row>
    <row r="12" spans="1:45" x14ac:dyDescent="0.2">
      <c r="A12" s="440" t="str">
        <f>'1. паспорт местоположение'!A12:C12</f>
        <v>M  22-19</v>
      </c>
      <c r="B12" s="440"/>
      <c r="C12" s="440"/>
      <c r="D12" s="440"/>
      <c r="E12" s="440"/>
      <c r="F12" s="440"/>
      <c r="G12" s="440"/>
      <c r="H12" s="440"/>
      <c r="I12" s="440"/>
      <c r="J12" s="440"/>
      <c r="K12" s="440"/>
      <c r="L12" s="440"/>
      <c r="M12" s="440"/>
      <c r="N12" s="440"/>
      <c r="O12" s="440"/>
      <c r="P12" s="440"/>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77"/>
      <c r="AQ12" s="277"/>
      <c r="AR12" s="278"/>
      <c r="AS12" s="278"/>
    </row>
    <row r="13" spans="1:45" x14ac:dyDescent="0.2">
      <c r="A13" s="438" t="s">
        <v>4</v>
      </c>
      <c r="B13" s="438"/>
      <c r="C13" s="438"/>
      <c r="D13" s="438"/>
      <c r="E13" s="438"/>
      <c r="F13" s="438"/>
      <c r="G13" s="438"/>
      <c r="H13" s="438"/>
      <c r="I13" s="438"/>
      <c r="J13" s="438"/>
      <c r="K13" s="438"/>
      <c r="L13" s="438"/>
      <c r="M13" s="438"/>
      <c r="N13" s="438"/>
      <c r="O13" s="438"/>
      <c r="P13" s="438"/>
      <c r="AD13" s="286"/>
      <c r="AE13" s="286"/>
      <c r="AF13" s="286"/>
      <c r="AG13" s="286"/>
      <c r="AH13" s="286"/>
      <c r="AI13" s="286"/>
      <c r="AJ13" s="286"/>
      <c r="AK13" s="286"/>
      <c r="AL13" s="286"/>
      <c r="AM13" s="286"/>
      <c r="AN13" s="286"/>
      <c r="AO13" s="286"/>
      <c r="AP13" s="277"/>
      <c r="AQ13" s="277"/>
      <c r="AR13" s="278"/>
      <c r="AS13" s="278"/>
    </row>
    <row r="14" spans="1:45" x14ac:dyDescent="0.2">
      <c r="A14" s="287"/>
      <c r="B14" s="287"/>
      <c r="C14" s="287"/>
      <c r="D14" s="287"/>
      <c r="E14" s="287"/>
      <c r="F14" s="287"/>
      <c r="G14" s="287"/>
      <c r="H14" s="287"/>
      <c r="I14" s="287"/>
      <c r="J14" s="287"/>
      <c r="K14" s="287"/>
      <c r="L14" s="287"/>
      <c r="M14" s="287"/>
      <c r="N14" s="287"/>
      <c r="O14" s="287"/>
      <c r="P14" s="287"/>
      <c r="Q14" s="288"/>
      <c r="R14" s="288"/>
      <c r="S14" s="288"/>
      <c r="T14" s="288"/>
      <c r="U14" s="288"/>
      <c r="V14" s="288"/>
      <c r="W14" s="288"/>
      <c r="X14" s="288"/>
      <c r="Y14" s="288"/>
      <c r="Z14" s="274"/>
      <c r="AA14" s="274"/>
      <c r="AB14" s="274"/>
      <c r="AC14" s="274"/>
      <c r="AD14" s="274"/>
      <c r="AE14" s="274"/>
      <c r="AF14" s="274"/>
      <c r="AG14" s="274"/>
      <c r="AH14" s="274"/>
      <c r="AI14" s="274"/>
      <c r="AJ14" s="274"/>
      <c r="AK14" s="274"/>
      <c r="AL14" s="274"/>
      <c r="AM14" s="274"/>
      <c r="AN14" s="274"/>
      <c r="AO14" s="274"/>
      <c r="AP14" s="277"/>
      <c r="AQ14" s="277"/>
      <c r="AR14" s="278"/>
      <c r="AS14" s="278"/>
    </row>
    <row r="15" spans="1:45" x14ac:dyDescent="0.2">
      <c r="A15" s="445" t="str">
        <f>'1. паспорт местоположение'!A15:C15</f>
        <v>Строительство 2-х КЛ-0,4кВ от ТП-12 до СП-0,4 (Новый), монтаж СП-0,4кВ п.Южный, Багратионовского р-на</v>
      </c>
      <c r="B15" s="445"/>
      <c r="C15" s="445"/>
      <c r="D15" s="445"/>
      <c r="E15" s="445"/>
      <c r="F15" s="445"/>
      <c r="G15" s="445"/>
      <c r="H15" s="445"/>
      <c r="I15" s="445"/>
      <c r="J15" s="445"/>
      <c r="K15" s="445"/>
      <c r="L15" s="445"/>
      <c r="M15" s="445"/>
      <c r="N15" s="445"/>
      <c r="O15" s="445"/>
      <c r="P15" s="445"/>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77"/>
      <c r="AQ15" s="277"/>
      <c r="AR15" s="278"/>
      <c r="AS15" s="278"/>
    </row>
    <row r="16" spans="1:45" x14ac:dyDescent="0.2">
      <c r="A16" s="446" t="s">
        <v>3</v>
      </c>
      <c r="B16" s="446"/>
      <c r="C16" s="446"/>
      <c r="D16" s="446"/>
      <c r="E16" s="446"/>
      <c r="F16" s="446"/>
      <c r="G16" s="446"/>
      <c r="H16" s="446"/>
      <c r="I16" s="446"/>
      <c r="J16" s="446"/>
      <c r="K16" s="446"/>
      <c r="L16" s="446"/>
      <c r="M16" s="446"/>
      <c r="N16" s="446"/>
      <c r="O16" s="446"/>
      <c r="P16" s="446"/>
      <c r="AD16" s="286"/>
      <c r="AE16" s="286"/>
      <c r="AF16" s="286"/>
      <c r="AG16" s="286"/>
      <c r="AH16" s="286"/>
      <c r="AI16" s="286"/>
      <c r="AJ16" s="286"/>
      <c r="AK16" s="286"/>
      <c r="AL16" s="286"/>
      <c r="AM16" s="286"/>
      <c r="AN16" s="286"/>
      <c r="AO16" s="286"/>
      <c r="AP16" s="277"/>
      <c r="AQ16" s="277"/>
      <c r="AR16" s="278"/>
      <c r="AS16" s="278"/>
    </row>
    <row r="17" spans="1:45" x14ac:dyDescent="0.2">
      <c r="A17" s="288"/>
      <c r="B17" s="288"/>
      <c r="C17" s="288"/>
      <c r="D17" s="288"/>
      <c r="E17" s="288"/>
      <c r="F17" s="288"/>
      <c r="G17" s="288"/>
      <c r="H17" s="288"/>
      <c r="I17" s="288"/>
      <c r="J17" s="288"/>
      <c r="K17" s="288"/>
      <c r="L17" s="288"/>
      <c r="M17" s="288"/>
      <c r="N17" s="288"/>
      <c r="O17" s="288"/>
      <c r="P17" s="288"/>
      <c r="Q17" s="288"/>
      <c r="R17" s="288"/>
      <c r="S17" s="288"/>
      <c r="T17" s="288"/>
      <c r="U17" s="288"/>
      <c r="V17" s="288"/>
      <c r="W17" s="290"/>
      <c r="X17" s="290"/>
      <c r="Y17" s="290"/>
      <c r="Z17" s="290"/>
      <c r="AA17" s="290"/>
      <c r="AB17" s="290"/>
      <c r="AC17" s="290"/>
      <c r="AD17" s="290"/>
      <c r="AE17" s="290"/>
      <c r="AF17" s="290"/>
      <c r="AG17" s="290"/>
      <c r="AH17" s="290"/>
      <c r="AI17" s="290"/>
      <c r="AJ17" s="290"/>
      <c r="AK17" s="290"/>
      <c r="AL17" s="290"/>
      <c r="AM17" s="290"/>
      <c r="AN17" s="290"/>
      <c r="AO17" s="290"/>
      <c r="AP17" s="277"/>
      <c r="AQ17" s="277"/>
      <c r="AR17" s="278"/>
      <c r="AS17" s="278"/>
    </row>
    <row r="18" spans="1:45" x14ac:dyDescent="0.2">
      <c r="A18" s="447" t="s">
        <v>421</v>
      </c>
      <c r="B18" s="447"/>
      <c r="C18" s="447"/>
      <c r="D18" s="447"/>
      <c r="E18" s="447"/>
      <c r="F18" s="447"/>
      <c r="G18" s="447"/>
      <c r="H18" s="447"/>
      <c r="I18" s="447"/>
      <c r="J18" s="447"/>
      <c r="K18" s="447"/>
      <c r="L18" s="447"/>
      <c r="M18" s="447"/>
      <c r="N18" s="447"/>
      <c r="O18" s="447"/>
      <c r="P18" s="447"/>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77"/>
      <c r="AQ18" s="277"/>
      <c r="AR18" s="278"/>
      <c r="AS18" s="278"/>
    </row>
    <row r="19" spans="1:45" x14ac:dyDescent="0.2">
      <c r="A19" s="291"/>
      <c r="B19" s="291"/>
      <c r="C19" s="291"/>
      <c r="D19" s="291"/>
      <c r="E19" s="291"/>
      <c r="F19" s="291"/>
      <c r="G19" s="291"/>
      <c r="H19" s="291"/>
      <c r="I19" s="291"/>
      <c r="J19" s="291"/>
      <c r="K19" s="291"/>
      <c r="L19" s="291"/>
      <c r="M19" s="291"/>
      <c r="N19" s="291"/>
      <c r="O19" s="291"/>
      <c r="P19" s="291"/>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77"/>
      <c r="AQ19" s="277"/>
      <c r="AR19" s="278"/>
      <c r="AS19" s="278"/>
    </row>
    <row r="20" spans="1:45" x14ac:dyDescent="0.2">
      <c r="A20" s="291"/>
      <c r="B20" s="291"/>
      <c r="C20" s="291"/>
      <c r="D20" s="291"/>
      <c r="E20" s="291"/>
      <c r="F20" s="291"/>
      <c r="G20" s="291"/>
      <c r="H20" s="291"/>
      <c r="I20" s="291"/>
      <c r="J20" s="291"/>
      <c r="K20" s="291"/>
      <c r="L20" s="291"/>
      <c r="M20" s="291"/>
      <c r="N20" s="291"/>
      <c r="O20" s="291"/>
      <c r="P20" s="291"/>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77"/>
      <c r="AQ20" s="277"/>
      <c r="AR20" s="278"/>
      <c r="AS20" s="278"/>
    </row>
    <row r="21" spans="1:45" x14ac:dyDescent="0.2">
      <c r="A21" s="292"/>
      <c r="N21" s="286"/>
      <c r="AP21" s="277"/>
      <c r="AQ21" s="277"/>
      <c r="AR21" s="278"/>
      <c r="AS21" s="278"/>
    </row>
    <row r="22" spans="1:45" x14ac:dyDescent="0.2">
      <c r="A22" s="283"/>
      <c r="N22" s="286"/>
      <c r="AP22" s="277"/>
      <c r="AQ22" s="277"/>
      <c r="AR22" s="278"/>
      <c r="AS22" s="278"/>
    </row>
    <row r="23" spans="1:45" ht="13.5" thickBot="1" x14ac:dyDescent="0.25">
      <c r="A23" s="293" t="s">
        <v>286</v>
      </c>
      <c r="B23" s="293" t="s">
        <v>0</v>
      </c>
      <c r="D23" s="294"/>
      <c r="N23" s="286"/>
    </row>
    <row r="24" spans="1:45" x14ac:dyDescent="0.2">
      <c r="A24" s="295" t="s">
        <v>459</v>
      </c>
      <c r="B24" s="360">
        <f>'6.2. Паспорт фин осв ввод'!D30*1000000</f>
        <v>2330000</v>
      </c>
      <c r="N24" s="286"/>
    </row>
    <row r="25" spans="1:45" x14ac:dyDescent="0.2">
      <c r="A25" s="296" t="s">
        <v>284</v>
      </c>
      <c r="B25" s="297">
        <v>0</v>
      </c>
      <c r="N25" s="286"/>
    </row>
    <row r="26" spans="1:45" x14ac:dyDescent="0.2">
      <c r="A26" s="298" t="s">
        <v>282</v>
      </c>
      <c r="B26" s="297">
        <v>30</v>
      </c>
      <c r="D26" s="283" t="s">
        <v>285</v>
      </c>
      <c r="N26" s="286"/>
    </row>
    <row r="27" spans="1:45" ht="13.5" thickBot="1" x14ac:dyDescent="0.25">
      <c r="A27" s="299" t="s">
        <v>280</v>
      </c>
      <c r="B27" s="300">
        <v>1</v>
      </c>
      <c r="D27" s="441" t="s">
        <v>283</v>
      </c>
      <c r="E27" s="442"/>
      <c r="F27" s="443"/>
      <c r="G27" s="301" t="str">
        <f>IF(SUM(B89:AG89)=0,"не окупается",SUM(B89:AG89))</f>
        <v>не окупается</v>
      </c>
      <c r="H27" s="302"/>
      <c r="N27" s="286"/>
    </row>
    <row r="28" spans="1:45" x14ac:dyDescent="0.2">
      <c r="A28" s="295" t="s">
        <v>279</v>
      </c>
      <c r="B28" s="360">
        <f>B24*0.001</f>
        <v>2330</v>
      </c>
      <c r="D28" s="441" t="s">
        <v>281</v>
      </c>
      <c r="E28" s="442"/>
      <c r="F28" s="443"/>
      <c r="G28" s="301" t="str">
        <f>IF(SUM(B90:AG90)=0,"не окупается",SUM(B90:AG90))</f>
        <v>не окупается</v>
      </c>
      <c r="H28" s="302"/>
      <c r="N28" s="286"/>
    </row>
    <row r="29" spans="1:45" x14ac:dyDescent="0.2">
      <c r="A29" s="298" t="s">
        <v>460</v>
      </c>
      <c r="B29" s="297">
        <v>6</v>
      </c>
      <c r="D29" s="441" t="s">
        <v>582</v>
      </c>
      <c r="E29" s="442"/>
      <c r="F29" s="443"/>
      <c r="G29" s="303">
        <f>L87</f>
        <v>-3494939.0803096378</v>
      </c>
      <c r="H29" s="304"/>
      <c r="N29" s="286"/>
    </row>
    <row r="30" spans="1:45" x14ac:dyDescent="0.2">
      <c r="A30" s="298" t="s">
        <v>278</v>
      </c>
      <c r="B30" s="297">
        <v>6</v>
      </c>
      <c r="D30" s="441"/>
      <c r="E30" s="442"/>
      <c r="F30" s="443"/>
      <c r="G30" s="305"/>
      <c r="H30" s="306"/>
      <c r="N30" s="286"/>
    </row>
    <row r="31" spans="1:45" x14ac:dyDescent="0.2">
      <c r="A31" s="298" t="s">
        <v>257</v>
      </c>
      <c r="B31" s="297">
        <v>0</v>
      </c>
      <c r="N31" s="286"/>
    </row>
    <row r="32" spans="1:45" x14ac:dyDescent="0.2">
      <c r="A32" s="298" t="s">
        <v>277</v>
      </c>
      <c r="B32" s="297">
        <v>1</v>
      </c>
      <c r="N32" s="286"/>
    </row>
    <row r="33" spans="1:31" x14ac:dyDescent="0.2">
      <c r="A33" s="298" t="s">
        <v>276</v>
      </c>
      <c r="B33" s="297">
        <v>1</v>
      </c>
      <c r="N33" s="286"/>
    </row>
    <row r="34" spans="1:31" x14ac:dyDescent="0.2">
      <c r="A34" s="307" t="s">
        <v>583</v>
      </c>
      <c r="B34" s="297">
        <f>B24*0.03</f>
        <v>69900</v>
      </c>
      <c r="N34" s="286"/>
    </row>
    <row r="35" spans="1:31" ht="13.5" thickBot="1" x14ac:dyDescent="0.25">
      <c r="A35" s="308" t="s">
        <v>251</v>
      </c>
      <c r="B35" s="309">
        <v>0.2</v>
      </c>
      <c r="N35" s="286"/>
    </row>
    <row r="36" spans="1:31" x14ac:dyDescent="0.2">
      <c r="A36" s="295" t="s">
        <v>461</v>
      </c>
      <c r="B36" s="310">
        <v>0</v>
      </c>
      <c r="N36" s="286"/>
    </row>
    <row r="37" spans="1:31" x14ac:dyDescent="0.2">
      <c r="A37" s="298" t="s">
        <v>275</v>
      </c>
      <c r="B37" s="297"/>
      <c r="N37" s="286"/>
    </row>
    <row r="38" spans="1:31" ht="13.5" thickBot="1" x14ac:dyDescent="0.25">
      <c r="A38" s="307" t="s">
        <v>274</v>
      </c>
      <c r="B38" s="311"/>
      <c r="N38" s="286"/>
    </row>
    <row r="39" spans="1:31" x14ac:dyDescent="0.2">
      <c r="A39" s="312" t="s">
        <v>462</v>
      </c>
      <c r="B39" s="313">
        <v>1</v>
      </c>
      <c r="N39" s="286"/>
    </row>
    <row r="40" spans="1:31" x14ac:dyDescent="0.2">
      <c r="A40" s="314" t="s">
        <v>273</v>
      </c>
      <c r="B40" s="315"/>
      <c r="N40" s="286"/>
    </row>
    <row r="41" spans="1:31" x14ac:dyDescent="0.2">
      <c r="A41" s="314" t="s">
        <v>272</v>
      </c>
      <c r="B41" s="316"/>
      <c r="N41" s="286"/>
    </row>
    <row r="42" spans="1:31" x14ac:dyDescent="0.2">
      <c r="A42" s="314" t="s">
        <v>271</v>
      </c>
      <c r="B42" s="316">
        <v>0</v>
      </c>
      <c r="N42" s="286"/>
    </row>
    <row r="43" spans="1:31" x14ac:dyDescent="0.2">
      <c r="A43" s="314" t="s">
        <v>270</v>
      </c>
      <c r="B43" s="317">
        <v>9.8699999999999996E-2</v>
      </c>
      <c r="N43" s="286"/>
    </row>
    <row r="44" spans="1:31" x14ac:dyDescent="0.2">
      <c r="A44" s="314" t="s">
        <v>269</v>
      </c>
      <c r="B44" s="318">
        <v>1</v>
      </c>
      <c r="N44" s="286"/>
    </row>
    <row r="45" spans="1:31" ht="13.5" thickBot="1" x14ac:dyDescent="0.25">
      <c r="A45" s="319" t="s">
        <v>584</v>
      </c>
      <c r="B45" s="318">
        <f>B44*B43+B42*B41*(1-B35)</f>
        <v>9.8699999999999996E-2</v>
      </c>
      <c r="C45" s="320"/>
      <c r="N45" s="286"/>
    </row>
    <row r="46" spans="1:31" x14ac:dyDescent="0.2">
      <c r="A46" s="321" t="s">
        <v>268</v>
      </c>
      <c r="B46" s="322">
        <v>1</v>
      </c>
      <c r="C46" s="322">
        <v>2</v>
      </c>
      <c r="D46" s="322">
        <v>3</v>
      </c>
      <c r="E46" s="322">
        <v>4</v>
      </c>
      <c r="F46" s="322">
        <v>5</v>
      </c>
      <c r="G46" s="322">
        <v>6</v>
      </c>
      <c r="H46" s="322">
        <v>7</v>
      </c>
      <c r="I46" s="322">
        <v>8</v>
      </c>
      <c r="J46" s="322">
        <v>9</v>
      </c>
      <c r="K46" s="322">
        <v>10</v>
      </c>
      <c r="L46" s="322">
        <v>11</v>
      </c>
      <c r="M46" s="322">
        <v>12</v>
      </c>
      <c r="N46" s="322">
        <v>13</v>
      </c>
      <c r="O46" s="322">
        <v>14</v>
      </c>
      <c r="P46" s="322">
        <v>15</v>
      </c>
      <c r="Q46" s="322">
        <v>16</v>
      </c>
      <c r="R46" s="322">
        <v>17</v>
      </c>
      <c r="S46" s="322">
        <v>18</v>
      </c>
      <c r="T46" s="322">
        <v>19</v>
      </c>
      <c r="U46" s="322">
        <v>20</v>
      </c>
      <c r="V46" s="322">
        <v>21</v>
      </c>
      <c r="W46" s="322">
        <v>22</v>
      </c>
      <c r="X46" s="322">
        <v>23</v>
      </c>
      <c r="Y46" s="322">
        <v>24</v>
      </c>
      <c r="Z46" s="322">
        <v>25</v>
      </c>
      <c r="AA46" s="322">
        <v>26</v>
      </c>
      <c r="AB46" s="322">
        <v>27</v>
      </c>
      <c r="AC46" s="323">
        <v>28</v>
      </c>
      <c r="AD46" s="323">
        <v>29</v>
      </c>
      <c r="AE46" s="323">
        <v>30</v>
      </c>
    </row>
    <row r="47" spans="1:31" x14ac:dyDescent="0.2">
      <c r="A47" s="324" t="s">
        <v>267</v>
      </c>
      <c r="B47" s="325">
        <v>5.0999999999999997E-2</v>
      </c>
      <c r="C47" s="325">
        <v>4.9000000000000002E-2</v>
      </c>
      <c r="D47" s="325">
        <v>4.7E-2</v>
      </c>
      <c r="E47" s="325">
        <v>4.7E-2</v>
      </c>
      <c r="F47" s="326">
        <v>4.7E-2</v>
      </c>
      <c r="G47" s="326">
        <v>4.7E-2</v>
      </c>
      <c r="H47" s="326">
        <v>4.7E-2</v>
      </c>
      <c r="I47" s="326">
        <v>4.7E-2</v>
      </c>
      <c r="J47" s="326">
        <v>4.7E-2</v>
      </c>
      <c r="K47" s="326">
        <v>4.7E-2</v>
      </c>
      <c r="L47" s="326">
        <v>4.7E-2</v>
      </c>
      <c r="M47" s="326">
        <v>4.7E-2</v>
      </c>
      <c r="N47" s="326">
        <v>4.7E-2</v>
      </c>
      <c r="O47" s="326">
        <v>4.7E-2</v>
      </c>
      <c r="P47" s="326">
        <v>4.7E-2</v>
      </c>
      <c r="Q47" s="326">
        <v>4.7E-2</v>
      </c>
      <c r="R47" s="326">
        <v>4.7E-2</v>
      </c>
      <c r="S47" s="326">
        <v>4.7E-2</v>
      </c>
      <c r="T47" s="326">
        <v>4.7E-2</v>
      </c>
      <c r="U47" s="326">
        <v>4.7E-2</v>
      </c>
      <c r="V47" s="326">
        <v>4.7E-2</v>
      </c>
      <c r="W47" s="326">
        <v>4.7E-2</v>
      </c>
      <c r="X47" s="326">
        <v>4.7E-2</v>
      </c>
      <c r="Y47" s="326">
        <v>4.7E-2</v>
      </c>
      <c r="Z47" s="326">
        <v>4.7E-2</v>
      </c>
      <c r="AA47" s="326">
        <v>4.7E-2</v>
      </c>
      <c r="AB47" s="326">
        <v>4.7E-2</v>
      </c>
      <c r="AC47" s="326">
        <v>4.7E-2</v>
      </c>
      <c r="AD47" s="326">
        <v>4.7E-2</v>
      </c>
      <c r="AE47" s="326">
        <v>4.7E-2</v>
      </c>
    </row>
    <row r="48" spans="1:31" x14ac:dyDescent="0.2">
      <c r="A48" s="324" t="s">
        <v>266</v>
      </c>
      <c r="B48" s="326">
        <f>B47</f>
        <v>5.0999999999999997E-2</v>
      </c>
      <c r="C48" s="326">
        <f t="shared" ref="C48:AE48" si="0">(1+B48)*(1+C47)-1</f>
        <v>0.1024989999999999</v>
      </c>
      <c r="D48" s="326">
        <f t="shared" si="0"/>
        <v>0.15431645299999985</v>
      </c>
      <c r="E48" s="326">
        <f t="shared" si="0"/>
        <v>0.20856932629099978</v>
      </c>
      <c r="F48" s="326">
        <f t="shared" si="0"/>
        <v>0.26537208462667672</v>
      </c>
      <c r="G48" s="326">
        <f t="shared" si="0"/>
        <v>0.32484457260413047</v>
      </c>
      <c r="H48" s="326">
        <f t="shared" si="0"/>
        <v>0.38711226751652461</v>
      </c>
      <c r="I48" s="326">
        <f t="shared" si="0"/>
        <v>0.45230654408980109</v>
      </c>
      <c r="J48" s="326">
        <f t="shared" si="0"/>
        <v>0.52056495166202166</v>
      </c>
      <c r="K48" s="326">
        <f t="shared" si="0"/>
        <v>0.59203150439013652</v>
      </c>
      <c r="L48" s="326">
        <f t="shared" si="0"/>
        <v>0.66685698509647273</v>
      </c>
      <c r="M48" s="326">
        <f t="shared" si="0"/>
        <v>0.74519926339600673</v>
      </c>
      <c r="N48" s="326">
        <f t="shared" si="0"/>
        <v>0.82722362877561895</v>
      </c>
      <c r="O48" s="326">
        <f t="shared" si="0"/>
        <v>0.91310313932807285</v>
      </c>
      <c r="P48" s="326">
        <f t="shared" si="0"/>
        <v>1.003018986876492</v>
      </c>
      <c r="Q48" s="326">
        <f t="shared" si="0"/>
        <v>1.097160879259687</v>
      </c>
      <c r="R48" s="326">
        <f t="shared" si="0"/>
        <v>1.1957274405848923</v>
      </c>
      <c r="S48" s="326">
        <f t="shared" si="0"/>
        <v>1.2989266302923821</v>
      </c>
      <c r="T48" s="326">
        <f t="shared" si="0"/>
        <v>1.4069761819161237</v>
      </c>
      <c r="U48" s="326">
        <f t="shared" si="0"/>
        <v>1.5201040624661815</v>
      </c>
      <c r="V48" s="326">
        <f t="shared" si="0"/>
        <v>1.6385489534020916</v>
      </c>
      <c r="W48" s="326">
        <f t="shared" si="0"/>
        <v>1.7625607542119899</v>
      </c>
      <c r="X48" s="326">
        <f t="shared" si="0"/>
        <v>1.8924011096599531</v>
      </c>
      <c r="Y48" s="326">
        <f t="shared" si="0"/>
        <v>2.0283439618139707</v>
      </c>
      <c r="Z48" s="326">
        <f t="shared" si="0"/>
        <v>2.170676128019227</v>
      </c>
      <c r="AA48" s="326">
        <f t="shared" si="0"/>
        <v>2.3196979060361307</v>
      </c>
      <c r="AB48" s="326">
        <f t="shared" si="0"/>
        <v>2.4757237076198284</v>
      </c>
      <c r="AC48" s="326">
        <f t="shared" si="0"/>
        <v>2.6390827218779602</v>
      </c>
      <c r="AD48" s="326">
        <f t="shared" si="0"/>
        <v>2.810119609806224</v>
      </c>
      <c r="AE48" s="326">
        <f t="shared" si="0"/>
        <v>2.9891952314671162</v>
      </c>
    </row>
    <row r="49" spans="1:31" ht="13.5" thickBot="1" x14ac:dyDescent="0.25">
      <c r="A49" s="327" t="s">
        <v>463</v>
      </c>
      <c r="B49" s="328">
        <v>0</v>
      </c>
      <c r="C49" s="328">
        <v>0</v>
      </c>
      <c r="D49" s="328">
        <v>0</v>
      </c>
      <c r="E49" s="328">
        <v>0</v>
      </c>
      <c r="F49" s="328">
        <v>0</v>
      </c>
      <c r="G49" s="328">
        <v>0</v>
      </c>
      <c r="H49" s="328">
        <v>0</v>
      </c>
      <c r="I49" s="328">
        <v>0</v>
      </c>
      <c r="J49" s="328">
        <v>0</v>
      </c>
      <c r="K49" s="328">
        <v>0</v>
      </c>
      <c r="L49" s="328">
        <v>0</v>
      </c>
      <c r="M49" s="328">
        <v>0</v>
      </c>
      <c r="N49" s="328">
        <v>0</v>
      </c>
      <c r="O49" s="328">
        <v>0</v>
      </c>
      <c r="P49" s="328">
        <v>0</v>
      </c>
      <c r="Q49" s="328">
        <v>0</v>
      </c>
      <c r="R49" s="328">
        <v>0</v>
      </c>
      <c r="S49" s="328">
        <v>0</v>
      </c>
      <c r="T49" s="328">
        <v>0</v>
      </c>
      <c r="U49" s="328">
        <v>0</v>
      </c>
      <c r="V49" s="328">
        <v>0</v>
      </c>
      <c r="W49" s="328">
        <v>0</v>
      </c>
      <c r="X49" s="328">
        <v>0</v>
      </c>
      <c r="Y49" s="328">
        <v>0</v>
      </c>
      <c r="Z49" s="328">
        <v>0</v>
      </c>
      <c r="AA49" s="328">
        <v>0</v>
      </c>
      <c r="AB49" s="328">
        <v>0</v>
      </c>
      <c r="AC49" s="328">
        <v>0</v>
      </c>
      <c r="AD49" s="328">
        <v>0</v>
      </c>
      <c r="AE49" s="328">
        <v>0</v>
      </c>
    </row>
    <row r="50" spans="1:31" ht="13.5" thickBot="1" x14ac:dyDescent="0.25">
      <c r="A50" s="329"/>
      <c r="N50" s="286"/>
      <c r="AC50" s="330"/>
      <c r="AD50" s="330"/>
      <c r="AE50" s="330"/>
    </row>
    <row r="51" spans="1:31" x14ac:dyDescent="0.2">
      <c r="A51" s="331" t="s">
        <v>265</v>
      </c>
      <c r="B51" s="322">
        <v>1</v>
      </c>
      <c r="C51" s="322">
        <v>2</v>
      </c>
      <c r="D51" s="322">
        <v>3</v>
      </c>
      <c r="E51" s="322">
        <v>4</v>
      </c>
      <c r="F51" s="322">
        <v>5</v>
      </c>
      <c r="G51" s="322">
        <v>6</v>
      </c>
      <c r="H51" s="322">
        <v>7</v>
      </c>
      <c r="I51" s="322">
        <v>8</v>
      </c>
      <c r="J51" s="322">
        <v>9</v>
      </c>
      <c r="K51" s="322">
        <v>10</v>
      </c>
      <c r="L51" s="322">
        <v>11</v>
      </c>
      <c r="M51" s="322">
        <v>12</v>
      </c>
      <c r="N51" s="322">
        <v>13</v>
      </c>
      <c r="O51" s="322">
        <v>14</v>
      </c>
      <c r="P51" s="322">
        <v>15</v>
      </c>
      <c r="Q51" s="322">
        <v>16</v>
      </c>
      <c r="R51" s="322">
        <v>17</v>
      </c>
      <c r="S51" s="322">
        <v>18</v>
      </c>
      <c r="T51" s="322">
        <v>19</v>
      </c>
      <c r="U51" s="322">
        <v>20</v>
      </c>
      <c r="V51" s="322">
        <v>21</v>
      </c>
      <c r="W51" s="322">
        <v>22</v>
      </c>
      <c r="X51" s="322">
        <v>23</v>
      </c>
      <c r="Y51" s="322">
        <v>24</v>
      </c>
      <c r="Z51" s="322">
        <v>25</v>
      </c>
      <c r="AA51" s="322">
        <v>26</v>
      </c>
      <c r="AB51" s="322">
        <v>27</v>
      </c>
      <c r="AC51" s="322">
        <v>28</v>
      </c>
      <c r="AD51" s="322">
        <v>29</v>
      </c>
      <c r="AE51" s="322">
        <v>30</v>
      </c>
    </row>
    <row r="52" spans="1:31" x14ac:dyDescent="0.2">
      <c r="A52" s="324" t="s">
        <v>264</v>
      </c>
      <c r="B52" s="332">
        <v>0</v>
      </c>
      <c r="C52" s="332">
        <v>0</v>
      </c>
      <c r="D52" s="332">
        <v>0</v>
      </c>
      <c r="E52" s="332">
        <v>0</v>
      </c>
      <c r="F52" s="332">
        <v>0</v>
      </c>
      <c r="G52" s="332">
        <v>0</v>
      </c>
      <c r="H52" s="332">
        <v>0</v>
      </c>
      <c r="I52" s="332">
        <v>0</v>
      </c>
      <c r="J52" s="332">
        <v>0</v>
      </c>
      <c r="K52" s="332">
        <v>0</v>
      </c>
      <c r="L52" s="332">
        <v>0</v>
      </c>
      <c r="M52" s="332">
        <v>0</v>
      </c>
      <c r="N52" s="332">
        <v>0</v>
      </c>
      <c r="O52" s="332">
        <v>0</v>
      </c>
      <c r="P52" s="332">
        <v>0</v>
      </c>
      <c r="Q52" s="332">
        <v>0</v>
      </c>
      <c r="R52" s="332">
        <v>0</v>
      </c>
      <c r="S52" s="332">
        <v>0</v>
      </c>
      <c r="T52" s="332">
        <v>0</v>
      </c>
      <c r="U52" s="332">
        <v>0</v>
      </c>
      <c r="V52" s="332">
        <v>0</v>
      </c>
      <c r="W52" s="332">
        <v>0</v>
      </c>
      <c r="X52" s="332">
        <v>0</v>
      </c>
      <c r="Y52" s="332">
        <v>0</v>
      </c>
      <c r="Z52" s="332">
        <v>0</v>
      </c>
      <c r="AA52" s="332">
        <v>0</v>
      </c>
      <c r="AB52" s="332">
        <v>0</v>
      </c>
      <c r="AC52" s="333">
        <v>0</v>
      </c>
      <c r="AD52" s="333">
        <v>0</v>
      </c>
      <c r="AE52" s="333">
        <v>0</v>
      </c>
    </row>
    <row r="53" spans="1:31" x14ac:dyDescent="0.2">
      <c r="A53" s="324" t="s">
        <v>263</v>
      </c>
      <c r="B53" s="332">
        <v>0</v>
      </c>
      <c r="C53" s="332">
        <v>0</v>
      </c>
      <c r="D53" s="332">
        <v>0</v>
      </c>
      <c r="E53" s="332">
        <v>0</v>
      </c>
      <c r="F53" s="332">
        <v>0</v>
      </c>
      <c r="G53" s="332">
        <v>0</v>
      </c>
      <c r="H53" s="332">
        <v>0</v>
      </c>
      <c r="I53" s="332">
        <v>0</v>
      </c>
      <c r="J53" s="332">
        <v>0</v>
      </c>
      <c r="K53" s="332">
        <v>0</v>
      </c>
      <c r="L53" s="332">
        <v>0</v>
      </c>
      <c r="M53" s="332">
        <v>0</v>
      </c>
      <c r="N53" s="332">
        <v>0</v>
      </c>
      <c r="O53" s="332">
        <v>0</v>
      </c>
      <c r="P53" s="332">
        <v>0</v>
      </c>
      <c r="Q53" s="332">
        <v>0</v>
      </c>
      <c r="R53" s="332">
        <v>0</v>
      </c>
      <c r="S53" s="332">
        <v>0</v>
      </c>
      <c r="T53" s="332">
        <v>0</v>
      </c>
      <c r="U53" s="332">
        <v>0</v>
      </c>
      <c r="V53" s="332">
        <v>0</v>
      </c>
      <c r="W53" s="332">
        <v>0</v>
      </c>
      <c r="X53" s="332">
        <v>0</v>
      </c>
      <c r="Y53" s="332">
        <v>0</v>
      </c>
      <c r="Z53" s="332">
        <v>0</v>
      </c>
      <c r="AA53" s="332">
        <v>0</v>
      </c>
      <c r="AB53" s="332">
        <v>0</v>
      </c>
      <c r="AC53" s="333">
        <v>0</v>
      </c>
      <c r="AD53" s="333">
        <v>0</v>
      </c>
      <c r="AE53" s="333">
        <v>0</v>
      </c>
    </row>
    <row r="54" spans="1:31" x14ac:dyDescent="0.2">
      <c r="A54" s="324" t="s">
        <v>262</v>
      </c>
      <c r="B54" s="332">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3">
        <v>0</v>
      </c>
      <c r="AD54" s="333">
        <v>0</v>
      </c>
      <c r="AE54" s="333">
        <v>0</v>
      </c>
    </row>
    <row r="55" spans="1:31" ht="13.5" thickBot="1" x14ac:dyDescent="0.25">
      <c r="A55" s="327" t="s">
        <v>261</v>
      </c>
      <c r="B55" s="334">
        <v>0</v>
      </c>
      <c r="C55" s="334">
        <v>0</v>
      </c>
      <c r="D55" s="334">
        <v>0</v>
      </c>
      <c r="E55" s="334">
        <v>0</v>
      </c>
      <c r="F55" s="334">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34">
        <v>0</v>
      </c>
      <c r="AC55" s="335">
        <v>0</v>
      </c>
      <c r="AD55" s="335">
        <v>0</v>
      </c>
      <c r="AE55" s="335">
        <v>0</v>
      </c>
    </row>
    <row r="56" spans="1:31" ht="13.5" thickBot="1" x14ac:dyDescent="0.25">
      <c r="A56" s="329"/>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7"/>
      <c r="AD56" s="337"/>
      <c r="AE56" s="337"/>
    </row>
    <row r="57" spans="1:31" ht="13.5" thickBot="1" x14ac:dyDescent="0.25">
      <c r="A57" s="331" t="s">
        <v>464</v>
      </c>
      <c r="B57" s="322">
        <v>1</v>
      </c>
      <c r="C57" s="322">
        <v>2</v>
      </c>
      <c r="D57" s="322">
        <v>3</v>
      </c>
      <c r="E57" s="322">
        <v>4</v>
      </c>
      <c r="F57" s="322">
        <v>5</v>
      </c>
      <c r="G57" s="322">
        <v>6</v>
      </c>
      <c r="H57" s="322">
        <v>7</v>
      </c>
      <c r="I57" s="322">
        <v>8</v>
      </c>
      <c r="J57" s="322">
        <v>9</v>
      </c>
      <c r="K57" s="322">
        <v>10</v>
      </c>
      <c r="L57" s="322">
        <v>11</v>
      </c>
      <c r="M57" s="322">
        <v>12</v>
      </c>
      <c r="N57" s="322">
        <v>13</v>
      </c>
      <c r="O57" s="322">
        <v>14</v>
      </c>
      <c r="P57" s="322">
        <v>15</v>
      </c>
      <c r="Q57" s="322">
        <v>16</v>
      </c>
      <c r="R57" s="322">
        <v>17</v>
      </c>
      <c r="S57" s="322">
        <v>18</v>
      </c>
      <c r="T57" s="322">
        <v>19</v>
      </c>
      <c r="U57" s="322">
        <v>20</v>
      </c>
      <c r="V57" s="322">
        <v>21</v>
      </c>
      <c r="W57" s="322">
        <v>22</v>
      </c>
      <c r="X57" s="322">
        <v>23</v>
      </c>
      <c r="Y57" s="322">
        <v>24</v>
      </c>
      <c r="Z57" s="322">
        <v>25</v>
      </c>
      <c r="AA57" s="322">
        <v>26</v>
      </c>
      <c r="AB57" s="322">
        <v>27</v>
      </c>
      <c r="AC57" s="322">
        <v>28</v>
      </c>
      <c r="AD57" s="322">
        <v>29</v>
      </c>
      <c r="AE57" s="322">
        <v>30</v>
      </c>
    </row>
    <row r="58" spans="1:31" x14ac:dyDescent="0.2">
      <c r="A58" s="331" t="s">
        <v>260</v>
      </c>
      <c r="B58" s="322">
        <f t="shared" ref="B58:AE58" si="1">B49*$B$27</f>
        <v>0</v>
      </c>
      <c r="C58" s="322">
        <f t="shared" si="1"/>
        <v>0</v>
      </c>
      <c r="D58" s="322">
        <f t="shared" si="1"/>
        <v>0</v>
      </c>
      <c r="E58" s="322">
        <f t="shared" si="1"/>
        <v>0</v>
      </c>
      <c r="F58" s="322">
        <f t="shared" si="1"/>
        <v>0</v>
      </c>
      <c r="G58" s="322">
        <f t="shared" si="1"/>
        <v>0</v>
      </c>
      <c r="H58" s="322">
        <f t="shared" si="1"/>
        <v>0</v>
      </c>
      <c r="I58" s="322">
        <f t="shared" si="1"/>
        <v>0</v>
      </c>
      <c r="J58" s="322">
        <f t="shared" si="1"/>
        <v>0</v>
      </c>
      <c r="K58" s="322">
        <f t="shared" si="1"/>
        <v>0</v>
      </c>
      <c r="L58" s="322">
        <f t="shared" si="1"/>
        <v>0</v>
      </c>
      <c r="M58" s="322">
        <f t="shared" si="1"/>
        <v>0</v>
      </c>
      <c r="N58" s="322">
        <f t="shared" si="1"/>
        <v>0</v>
      </c>
      <c r="O58" s="322">
        <f t="shared" si="1"/>
        <v>0</v>
      </c>
      <c r="P58" s="322">
        <f t="shared" si="1"/>
        <v>0</v>
      </c>
      <c r="Q58" s="322">
        <f t="shared" si="1"/>
        <v>0</v>
      </c>
      <c r="R58" s="322">
        <f t="shared" si="1"/>
        <v>0</v>
      </c>
      <c r="S58" s="322">
        <f t="shared" si="1"/>
        <v>0</v>
      </c>
      <c r="T58" s="322">
        <f t="shared" si="1"/>
        <v>0</v>
      </c>
      <c r="U58" s="322">
        <f t="shared" si="1"/>
        <v>0</v>
      </c>
      <c r="V58" s="322">
        <f t="shared" si="1"/>
        <v>0</v>
      </c>
      <c r="W58" s="322">
        <f t="shared" si="1"/>
        <v>0</v>
      </c>
      <c r="X58" s="322">
        <f t="shared" si="1"/>
        <v>0</v>
      </c>
      <c r="Y58" s="322">
        <f t="shared" si="1"/>
        <v>0</v>
      </c>
      <c r="Z58" s="322">
        <f t="shared" si="1"/>
        <v>0</v>
      </c>
      <c r="AA58" s="322">
        <f t="shared" si="1"/>
        <v>0</v>
      </c>
      <c r="AB58" s="322">
        <f t="shared" si="1"/>
        <v>0</v>
      </c>
      <c r="AC58" s="322">
        <f t="shared" si="1"/>
        <v>0</v>
      </c>
      <c r="AD58" s="322">
        <f t="shared" si="1"/>
        <v>0</v>
      </c>
      <c r="AE58" s="322">
        <f t="shared" si="1"/>
        <v>0</v>
      </c>
    </row>
    <row r="59" spans="1:31" x14ac:dyDescent="0.2">
      <c r="A59" s="324" t="s">
        <v>259</v>
      </c>
      <c r="B59" s="338">
        <f t="shared" ref="B59:AE59" si="2">SUM(B60:B65)</f>
        <v>0</v>
      </c>
      <c r="C59" s="338">
        <f t="shared" si="2"/>
        <v>-49551.333333333336</v>
      </c>
      <c r="D59" s="338">
        <f t="shared" si="2"/>
        <v>-47842.666666666672</v>
      </c>
      <c r="E59" s="338">
        <f t="shared" si="2"/>
        <v>-46134</v>
      </c>
      <c r="F59" s="338">
        <f t="shared" si="2"/>
        <v>-44425.333333333336</v>
      </c>
      <c r="G59" s="338">
        <f t="shared" si="2"/>
        <v>-42716.666666666664</v>
      </c>
      <c r="H59" s="338">
        <f t="shared" si="2"/>
        <v>-41008</v>
      </c>
      <c r="I59" s="338">
        <f t="shared" si="2"/>
        <v>-36503.333333333328</v>
      </c>
      <c r="J59" s="338">
        <f t="shared" si="2"/>
        <v>-37590.666666666664</v>
      </c>
      <c r="K59" s="338">
        <f t="shared" si="2"/>
        <v>-119762</v>
      </c>
      <c r="L59" s="338">
        <f t="shared" si="2"/>
        <v>-34173.333333333321</v>
      </c>
      <c r="M59" s="338">
        <f t="shared" si="2"/>
        <v>-70055.333333333285</v>
      </c>
      <c r="N59" s="338">
        <f t="shared" si="2"/>
        <v>-30755.999999999989</v>
      </c>
      <c r="O59" s="338">
        <f t="shared" si="2"/>
        <v>-441266.88509898848</v>
      </c>
      <c r="P59" s="338">
        <f t="shared" si="2"/>
        <v>-27338.66666666665</v>
      </c>
      <c r="Q59" s="338">
        <f t="shared" si="2"/>
        <v>-25629.999999999982</v>
      </c>
      <c r="R59" s="338">
        <f t="shared" si="2"/>
        <v>-23921.333333333314</v>
      </c>
      <c r="S59" s="338">
        <f t="shared" si="2"/>
        <v>-106092.66666666666</v>
      </c>
      <c r="T59" s="338">
        <f t="shared" si="2"/>
        <v>-20503.999999999982</v>
      </c>
      <c r="U59" s="338">
        <f t="shared" si="2"/>
        <v>-431014.88509898848</v>
      </c>
      <c r="V59" s="338">
        <f t="shared" si="2"/>
        <v>-17086.666666666653</v>
      </c>
      <c r="W59" s="338">
        <f t="shared" si="2"/>
        <v>-15377.999999999985</v>
      </c>
      <c r="X59" s="338">
        <f t="shared" si="2"/>
        <v>-13669.333333333321</v>
      </c>
      <c r="Y59" s="338">
        <f t="shared" si="2"/>
        <v>-11960.666666666655</v>
      </c>
      <c r="Z59" s="338">
        <f t="shared" si="2"/>
        <v>-10251.999999999987</v>
      </c>
      <c r="AA59" s="338">
        <f t="shared" si="2"/>
        <v>-92423.333333333314</v>
      </c>
      <c r="AB59" s="338">
        <f t="shared" si="2"/>
        <v>-6834.6666666666542</v>
      </c>
      <c r="AC59" s="338">
        <f t="shared" si="2"/>
        <v>-5125.9999999999873</v>
      </c>
      <c r="AD59" s="338">
        <f t="shared" si="2"/>
        <v>-3417.3333333333198</v>
      </c>
      <c r="AE59" s="338">
        <f t="shared" si="2"/>
        <v>-1708.6666666666533</v>
      </c>
    </row>
    <row r="60" spans="1:31" x14ac:dyDescent="0.2">
      <c r="A60" s="339" t="s">
        <v>258</v>
      </c>
      <c r="B60" s="332"/>
      <c r="C60" s="332"/>
      <c r="D60" s="332"/>
      <c r="E60" s="332"/>
      <c r="F60" s="332"/>
      <c r="G60" s="332"/>
      <c r="H60" s="332"/>
      <c r="I60" s="332">
        <f>B28*1.2</f>
        <v>2796</v>
      </c>
      <c r="J60" s="332"/>
      <c r="K60" s="332"/>
      <c r="L60" s="332"/>
      <c r="M60" s="332"/>
      <c r="N60" s="332"/>
      <c r="O60" s="332">
        <v>-412219.55176565517</v>
      </c>
      <c r="P60" s="332"/>
      <c r="Q60" s="332"/>
      <c r="R60" s="332"/>
      <c r="S60" s="332"/>
      <c r="T60" s="332"/>
      <c r="U60" s="332">
        <v>-412219.55176565517</v>
      </c>
      <c r="V60" s="332"/>
      <c r="W60" s="332"/>
      <c r="X60" s="332"/>
      <c r="Y60" s="332"/>
      <c r="Z60" s="332"/>
      <c r="AA60" s="332"/>
      <c r="AB60" s="332"/>
      <c r="AC60" s="332"/>
      <c r="AD60" s="332"/>
      <c r="AE60" s="332"/>
    </row>
    <row r="61" spans="1:31" x14ac:dyDescent="0.2">
      <c r="A61" s="339" t="s">
        <v>257</v>
      </c>
      <c r="B61" s="332"/>
      <c r="C61" s="332"/>
      <c r="D61" s="332"/>
      <c r="E61" s="332"/>
      <c r="F61" s="332"/>
      <c r="G61" s="332"/>
      <c r="H61" s="332"/>
      <c r="I61" s="332"/>
      <c r="J61" s="332"/>
      <c r="K61" s="332">
        <v>0</v>
      </c>
      <c r="L61" s="332"/>
      <c r="M61" s="332"/>
      <c r="N61" s="332"/>
      <c r="O61" s="332"/>
      <c r="P61" s="332"/>
      <c r="Q61" s="332"/>
      <c r="R61" s="332"/>
      <c r="S61" s="332">
        <f>K61</f>
        <v>0</v>
      </c>
      <c r="T61" s="332"/>
      <c r="U61" s="332"/>
      <c r="V61" s="332"/>
      <c r="W61" s="332"/>
      <c r="X61" s="332"/>
      <c r="Y61" s="332"/>
      <c r="Z61" s="332"/>
      <c r="AA61" s="340">
        <v>0</v>
      </c>
      <c r="AB61" s="332"/>
      <c r="AC61" s="332"/>
      <c r="AD61" s="332"/>
      <c r="AE61" s="332"/>
    </row>
    <row r="62" spans="1:31" x14ac:dyDescent="0.2">
      <c r="A62" s="339" t="s">
        <v>583</v>
      </c>
      <c r="B62" s="332"/>
      <c r="C62" s="332"/>
      <c r="D62" s="332"/>
      <c r="E62" s="332"/>
      <c r="F62" s="332"/>
      <c r="G62" s="332"/>
      <c r="H62" s="332"/>
      <c r="I62" s="332"/>
      <c r="J62" s="332"/>
      <c r="K62" s="332">
        <f>-B34*1.2</f>
        <v>-83880</v>
      </c>
      <c r="L62" s="332"/>
      <c r="M62" s="332"/>
      <c r="N62" s="332"/>
      <c r="O62" s="332"/>
      <c r="P62" s="332"/>
      <c r="Q62" s="332"/>
      <c r="R62" s="332"/>
      <c r="S62" s="332">
        <f>K62</f>
        <v>-83880</v>
      </c>
      <c r="T62" s="332"/>
      <c r="U62" s="332"/>
      <c r="V62" s="332"/>
      <c r="W62" s="332"/>
      <c r="X62" s="332"/>
      <c r="Y62" s="332"/>
      <c r="Z62" s="332"/>
      <c r="AA62" s="332">
        <f>S62</f>
        <v>-83880</v>
      </c>
      <c r="AB62" s="332"/>
      <c r="AC62" s="332"/>
      <c r="AD62" s="332"/>
      <c r="AE62" s="332"/>
    </row>
    <row r="63" spans="1:31" x14ac:dyDescent="0.2">
      <c r="A63" s="339" t="s">
        <v>461</v>
      </c>
      <c r="B63" s="341">
        <v>0</v>
      </c>
      <c r="C63" s="341">
        <v>0</v>
      </c>
      <c r="D63" s="341">
        <v>0</v>
      </c>
      <c r="E63" s="341">
        <v>0</v>
      </c>
      <c r="F63" s="341">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1">
        <v>0</v>
      </c>
      <c r="AC63" s="341">
        <v>0</v>
      </c>
      <c r="AD63" s="341">
        <v>0</v>
      </c>
      <c r="AE63" s="341">
        <v>0</v>
      </c>
    </row>
    <row r="64" spans="1:31" x14ac:dyDescent="0.2">
      <c r="A64" s="339" t="s">
        <v>461</v>
      </c>
      <c r="B64" s="341">
        <v>0</v>
      </c>
      <c r="C64" s="341">
        <v>0</v>
      </c>
      <c r="D64" s="341">
        <v>0</v>
      </c>
      <c r="E64" s="341">
        <v>0</v>
      </c>
      <c r="F64" s="341">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1">
        <v>0</v>
      </c>
      <c r="AC64" s="341">
        <v>0</v>
      </c>
      <c r="AD64" s="341">
        <v>0</v>
      </c>
      <c r="AE64" s="341">
        <v>0</v>
      </c>
    </row>
    <row r="65" spans="1:31" x14ac:dyDescent="0.2">
      <c r="A65" s="339" t="s">
        <v>585</v>
      </c>
      <c r="B65" s="341">
        <v>0</v>
      </c>
      <c r="C65" s="374">
        <f>-($B$24+C67)*0.022</f>
        <v>-49551.333333333336</v>
      </c>
      <c r="D65" s="374">
        <f>-($B$24+D67+C67)*0.022</f>
        <v>-47842.666666666672</v>
      </c>
      <c r="E65" s="375">
        <f>-($B$24+E67+C67+D67)*0.022</f>
        <v>-46134</v>
      </c>
      <c r="F65" s="375">
        <f>-($B$24+F67+D67+E67+C67)*0.022</f>
        <v>-44425.333333333336</v>
      </c>
      <c r="G65" s="375">
        <f>-($B$24+G67+E67+F67+D67+C67)*0.022</f>
        <v>-42716.666666666664</v>
      </c>
      <c r="H65" s="375">
        <f>-($B$24+H67+F67+G67+E67+C67+D67)*0.022</f>
        <v>-41008</v>
      </c>
      <c r="I65" s="375">
        <f>-($B$24+C67+I67+G67+H67+F67+D67+E67)*0.022</f>
        <v>-39299.333333333328</v>
      </c>
      <c r="J65" s="375">
        <f>-($B$24+D67+J67+H67+I67+G67+E67+F67+C67)*0.022</f>
        <v>-37590.666666666664</v>
      </c>
      <c r="K65" s="375">
        <f>-($B$24+E67+K67+I67+J67+H67+F67+G67+C67+D67)*0.022</f>
        <v>-35881.999999999993</v>
      </c>
      <c r="L65" s="375">
        <f>-($B$24+F67+L67+J67+K67+I67+G67+H67+E67+D67+C67)*0.022</f>
        <v>-34173.333333333321</v>
      </c>
      <c r="M65" s="375">
        <f>(-$B$24+G67+M67+K67+L67+J67+H67+I67+F67+E67+D67+C67)*0.022</f>
        <v>-70055.333333333285</v>
      </c>
      <c r="N65" s="375">
        <f>-($B$24+H67+N67+L67+M67+K67+I67+J67+G67+F67+E67+C67+D67)*0.022</f>
        <v>-30755.999999999989</v>
      </c>
      <c r="O65" s="375">
        <f>-($B$24+I67+O67+M67+N67+L67+J67+K67+H67+G67+F67+D67+C67+E67)*0.022</f>
        <v>-29047.333333333321</v>
      </c>
      <c r="P65" s="375">
        <f>-($B$24+J67+P67+N67+O67+M67+K67+L67+I67+H67+G67+E67+F67+C67+D67)*0.022</f>
        <v>-27338.66666666665</v>
      </c>
      <c r="Q65" s="375">
        <f>-($B$24+K67+Q67+O67+P67+N67+L67+M67+J67+I67+H67+F67+G67+D67+C67+E67)*0.022</f>
        <v>-25629.999999999982</v>
      </c>
      <c r="R65" s="375">
        <f>-($B$24+L67+R67+P67+Q67+O67+M67+N67+K67+J67+I67+G67+H67+E67+D67+C67+F67)*0.022</f>
        <v>-23921.333333333314</v>
      </c>
      <c r="S65" s="375">
        <f>-($B$24+M67+S67+Q67+R67+P67+N67+O67+L67+K67+J67+H67+I67+F67+E67+D67+C67+G67)*0.022</f>
        <v>-22212.66666666665</v>
      </c>
      <c r="T65" s="375">
        <f>-($B$24+N67+T67+R67+S67+Q67+O67+P67+M67+L67+K67+I67+J67+G67+F67+E67+D67+C67+H67)*0.022</f>
        <v>-20503.999999999982</v>
      </c>
      <c r="U65" s="375">
        <f>-($B$24+O67+U67+S67+T67+R67+P67+Q67+N67+M67+L67+J67+K67+H67+G67+F67+E67+C67+D67++I67)*0.022</f>
        <v>-18795.333333333318</v>
      </c>
      <c r="V65" s="375">
        <f>-($B$24+P67+V67+T67+U67+S67+Q67+R67+O67+N67+M67+K67+L67+I67+H67+G67+F67+D67+E67+C67+J67)*0.022</f>
        <v>-17086.666666666653</v>
      </c>
      <c r="W65" s="375">
        <f>-($B$24+Q67+W67+U67+V67+T67+R67+S67+P67+O67+N67+L67+M67+J67+I67+H67+G67+E67+F67+D67+C67+K67)*0.022</f>
        <v>-15377.999999999985</v>
      </c>
      <c r="X65" s="375">
        <f>-($B$24+R67+X67+V67+W67+U67+S67+T67+Q67+P67+O67+M67+N67+K67+J67+I67+H67+F67+G67+E67+D67+C67+L67)*0.022</f>
        <v>-13669.333333333321</v>
      </c>
      <c r="Y65" s="375">
        <f>-($B$24+S67+Y67+W67+X67+V67+T67+U67+R67+Q67+P67+N67+O67+L67+K67+J67+I67+G67+H67+F67+E67+D67+C67+M67)*0.022</f>
        <v>-11960.666666666655</v>
      </c>
      <c r="Z65" s="375">
        <f>-($B$24+T67+Z67+X67+Y67+W67+U67+V67+S67+R67+Q67+O67+P67+M67+L67+K67+J67+H67+I67+G67+F67+E67+D67+C67+N67)*0.022</f>
        <v>-10251.999999999987</v>
      </c>
      <c r="AA65" s="375">
        <f>-($B$24+U67+AA67+Y67+Z67+X67+V67+W67+T67+S67+R67+P67+Q67+N67+M67+L67+K67+I67+J67+H67+G67+F67+E67+D67+C67+O67)*0.022</f>
        <v>-8543.3333333333212</v>
      </c>
      <c r="AB65" s="375">
        <f>-($B$24+V67+AB67+Z67+AA67+Y67+W67+X67+U67+T67+S67+Q67+R67+O67+N67+M67+L67+J67+K67+I67+H67+G67+F67+E67+D67+C67+P67)*0.022</f>
        <v>-6834.6666666666542</v>
      </c>
      <c r="AC65" s="375">
        <f>-($B$24+W67+AC67+AA67+AB67+Z67+X67+Y67+V67+U67+T67+R67+S67+P67+O67+N67+M67+K67+L67+J67+I67+H67+G67+F67+E67+D67+C67+Q67)*0.022</f>
        <v>-5125.9999999999873</v>
      </c>
      <c r="AD65" s="375">
        <f>-($B$24+X67+AD67+AB67+AC67+AA67+Y67+Z67+W67+V67+U67+S67+T67+Q67+P67+O67+N67+L67+M67+K67+J67+I67+H67+G67+F67+E67+D67+C67+R67)*0.022</f>
        <v>-3417.3333333333198</v>
      </c>
      <c r="AE65" s="375">
        <f>-($B$24+Y67+AE67+AC67+AD67+AB67+Z67+AA67+X67+W67+V67+T67+U67+R67+Q67+P67+O67+M67+N67+L67+K67+J67+I67+H67+G67+F67+E67+D67+C67+S67)*0.022</f>
        <v>-1708.6666666666533</v>
      </c>
    </row>
    <row r="66" spans="1:31" x14ac:dyDescent="0.2">
      <c r="A66" s="342" t="s">
        <v>586</v>
      </c>
      <c r="B66" s="343">
        <f t="shared" ref="B66:AE66" si="3">B58+B59</f>
        <v>0</v>
      </c>
      <c r="C66" s="343">
        <f t="shared" si="3"/>
        <v>-49551.333333333336</v>
      </c>
      <c r="D66" s="343">
        <f t="shared" si="3"/>
        <v>-47842.666666666672</v>
      </c>
      <c r="E66" s="343">
        <f t="shared" si="3"/>
        <v>-46134</v>
      </c>
      <c r="F66" s="343">
        <f t="shared" si="3"/>
        <v>-44425.333333333336</v>
      </c>
      <c r="G66" s="343">
        <f t="shared" si="3"/>
        <v>-42716.666666666664</v>
      </c>
      <c r="H66" s="343">
        <f t="shared" si="3"/>
        <v>-41008</v>
      </c>
      <c r="I66" s="343">
        <f t="shared" si="3"/>
        <v>-36503.333333333328</v>
      </c>
      <c r="J66" s="343">
        <f t="shared" si="3"/>
        <v>-37590.666666666664</v>
      </c>
      <c r="K66" s="343">
        <f t="shared" si="3"/>
        <v>-119762</v>
      </c>
      <c r="L66" s="343">
        <f t="shared" si="3"/>
        <v>-34173.333333333321</v>
      </c>
      <c r="M66" s="343">
        <f t="shared" si="3"/>
        <v>-70055.333333333285</v>
      </c>
      <c r="N66" s="343">
        <f t="shared" si="3"/>
        <v>-30755.999999999989</v>
      </c>
      <c r="O66" s="343">
        <f t="shared" si="3"/>
        <v>-441266.88509898848</v>
      </c>
      <c r="P66" s="343">
        <f t="shared" si="3"/>
        <v>-27338.66666666665</v>
      </c>
      <c r="Q66" s="343">
        <f t="shared" si="3"/>
        <v>-25629.999999999982</v>
      </c>
      <c r="R66" s="343">
        <f t="shared" si="3"/>
        <v>-23921.333333333314</v>
      </c>
      <c r="S66" s="343">
        <f t="shared" si="3"/>
        <v>-106092.66666666666</v>
      </c>
      <c r="T66" s="343">
        <f t="shared" si="3"/>
        <v>-20503.999999999982</v>
      </c>
      <c r="U66" s="343">
        <f t="shared" si="3"/>
        <v>-431014.88509898848</v>
      </c>
      <c r="V66" s="343">
        <f t="shared" si="3"/>
        <v>-17086.666666666653</v>
      </c>
      <c r="W66" s="343">
        <f t="shared" si="3"/>
        <v>-15377.999999999985</v>
      </c>
      <c r="X66" s="343">
        <f t="shared" si="3"/>
        <v>-13669.333333333321</v>
      </c>
      <c r="Y66" s="343">
        <f t="shared" si="3"/>
        <v>-11960.666666666655</v>
      </c>
      <c r="Z66" s="343">
        <f t="shared" si="3"/>
        <v>-10251.999999999987</v>
      </c>
      <c r="AA66" s="343">
        <f t="shared" si="3"/>
        <v>-92423.333333333314</v>
      </c>
      <c r="AB66" s="343">
        <f t="shared" si="3"/>
        <v>-6834.6666666666542</v>
      </c>
      <c r="AC66" s="343">
        <f t="shared" si="3"/>
        <v>-5125.9999999999873</v>
      </c>
      <c r="AD66" s="343">
        <f t="shared" si="3"/>
        <v>-3417.3333333333198</v>
      </c>
      <c r="AE66" s="343">
        <f t="shared" si="3"/>
        <v>-1708.6666666666533</v>
      </c>
    </row>
    <row r="67" spans="1:31" x14ac:dyDescent="0.2">
      <c r="A67" s="339" t="s">
        <v>253</v>
      </c>
      <c r="B67" s="344">
        <v>0</v>
      </c>
      <c r="C67" s="344">
        <f>-(B24)*$B$27/$B$26</f>
        <v>-77666.666666666672</v>
      </c>
      <c r="D67" s="344">
        <f>C67</f>
        <v>-77666.666666666672</v>
      </c>
      <c r="E67" s="345">
        <f t="shared" ref="E67:AE67" si="4">D67</f>
        <v>-77666.666666666672</v>
      </c>
      <c r="F67" s="345">
        <f t="shared" si="4"/>
        <v>-77666.666666666672</v>
      </c>
      <c r="G67" s="345">
        <f t="shared" si="4"/>
        <v>-77666.666666666672</v>
      </c>
      <c r="H67" s="345">
        <f t="shared" si="4"/>
        <v>-77666.666666666672</v>
      </c>
      <c r="I67" s="345">
        <f t="shared" si="4"/>
        <v>-77666.666666666672</v>
      </c>
      <c r="J67" s="345">
        <f t="shared" si="4"/>
        <v>-77666.666666666672</v>
      </c>
      <c r="K67" s="345">
        <f t="shared" si="4"/>
        <v>-77666.666666666672</v>
      </c>
      <c r="L67" s="345">
        <f t="shared" si="4"/>
        <v>-77666.666666666672</v>
      </c>
      <c r="M67" s="345">
        <f t="shared" si="4"/>
        <v>-77666.666666666672</v>
      </c>
      <c r="N67" s="345">
        <f t="shared" si="4"/>
        <v>-77666.666666666672</v>
      </c>
      <c r="O67" s="345">
        <f t="shared" si="4"/>
        <v>-77666.666666666672</v>
      </c>
      <c r="P67" s="345">
        <f t="shared" si="4"/>
        <v>-77666.666666666672</v>
      </c>
      <c r="Q67" s="345">
        <f t="shared" si="4"/>
        <v>-77666.666666666672</v>
      </c>
      <c r="R67" s="345">
        <f t="shared" si="4"/>
        <v>-77666.666666666672</v>
      </c>
      <c r="S67" s="345">
        <f t="shared" si="4"/>
        <v>-77666.666666666672</v>
      </c>
      <c r="T67" s="345">
        <f t="shared" si="4"/>
        <v>-77666.666666666672</v>
      </c>
      <c r="U67" s="345">
        <f t="shared" si="4"/>
        <v>-77666.666666666672</v>
      </c>
      <c r="V67" s="345">
        <f t="shared" si="4"/>
        <v>-77666.666666666672</v>
      </c>
      <c r="W67" s="345">
        <f t="shared" si="4"/>
        <v>-77666.666666666672</v>
      </c>
      <c r="X67" s="345">
        <f t="shared" si="4"/>
        <v>-77666.666666666672</v>
      </c>
      <c r="Y67" s="345">
        <f t="shared" si="4"/>
        <v>-77666.666666666672</v>
      </c>
      <c r="Z67" s="345">
        <f t="shared" si="4"/>
        <v>-77666.666666666672</v>
      </c>
      <c r="AA67" s="345">
        <f t="shared" si="4"/>
        <v>-77666.666666666672</v>
      </c>
      <c r="AB67" s="345">
        <f t="shared" si="4"/>
        <v>-77666.666666666672</v>
      </c>
      <c r="AC67" s="345">
        <f t="shared" si="4"/>
        <v>-77666.666666666672</v>
      </c>
      <c r="AD67" s="345">
        <f t="shared" si="4"/>
        <v>-77666.666666666672</v>
      </c>
      <c r="AE67" s="345">
        <f t="shared" si="4"/>
        <v>-77666.666666666672</v>
      </c>
    </row>
    <row r="68" spans="1:31" x14ac:dyDescent="0.2">
      <c r="A68" s="342" t="s">
        <v>587</v>
      </c>
      <c r="B68" s="343">
        <f t="shared" ref="B68:AE68" si="5">B66+B67</f>
        <v>0</v>
      </c>
      <c r="C68" s="343">
        <f t="shared" si="5"/>
        <v>-127218</v>
      </c>
      <c r="D68" s="343">
        <f t="shared" si="5"/>
        <v>-125509.33333333334</v>
      </c>
      <c r="E68" s="343">
        <f t="shared" si="5"/>
        <v>-123800.66666666667</v>
      </c>
      <c r="F68" s="343">
        <f t="shared" si="5"/>
        <v>-122092</v>
      </c>
      <c r="G68" s="343">
        <f t="shared" si="5"/>
        <v>-120383.33333333334</v>
      </c>
      <c r="H68" s="343">
        <f t="shared" si="5"/>
        <v>-118674.66666666667</v>
      </c>
      <c r="I68" s="343">
        <f t="shared" si="5"/>
        <v>-114170</v>
      </c>
      <c r="J68" s="343">
        <f t="shared" si="5"/>
        <v>-115257.33333333334</v>
      </c>
      <c r="K68" s="343">
        <f t="shared" si="5"/>
        <v>-197428.66666666669</v>
      </c>
      <c r="L68" s="343">
        <f t="shared" si="5"/>
        <v>-111840</v>
      </c>
      <c r="M68" s="343">
        <f t="shared" si="5"/>
        <v>-147721.99999999994</v>
      </c>
      <c r="N68" s="343">
        <f t="shared" si="5"/>
        <v>-108422.66666666666</v>
      </c>
      <c r="O68" s="343">
        <f t="shared" si="5"/>
        <v>-518933.55176565517</v>
      </c>
      <c r="P68" s="343">
        <f t="shared" si="5"/>
        <v>-105005.33333333331</v>
      </c>
      <c r="Q68" s="343">
        <f t="shared" si="5"/>
        <v>-103296.66666666666</v>
      </c>
      <c r="R68" s="343">
        <f t="shared" si="5"/>
        <v>-101587.99999999999</v>
      </c>
      <c r="S68" s="343">
        <f t="shared" si="5"/>
        <v>-183759.33333333331</v>
      </c>
      <c r="T68" s="343">
        <f t="shared" si="5"/>
        <v>-98170.666666666657</v>
      </c>
      <c r="U68" s="343">
        <f t="shared" si="5"/>
        <v>-508681.55176565517</v>
      </c>
      <c r="V68" s="343">
        <f t="shared" si="5"/>
        <v>-94753.333333333328</v>
      </c>
      <c r="W68" s="343">
        <f t="shared" si="5"/>
        <v>-93044.666666666657</v>
      </c>
      <c r="X68" s="343">
        <f t="shared" si="5"/>
        <v>-91336</v>
      </c>
      <c r="Y68" s="343">
        <f t="shared" si="5"/>
        <v>-89627.333333333328</v>
      </c>
      <c r="Z68" s="343">
        <f t="shared" si="5"/>
        <v>-87918.666666666657</v>
      </c>
      <c r="AA68" s="343">
        <f t="shared" si="5"/>
        <v>-170090</v>
      </c>
      <c r="AB68" s="343">
        <f t="shared" si="5"/>
        <v>-84501.333333333328</v>
      </c>
      <c r="AC68" s="343">
        <f t="shared" si="5"/>
        <v>-82792.666666666657</v>
      </c>
      <c r="AD68" s="343">
        <f t="shared" si="5"/>
        <v>-81083.999999999985</v>
      </c>
      <c r="AE68" s="343">
        <f t="shared" si="5"/>
        <v>-79375.333333333328</v>
      </c>
    </row>
    <row r="69" spans="1:31" x14ac:dyDescent="0.2">
      <c r="A69" s="339" t="s">
        <v>252</v>
      </c>
      <c r="B69" s="341">
        <v>0</v>
      </c>
      <c r="C69" s="341">
        <v>0</v>
      </c>
      <c r="D69" s="341">
        <v>0</v>
      </c>
      <c r="E69" s="341">
        <v>0</v>
      </c>
      <c r="F69" s="341">
        <v>0</v>
      </c>
      <c r="G69" s="341">
        <v>0</v>
      </c>
      <c r="H69" s="341">
        <v>0</v>
      </c>
      <c r="I69" s="341">
        <v>0</v>
      </c>
      <c r="J69" s="341">
        <v>0</v>
      </c>
      <c r="K69" s="341">
        <v>0</v>
      </c>
      <c r="L69" s="341">
        <v>0</v>
      </c>
      <c r="M69" s="341">
        <v>0</v>
      </c>
      <c r="N69" s="341">
        <v>0</v>
      </c>
      <c r="O69" s="341">
        <v>0</v>
      </c>
      <c r="P69" s="341">
        <v>0</v>
      </c>
      <c r="Q69" s="341">
        <v>0</v>
      </c>
      <c r="R69" s="341">
        <v>0</v>
      </c>
      <c r="S69" s="341">
        <v>0</v>
      </c>
      <c r="T69" s="341">
        <v>0</v>
      </c>
      <c r="U69" s="341">
        <v>0</v>
      </c>
      <c r="V69" s="341">
        <v>0</v>
      </c>
      <c r="W69" s="341">
        <v>0</v>
      </c>
      <c r="X69" s="341">
        <v>0</v>
      </c>
      <c r="Y69" s="341">
        <v>0</v>
      </c>
      <c r="Z69" s="341">
        <v>0</v>
      </c>
      <c r="AA69" s="341">
        <v>0</v>
      </c>
      <c r="AB69" s="341">
        <v>0</v>
      </c>
      <c r="AC69" s="341">
        <v>0</v>
      </c>
      <c r="AD69" s="341">
        <v>0</v>
      </c>
      <c r="AE69" s="341">
        <v>0</v>
      </c>
    </row>
    <row r="70" spans="1:31" x14ac:dyDescent="0.2">
      <c r="A70" s="342" t="s">
        <v>256</v>
      </c>
      <c r="B70" s="343">
        <f t="shared" ref="B70:AE70" si="6">B68+B69</f>
        <v>0</v>
      </c>
      <c r="C70" s="343">
        <f t="shared" si="6"/>
        <v>-127218</v>
      </c>
      <c r="D70" s="343">
        <f t="shared" si="6"/>
        <v>-125509.33333333334</v>
      </c>
      <c r="E70" s="343">
        <f t="shared" si="6"/>
        <v>-123800.66666666667</v>
      </c>
      <c r="F70" s="343">
        <f t="shared" si="6"/>
        <v>-122092</v>
      </c>
      <c r="G70" s="343">
        <f t="shared" si="6"/>
        <v>-120383.33333333334</v>
      </c>
      <c r="H70" s="343">
        <f t="shared" si="6"/>
        <v>-118674.66666666667</v>
      </c>
      <c r="I70" s="343">
        <f t="shared" si="6"/>
        <v>-114170</v>
      </c>
      <c r="J70" s="343">
        <f t="shared" si="6"/>
        <v>-115257.33333333334</v>
      </c>
      <c r="K70" s="343">
        <f t="shared" si="6"/>
        <v>-197428.66666666669</v>
      </c>
      <c r="L70" s="343">
        <f t="shared" si="6"/>
        <v>-111840</v>
      </c>
      <c r="M70" s="343">
        <f t="shared" si="6"/>
        <v>-147721.99999999994</v>
      </c>
      <c r="N70" s="343">
        <f t="shared" si="6"/>
        <v>-108422.66666666666</v>
      </c>
      <c r="O70" s="343">
        <f t="shared" si="6"/>
        <v>-518933.55176565517</v>
      </c>
      <c r="P70" s="343">
        <f t="shared" si="6"/>
        <v>-105005.33333333331</v>
      </c>
      <c r="Q70" s="343">
        <f t="shared" si="6"/>
        <v>-103296.66666666666</v>
      </c>
      <c r="R70" s="343">
        <f t="shared" si="6"/>
        <v>-101587.99999999999</v>
      </c>
      <c r="S70" s="343">
        <f t="shared" si="6"/>
        <v>-183759.33333333331</v>
      </c>
      <c r="T70" s="343">
        <f t="shared" si="6"/>
        <v>-98170.666666666657</v>
      </c>
      <c r="U70" s="343">
        <f t="shared" si="6"/>
        <v>-508681.55176565517</v>
      </c>
      <c r="V70" s="343">
        <f t="shared" si="6"/>
        <v>-94753.333333333328</v>
      </c>
      <c r="W70" s="343">
        <f t="shared" si="6"/>
        <v>-93044.666666666657</v>
      </c>
      <c r="X70" s="343">
        <f t="shared" si="6"/>
        <v>-91336</v>
      </c>
      <c r="Y70" s="343">
        <f t="shared" si="6"/>
        <v>-89627.333333333328</v>
      </c>
      <c r="Z70" s="343">
        <f t="shared" si="6"/>
        <v>-87918.666666666657</v>
      </c>
      <c r="AA70" s="343">
        <f t="shared" si="6"/>
        <v>-170090</v>
      </c>
      <c r="AB70" s="343">
        <f t="shared" si="6"/>
        <v>-84501.333333333328</v>
      </c>
      <c r="AC70" s="343">
        <f t="shared" si="6"/>
        <v>-82792.666666666657</v>
      </c>
      <c r="AD70" s="343">
        <f t="shared" si="6"/>
        <v>-81083.999999999985</v>
      </c>
      <c r="AE70" s="343">
        <f t="shared" si="6"/>
        <v>-79375.333333333328</v>
      </c>
    </row>
    <row r="71" spans="1:31" x14ac:dyDescent="0.2">
      <c r="A71" s="339" t="s">
        <v>251</v>
      </c>
      <c r="B71" s="344">
        <f t="shared" ref="B71:AE71" si="7">-B70*$B$35</f>
        <v>0</v>
      </c>
      <c r="C71" s="344">
        <f t="shared" si="7"/>
        <v>25443.600000000002</v>
      </c>
      <c r="D71" s="344">
        <f t="shared" si="7"/>
        <v>25101.866666666669</v>
      </c>
      <c r="E71" s="344">
        <f t="shared" si="7"/>
        <v>24760.133333333335</v>
      </c>
      <c r="F71" s="344">
        <f t="shared" si="7"/>
        <v>24418.400000000001</v>
      </c>
      <c r="G71" s="344">
        <f t="shared" si="7"/>
        <v>24076.666666666672</v>
      </c>
      <c r="H71" s="344">
        <f t="shared" si="7"/>
        <v>23734.933333333334</v>
      </c>
      <c r="I71" s="344">
        <f t="shared" si="7"/>
        <v>22834</v>
      </c>
      <c r="J71" s="344">
        <f t="shared" si="7"/>
        <v>23051.466666666671</v>
      </c>
      <c r="K71" s="344">
        <f t="shared" si="7"/>
        <v>39485.733333333337</v>
      </c>
      <c r="L71" s="344">
        <f t="shared" si="7"/>
        <v>22368</v>
      </c>
      <c r="M71" s="344">
        <f t="shared" si="7"/>
        <v>29544.399999999991</v>
      </c>
      <c r="N71" s="344">
        <f t="shared" si="7"/>
        <v>21684.533333333333</v>
      </c>
      <c r="O71" s="344">
        <f t="shared" si="7"/>
        <v>103786.71035313104</v>
      </c>
      <c r="P71" s="344">
        <f t="shared" si="7"/>
        <v>21001.066666666666</v>
      </c>
      <c r="Q71" s="344">
        <f t="shared" si="7"/>
        <v>20659.333333333332</v>
      </c>
      <c r="R71" s="344">
        <f t="shared" si="7"/>
        <v>20317.599999999999</v>
      </c>
      <c r="S71" s="344">
        <f t="shared" si="7"/>
        <v>36751.866666666661</v>
      </c>
      <c r="T71" s="344">
        <f t="shared" si="7"/>
        <v>19634.133333333331</v>
      </c>
      <c r="U71" s="344">
        <f t="shared" si="7"/>
        <v>101736.31035313103</v>
      </c>
      <c r="V71" s="344">
        <f t="shared" si="7"/>
        <v>18950.666666666668</v>
      </c>
      <c r="W71" s="344">
        <f t="shared" si="7"/>
        <v>18608.933333333331</v>
      </c>
      <c r="X71" s="344">
        <f t="shared" si="7"/>
        <v>18267.2</v>
      </c>
      <c r="Y71" s="344">
        <f t="shared" si="7"/>
        <v>17925.466666666667</v>
      </c>
      <c r="Z71" s="344">
        <f t="shared" si="7"/>
        <v>17583.733333333334</v>
      </c>
      <c r="AA71" s="344">
        <f t="shared" si="7"/>
        <v>34018</v>
      </c>
      <c r="AB71" s="344">
        <f t="shared" si="7"/>
        <v>16900.266666666666</v>
      </c>
      <c r="AC71" s="344">
        <f t="shared" si="7"/>
        <v>16558.533333333333</v>
      </c>
      <c r="AD71" s="344">
        <f t="shared" si="7"/>
        <v>16216.799999999997</v>
      </c>
      <c r="AE71" s="344">
        <f t="shared" si="7"/>
        <v>15875.066666666666</v>
      </c>
    </row>
    <row r="72" spans="1:31" ht="13.5" thickBot="1" x14ac:dyDescent="0.25">
      <c r="A72" s="346" t="s">
        <v>255</v>
      </c>
      <c r="B72" s="347">
        <f t="shared" ref="B72:AE72" si="8">B70+B71</f>
        <v>0</v>
      </c>
      <c r="C72" s="347">
        <f t="shared" si="8"/>
        <v>-101774.39999999999</v>
      </c>
      <c r="D72" s="347">
        <f t="shared" si="8"/>
        <v>-100407.46666666667</v>
      </c>
      <c r="E72" s="347">
        <f t="shared" si="8"/>
        <v>-99040.53333333334</v>
      </c>
      <c r="F72" s="347">
        <f t="shared" si="8"/>
        <v>-97673.600000000006</v>
      </c>
      <c r="G72" s="347">
        <f t="shared" si="8"/>
        <v>-96306.666666666672</v>
      </c>
      <c r="H72" s="347">
        <f t="shared" si="8"/>
        <v>-94939.733333333337</v>
      </c>
      <c r="I72" s="347">
        <f t="shared" si="8"/>
        <v>-91336</v>
      </c>
      <c r="J72" s="347">
        <f t="shared" si="8"/>
        <v>-92205.866666666669</v>
      </c>
      <c r="K72" s="347">
        <f t="shared" si="8"/>
        <v>-157942.93333333335</v>
      </c>
      <c r="L72" s="347">
        <f t="shared" si="8"/>
        <v>-89472</v>
      </c>
      <c r="M72" s="347">
        <f t="shared" si="8"/>
        <v>-118177.59999999995</v>
      </c>
      <c r="N72" s="347">
        <f t="shared" si="8"/>
        <v>-86738.133333333331</v>
      </c>
      <c r="O72" s="347">
        <f t="shared" si="8"/>
        <v>-415146.84141252411</v>
      </c>
      <c r="P72" s="347">
        <f t="shared" si="8"/>
        <v>-84004.266666666648</v>
      </c>
      <c r="Q72" s="347">
        <f t="shared" si="8"/>
        <v>-82637.333333333328</v>
      </c>
      <c r="R72" s="347">
        <f t="shared" si="8"/>
        <v>-81270.399999999994</v>
      </c>
      <c r="S72" s="347">
        <f t="shared" si="8"/>
        <v>-147007.46666666665</v>
      </c>
      <c r="T72" s="347">
        <f t="shared" si="8"/>
        <v>-78536.533333333326</v>
      </c>
      <c r="U72" s="347">
        <f t="shared" si="8"/>
        <v>-406945.24141252413</v>
      </c>
      <c r="V72" s="347">
        <f t="shared" si="8"/>
        <v>-75802.666666666657</v>
      </c>
      <c r="W72" s="347">
        <f t="shared" si="8"/>
        <v>-74435.733333333323</v>
      </c>
      <c r="X72" s="347">
        <f t="shared" si="8"/>
        <v>-73068.800000000003</v>
      </c>
      <c r="Y72" s="347">
        <f t="shared" si="8"/>
        <v>-71701.866666666669</v>
      </c>
      <c r="Z72" s="347">
        <f t="shared" si="8"/>
        <v>-70334.93333333332</v>
      </c>
      <c r="AA72" s="347">
        <f t="shared" si="8"/>
        <v>-136072</v>
      </c>
      <c r="AB72" s="347">
        <f t="shared" si="8"/>
        <v>-67601.066666666666</v>
      </c>
      <c r="AC72" s="347">
        <f t="shared" si="8"/>
        <v>-66234.133333333331</v>
      </c>
      <c r="AD72" s="347">
        <f t="shared" si="8"/>
        <v>-64867.19999999999</v>
      </c>
      <c r="AE72" s="347">
        <f t="shared" si="8"/>
        <v>-63500.266666666663</v>
      </c>
    </row>
    <row r="73" spans="1:31" ht="13.5" thickBot="1" x14ac:dyDescent="0.25">
      <c r="A73" s="329"/>
      <c r="B73" s="348">
        <v>0.5</v>
      </c>
      <c r="C73" s="348">
        <v>1.5</v>
      </c>
      <c r="D73" s="348">
        <v>2.5</v>
      </c>
      <c r="E73" s="348">
        <v>3.5</v>
      </c>
      <c r="F73" s="348">
        <v>4.5</v>
      </c>
      <c r="G73" s="348">
        <v>5.5</v>
      </c>
      <c r="H73" s="348">
        <v>6.5</v>
      </c>
      <c r="I73" s="348">
        <v>7.5</v>
      </c>
      <c r="J73" s="348">
        <v>8.5</v>
      </c>
      <c r="K73" s="348">
        <v>9.5</v>
      </c>
      <c r="L73" s="348">
        <v>10.5</v>
      </c>
      <c r="M73" s="348">
        <v>11.5</v>
      </c>
      <c r="N73" s="348">
        <v>12.5</v>
      </c>
      <c r="O73" s="348">
        <v>13.5</v>
      </c>
      <c r="P73" s="348">
        <v>14.5</v>
      </c>
      <c r="Q73" s="348">
        <v>15.5</v>
      </c>
      <c r="R73" s="348">
        <v>16.5</v>
      </c>
      <c r="S73" s="348">
        <v>17.5</v>
      </c>
      <c r="T73" s="348">
        <v>18.5</v>
      </c>
      <c r="U73" s="348">
        <v>19.5</v>
      </c>
      <c r="V73" s="348">
        <v>20.5</v>
      </c>
      <c r="W73" s="348">
        <v>21.5</v>
      </c>
      <c r="X73" s="348">
        <v>22.5</v>
      </c>
      <c r="Y73" s="348">
        <v>23.5</v>
      </c>
      <c r="Z73" s="348">
        <v>24.5</v>
      </c>
      <c r="AA73" s="348">
        <v>25.5</v>
      </c>
      <c r="AB73" s="348">
        <v>26.5</v>
      </c>
      <c r="AC73" s="348">
        <v>27.5</v>
      </c>
      <c r="AD73" s="348">
        <v>28.5</v>
      </c>
      <c r="AE73" s="348">
        <v>29.5</v>
      </c>
    </row>
    <row r="74" spans="1:31" x14ac:dyDescent="0.2">
      <c r="A74" s="331" t="s">
        <v>254</v>
      </c>
      <c r="B74" s="322">
        <v>1</v>
      </c>
      <c r="C74" s="322">
        <v>2</v>
      </c>
      <c r="D74" s="322">
        <v>3</v>
      </c>
      <c r="E74" s="322">
        <v>4</v>
      </c>
      <c r="F74" s="322">
        <v>5</v>
      </c>
      <c r="G74" s="322">
        <v>6</v>
      </c>
      <c r="H74" s="322">
        <v>7</v>
      </c>
      <c r="I74" s="322">
        <v>8</v>
      </c>
      <c r="J74" s="322">
        <v>9</v>
      </c>
      <c r="K74" s="322">
        <v>10</v>
      </c>
      <c r="L74" s="322">
        <v>11</v>
      </c>
      <c r="M74" s="322">
        <v>12</v>
      </c>
      <c r="N74" s="322">
        <v>13</v>
      </c>
      <c r="O74" s="322">
        <v>14</v>
      </c>
      <c r="P74" s="322">
        <v>15</v>
      </c>
      <c r="Q74" s="322">
        <v>16</v>
      </c>
      <c r="R74" s="322">
        <v>17</v>
      </c>
      <c r="S74" s="322">
        <v>18</v>
      </c>
      <c r="T74" s="322">
        <v>19</v>
      </c>
      <c r="U74" s="322">
        <v>20</v>
      </c>
      <c r="V74" s="322">
        <v>21</v>
      </c>
      <c r="W74" s="322">
        <v>22</v>
      </c>
      <c r="X74" s="322">
        <v>23</v>
      </c>
      <c r="Y74" s="322">
        <v>24</v>
      </c>
      <c r="Z74" s="322">
        <v>25</v>
      </c>
      <c r="AA74" s="322">
        <v>26</v>
      </c>
      <c r="AB74" s="322">
        <v>27</v>
      </c>
      <c r="AC74" s="322">
        <v>28</v>
      </c>
      <c r="AD74" s="322">
        <v>29</v>
      </c>
      <c r="AE74" s="322">
        <v>30</v>
      </c>
    </row>
    <row r="75" spans="1:31" x14ac:dyDescent="0.2">
      <c r="A75" s="349" t="s">
        <v>587</v>
      </c>
      <c r="B75" s="343">
        <f t="shared" ref="B75:AE75" si="9">B68</f>
        <v>0</v>
      </c>
      <c r="C75" s="343">
        <f t="shared" si="9"/>
        <v>-127218</v>
      </c>
      <c r="D75" s="343">
        <f t="shared" si="9"/>
        <v>-125509.33333333334</v>
      </c>
      <c r="E75" s="343">
        <f t="shared" si="9"/>
        <v>-123800.66666666667</v>
      </c>
      <c r="F75" s="343">
        <f t="shared" si="9"/>
        <v>-122092</v>
      </c>
      <c r="G75" s="343">
        <f t="shared" si="9"/>
        <v>-120383.33333333334</v>
      </c>
      <c r="H75" s="343">
        <f t="shared" si="9"/>
        <v>-118674.66666666667</v>
      </c>
      <c r="I75" s="343">
        <f t="shared" si="9"/>
        <v>-114170</v>
      </c>
      <c r="J75" s="343">
        <f t="shared" si="9"/>
        <v>-115257.33333333334</v>
      </c>
      <c r="K75" s="343">
        <f t="shared" si="9"/>
        <v>-197428.66666666669</v>
      </c>
      <c r="L75" s="343">
        <f t="shared" si="9"/>
        <v>-111840</v>
      </c>
      <c r="M75" s="343">
        <f t="shared" si="9"/>
        <v>-147721.99999999994</v>
      </c>
      <c r="N75" s="343">
        <f t="shared" si="9"/>
        <v>-108422.66666666666</v>
      </c>
      <c r="O75" s="343">
        <f t="shared" si="9"/>
        <v>-518933.55176565517</v>
      </c>
      <c r="P75" s="343">
        <f t="shared" si="9"/>
        <v>-105005.33333333331</v>
      </c>
      <c r="Q75" s="343">
        <f t="shared" si="9"/>
        <v>-103296.66666666666</v>
      </c>
      <c r="R75" s="343">
        <f t="shared" si="9"/>
        <v>-101587.99999999999</v>
      </c>
      <c r="S75" s="343">
        <f t="shared" si="9"/>
        <v>-183759.33333333331</v>
      </c>
      <c r="T75" s="343">
        <f t="shared" si="9"/>
        <v>-98170.666666666657</v>
      </c>
      <c r="U75" s="343">
        <f t="shared" si="9"/>
        <v>-508681.55176565517</v>
      </c>
      <c r="V75" s="343">
        <f t="shared" si="9"/>
        <v>-94753.333333333328</v>
      </c>
      <c r="W75" s="343">
        <f t="shared" si="9"/>
        <v>-93044.666666666657</v>
      </c>
      <c r="X75" s="343">
        <f t="shared" si="9"/>
        <v>-91336</v>
      </c>
      <c r="Y75" s="343">
        <f t="shared" si="9"/>
        <v>-89627.333333333328</v>
      </c>
      <c r="Z75" s="343">
        <f t="shared" si="9"/>
        <v>-87918.666666666657</v>
      </c>
      <c r="AA75" s="343">
        <f t="shared" si="9"/>
        <v>-170090</v>
      </c>
      <c r="AB75" s="343">
        <f t="shared" si="9"/>
        <v>-84501.333333333328</v>
      </c>
      <c r="AC75" s="343">
        <f t="shared" si="9"/>
        <v>-82792.666666666657</v>
      </c>
      <c r="AD75" s="343">
        <f t="shared" si="9"/>
        <v>-81083.999999999985</v>
      </c>
      <c r="AE75" s="343">
        <f t="shared" si="9"/>
        <v>-79375.333333333328</v>
      </c>
    </row>
    <row r="76" spans="1:31" x14ac:dyDescent="0.2">
      <c r="A76" s="339" t="s">
        <v>253</v>
      </c>
      <c r="B76" s="344">
        <f t="shared" ref="B76:AE76" si="10">-B67</f>
        <v>0</v>
      </c>
      <c r="C76" s="344">
        <f t="shared" si="10"/>
        <v>77666.666666666672</v>
      </c>
      <c r="D76" s="344">
        <f t="shared" si="10"/>
        <v>77666.666666666672</v>
      </c>
      <c r="E76" s="344">
        <f t="shared" si="10"/>
        <v>77666.666666666672</v>
      </c>
      <c r="F76" s="344">
        <f t="shared" si="10"/>
        <v>77666.666666666672</v>
      </c>
      <c r="G76" s="344">
        <f t="shared" si="10"/>
        <v>77666.666666666672</v>
      </c>
      <c r="H76" s="344">
        <f t="shared" si="10"/>
        <v>77666.666666666672</v>
      </c>
      <c r="I76" s="344">
        <f t="shared" si="10"/>
        <v>77666.666666666672</v>
      </c>
      <c r="J76" s="344">
        <f t="shared" si="10"/>
        <v>77666.666666666672</v>
      </c>
      <c r="K76" s="344">
        <f t="shared" si="10"/>
        <v>77666.666666666672</v>
      </c>
      <c r="L76" s="344">
        <f t="shared" si="10"/>
        <v>77666.666666666672</v>
      </c>
      <c r="M76" s="344">
        <f t="shared" si="10"/>
        <v>77666.666666666672</v>
      </c>
      <c r="N76" s="344">
        <f t="shared" si="10"/>
        <v>77666.666666666672</v>
      </c>
      <c r="O76" s="344">
        <f t="shared" si="10"/>
        <v>77666.666666666672</v>
      </c>
      <c r="P76" s="344">
        <f t="shared" si="10"/>
        <v>77666.666666666672</v>
      </c>
      <c r="Q76" s="344">
        <f t="shared" si="10"/>
        <v>77666.666666666672</v>
      </c>
      <c r="R76" s="344">
        <f t="shared" si="10"/>
        <v>77666.666666666672</v>
      </c>
      <c r="S76" s="344">
        <f t="shared" si="10"/>
        <v>77666.666666666672</v>
      </c>
      <c r="T76" s="344">
        <f t="shared" si="10"/>
        <v>77666.666666666672</v>
      </c>
      <c r="U76" s="344">
        <f t="shared" si="10"/>
        <v>77666.666666666672</v>
      </c>
      <c r="V76" s="344">
        <f t="shared" si="10"/>
        <v>77666.666666666672</v>
      </c>
      <c r="W76" s="344">
        <f t="shared" si="10"/>
        <v>77666.666666666672</v>
      </c>
      <c r="X76" s="344">
        <f t="shared" si="10"/>
        <v>77666.666666666672</v>
      </c>
      <c r="Y76" s="344">
        <f t="shared" si="10"/>
        <v>77666.666666666672</v>
      </c>
      <c r="Z76" s="344">
        <f t="shared" si="10"/>
        <v>77666.666666666672</v>
      </c>
      <c r="AA76" s="344">
        <f t="shared" si="10"/>
        <v>77666.666666666672</v>
      </c>
      <c r="AB76" s="344">
        <f t="shared" si="10"/>
        <v>77666.666666666672</v>
      </c>
      <c r="AC76" s="344">
        <f t="shared" si="10"/>
        <v>77666.666666666672</v>
      </c>
      <c r="AD76" s="344">
        <f t="shared" si="10"/>
        <v>77666.666666666672</v>
      </c>
      <c r="AE76" s="344">
        <f t="shared" si="10"/>
        <v>77666.666666666672</v>
      </c>
    </row>
    <row r="77" spans="1:31" x14ac:dyDescent="0.2">
      <c r="A77" s="339" t="s">
        <v>252</v>
      </c>
      <c r="B77" s="344">
        <f t="shared" ref="B77:AE77" si="11">B69</f>
        <v>0</v>
      </c>
      <c r="C77" s="344">
        <f t="shared" si="11"/>
        <v>0</v>
      </c>
      <c r="D77" s="344">
        <f t="shared" si="11"/>
        <v>0</v>
      </c>
      <c r="E77" s="344">
        <f t="shared" si="11"/>
        <v>0</v>
      </c>
      <c r="F77" s="344">
        <f t="shared" si="11"/>
        <v>0</v>
      </c>
      <c r="G77" s="344">
        <f t="shared" si="11"/>
        <v>0</v>
      </c>
      <c r="H77" s="344">
        <f t="shared" si="11"/>
        <v>0</v>
      </c>
      <c r="I77" s="344">
        <f t="shared" si="11"/>
        <v>0</v>
      </c>
      <c r="J77" s="344">
        <f t="shared" si="11"/>
        <v>0</v>
      </c>
      <c r="K77" s="344">
        <f t="shared" si="11"/>
        <v>0</v>
      </c>
      <c r="L77" s="344">
        <f t="shared" si="11"/>
        <v>0</v>
      </c>
      <c r="M77" s="344">
        <f t="shared" si="11"/>
        <v>0</v>
      </c>
      <c r="N77" s="344">
        <f t="shared" si="11"/>
        <v>0</v>
      </c>
      <c r="O77" s="344">
        <f t="shared" si="11"/>
        <v>0</v>
      </c>
      <c r="P77" s="344">
        <f t="shared" si="11"/>
        <v>0</v>
      </c>
      <c r="Q77" s="344">
        <f t="shared" si="11"/>
        <v>0</v>
      </c>
      <c r="R77" s="344">
        <f t="shared" si="11"/>
        <v>0</v>
      </c>
      <c r="S77" s="344">
        <f t="shared" si="11"/>
        <v>0</v>
      </c>
      <c r="T77" s="344">
        <f t="shared" si="11"/>
        <v>0</v>
      </c>
      <c r="U77" s="344">
        <f t="shared" si="11"/>
        <v>0</v>
      </c>
      <c r="V77" s="344">
        <f t="shared" si="11"/>
        <v>0</v>
      </c>
      <c r="W77" s="344">
        <f t="shared" si="11"/>
        <v>0</v>
      </c>
      <c r="X77" s="344">
        <f t="shared" si="11"/>
        <v>0</v>
      </c>
      <c r="Y77" s="344">
        <f t="shared" si="11"/>
        <v>0</v>
      </c>
      <c r="Z77" s="344">
        <f t="shared" si="11"/>
        <v>0</v>
      </c>
      <c r="AA77" s="344">
        <f t="shared" si="11"/>
        <v>0</v>
      </c>
      <c r="AB77" s="344">
        <f t="shared" si="11"/>
        <v>0</v>
      </c>
      <c r="AC77" s="344">
        <f t="shared" si="11"/>
        <v>0</v>
      </c>
      <c r="AD77" s="344">
        <f t="shared" si="11"/>
        <v>0</v>
      </c>
      <c r="AE77" s="344">
        <f t="shared" si="11"/>
        <v>0</v>
      </c>
    </row>
    <row r="78" spans="1:31" x14ac:dyDescent="0.2">
      <c r="A78" s="339" t="s">
        <v>251</v>
      </c>
      <c r="B78" s="344">
        <f>IF(SUM($B$71:B71)+SUM($A$78:A78)&gt;0,0,SUM($B$71:B71)-SUM($A$78:A78))</f>
        <v>0</v>
      </c>
      <c r="C78" s="344">
        <f>IF(SUM($B$71:C71)+SUM($A$78:B78)&gt;0,0,SUM($B$71:C71)-SUM($A$78:B78))</f>
        <v>0</v>
      </c>
      <c r="D78" s="344">
        <f>IF(SUM($B$71:D71)+SUM($A$78:C78)&gt;0,0,SUM($B$71:D71)-SUM($A$78:C78))</f>
        <v>0</v>
      </c>
      <c r="E78" s="344">
        <f>IF(SUM($B$71:E71)+SUM($A$78:D78)&gt;0,0,SUM($B$71:E71)-SUM($A$78:D78))</f>
        <v>0</v>
      </c>
      <c r="F78" s="344">
        <f>IF(SUM($B$71:F71)+SUM($A$78:E78)&gt;0,0,SUM($B$71:F71)-SUM($A$78:E78))</f>
        <v>0</v>
      </c>
      <c r="G78" s="344">
        <f>IF(SUM($B$71:G71)+SUM($A$78:F78)&gt;0,0,SUM($B$71:G71)-SUM($A$78:F78))</f>
        <v>0</v>
      </c>
      <c r="H78" s="344">
        <f>IF(SUM($B$71:H71)+SUM($A$78:G78)&gt;0,0,SUM($B$71:H71)-SUM($A$78:G78))</f>
        <v>0</v>
      </c>
      <c r="I78" s="344">
        <f>IF(SUM($B$71:I71)+SUM($A$78:H78)&gt;0,0,SUM($B$71:I71)-SUM($A$78:H78))</f>
        <v>0</v>
      </c>
      <c r="J78" s="344">
        <f>IF(SUM($B$71:J71)+SUM($A$78:I78)&gt;0,0,SUM($B$71:J71)-SUM($A$78:I78))</f>
        <v>0</v>
      </c>
      <c r="K78" s="344">
        <f>IF(SUM($B$71:K71)+SUM($A$78:J78)&gt;0,0,SUM($B$71:K71)-SUM($A$78:J78))</f>
        <v>0</v>
      </c>
      <c r="L78" s="344">
        <f>IF(SUM($B$71:L71)+SUM($A$78:K78)&gt;0,0,SUM($B$71:L71)-SUM($A$78:K78))</f>
        <v>0</v>
      </c>
      <c r="M78" s="344">
        <f>IF(SUM($B$71:M71)+SUM($A$78:L78)&gt;0,0,SUM($B$71:M71)-SUM($A$78:L78))</f>
        <v>0</v>
      </c>
      <c r="N78" s="344">
        <f>IF(SUM($B$71:N71)+SUM($A$78:M78)&gt;0,0,SUM($B$71:N71)-SUM($A$78:M78))</f>
        <v>0</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row>
    <row r="79" spans="1:31" x14ac:dyDescent="0.2">
      <c r="A79" s="339" t="s">
        <v>250</v>
      </c>
      <c r="B79" s="344">
        <f>IF(((SUM($B$58:B58)+SUM($B$60:B64))+SUM($B$81:B81))&lt;0,((SUM($B$58:B58)+SUM($B$60:B64))+SUM($B$81:B81))*0.2-SUM($A$79:A79),IF(SUM(A$79:$A79)&lt;0,0-SUM(A$79:$A79),0))</f>
        <v>-559200</v>
      </c>
      <c r="C79" s="344">
        <f>IF(((SUM($B$58:C58)+SUM($B$60:C64))+SUM($B$81:C81))&lt;0,((SUM($B$58:C58)+SUM($B$60:C64))+SUM($B$81:C81))*0.2-SUM($A$79:B79),IF(SUM($A$79:B79)&lt;0,0-SUM($A$79:B79),0))</f>
        <v>0</v>
      </c>
      <c r="D79" s="344">
        <f>IF(((SUM($B$58:D58)+SUM($B$60:D64))+SUM($B$81:D81))&lt;0,((SUM($B$58:D58)+SUM($B$60:D64))+SUM($B$81:D81))*0.2-SUM($A$79:C79),IF(SUM($A$79:C79)&lt;0,0-SUM($A$79:C79),0))</f>
        <v>0</v>
      </c>
      <c r="E79" s="344">
        <f>IF(((SUM($B$58:E58)+SUM($B$60:E64))+SUM($B$81:E81))&lt;0,((SUM($B$58:E58)+SUM($B$60:E64))+SUM($B$81:E81))*0.2-SUM($A$79:D79),IF(SUM($A$79:D79)&lt;0,0-SUM($A$79:D79),0))</f>
        <v>0</v>
      </c>
      <c r="F79" s="344">
        <f>IF(((SUM($B$58:F58)+SUM($B$60:F64))+SUM($B$81:F81))&lt;0,((SUM($B$58:F58)+SUM($B$60:F64))+SUM($B$81:F81))*0.2-SUM($A$79:E79),IF(SUM($A$79:E79)&lt;0,0-SUM($A$79:E79),0))</f>
        <v>0</v>
      </c>
      <c r="G79" s="344">
        <f>IF(((SUM($B$58:G58)+SUM($B$60:G64))+SUM($B$81:G81))&lt;0,((SUM($B$58:G58)+SUM($B$60:G64))+SUM($B$81:G81))*0.2-SUM($A$79:F79),IF(SUM($A$79:F79)&lt;0,0-SUM($A$79:F79),0))</f>
        <v>0</v>
      </c>
      <c r="H79" s="344">
        <f>IF(((SUM($B$58:H58)+SUM($B$60:H64))+SUM($B$81:H81))&lt;0,((SUM($B$58:H58)+SUM($B$60:H64))+SUM($B$81:H81))*0.2-SUM($A$79:G79),IF(SUM($A$79:G79)&lt;0,0-SUM($A$79:G79),0))</f>
        <v>0</v>
      </c>
      <c r="I79" s="344">
        <f>IF(((SUM($B$58:I58)+SUM($B$60:I64))+SUM($B$81:I81))&lt;0,((SUM($B$58:I58)+SUM($B$60:I64))+SUM($B$81:I81))*0.2-SUM($A$79:H79),IF(SUM($A$79:H79)&lt;0,0-SUM($A$79:H79),0))</f>
        <v>559.19999999995343</v>
      </c>
      <c r="J79" s="344">
        <f>IF(((SUM($B$58:J58)+SUM($B$60:J64))+SUM($B$81:J81))&lt;0,((SUM($B$58:J58)+SUM($B$60:J64))+SUM($B$81:J81))*0.2-SUM($A$79:I79),IF(SUM($A$79:I79)&lt;0,0-SUM($A$79:I79),0))</f>
        <v>0</v>
      </c>
      <c r="K79" s="344">
        <f>IF(((SUM($B$58:K58)+SUM($B$60:K64))+SUM($B$81:K81))&lt;0,((SUM($B$58:K58)+SUM($B$60:K64))+SUM($B$81:K81))*0.2-SUM($A$79:J79),IF(SUM($A$79:J79)&lt;0,0-SUM($A$79:J79),0))</f>
        <v>-16776</v>
      </c>
      <c r="L79" s="344">
        <f>IF(((SUM($B$58:L58)+SUM($B$60:L64))+SUM($B$81:L81))&lt;0,((SUM($B$58:L58)+SUM($B$60:L64))+SUM($B$81:L81))*0.2-SUM($A$79:K79),IF(SUM($A$79:K79)&lt;0,0-SUM($A$79:K79),0))</f>
        <v>0</v>
      </c>
      <c r="M79" s="344">
        <f>IF(((SUM($B$58:M58)+SUM($B$60:M64))+SUM($B$81:M81))&lt;0,((SUM($B$58:M58)+SUM($B$60:M64))+SUM($B$81:M81))*0.2-SUM($A$79:L79),IF(SUM($A$79:L79)&lt;0,0-SUM($A$79:L79),0))</f>
        <v>0</v>
      </c>
      <c r="N79" s="344">
        <f>IF(((SUM($B$58:N58)+SUM($B$60:N64))+SUM($B$81:N81))&lt;0,((SUM($B$58:N58)+SUM($B$60:N64))+SUM($B$81:N81))*0.2-SUM($A$79:M79),IF(SUM($A$79:M79)&lt;0,0-SUM($A$79:M79),0))</f>
        <v>0</v>
      </c>
      <c r="O79" s="344">
        <f>IF(((SUM($B$58:O58)+SUM($B$60:O64))+SUM($B$81:O81))&lt;0,((SUM($B$58:O58)+SUM($B$60:O64))+SUM($B$81:O81))*0.2-SUM($A$79:N79),IF(SUM($A$79:N79)&lt;0,0-SUM($A$79:N79),0))</f>
        <v>-82443.91035313101</v>
      </c>
      <c r="P79" s="344">
        <f>IF(((SUM($B$58:P58)+SUM($B$60:P64))+SUM($B$81:P81))&lt;0,((SUM($B$58:P58)+SUM($B$60:P64))+SUM($B$81:P81))*0.2-SUM($A$79:O79),IF(SUM($A$79:O79)&lt;0,0-SUM($A$79:O79),0))</f>
        <v>0</v>
      </c>
      <c r="Q79" s="344">
        <f>IF(((SUM($B$58:Q58)+SUM($B$60:Q64))+SUM($B$81:Q81))&lt;0,((SUM($B$58:Q58)+SUM($B$60:Q64))+SUM($B$81:Q81))*0.2-SUM($A$79:P79),IF(SUM($A$79:P79)&lt;0,0-SUM($A$79:P79),0))</f>
        <v>0</v>
      </c>
      <c r="R79" s="344">
        <f>IF(((SUM($B$58:R58)+SUM($B$60:R64))+SUM($B$81:R81))&lt;0,((SUM($B$58:R58)+SUM($B$60:R64))+SUM($B$81:R81))*0.2-SUM($A$79:Q79),IF(SUM($A$79:Q79)&lt;0,0-SUM($A$79:Q79),0))</f>
        <v>0</v>
      </c>
      <c r="S79" s="344">
        <f>IF(((SUM($B$58:S58)+SUM($B$60:S64))+SUM($B$81:S81))&lt;0,((SUM($B$58:S58)+SUM($B$60:S64))+SUM($B$81:S81))*0.2-SUM($A$79:R79),IF(SUM($A$79:R79)&lt;0,0-SUM($A$79:R79),0))</f>
        <v>-16776</v>
      </c>
      <c r="T79" s="344">
        <f>IF(((SUM($B$58:T58)+SUM($B$60:T64))+SUM($B$81:T81))&lt;0,((SUM($B$58:T58)+SUM($B$60:T64))+SUM($B$81:T81))*0.2-SUM($A$79:S79),IF(SUM($A$79:S79)&lt;0,0-SUM($A$79:S79),0))</f>
        <v>0</v>
      </c>
      <c r="U79" s="344">
        <f>IF(((SUM($B$58:U58)+SUM($B$60:U64))+SUM($B$81:U81))&lt;0,((SUM($B$58:U58)+SUM($B$60:U64))+SUM($B$81:U81))*0.2-SUM($A$79:T79),IF(SUM($A$79:T79)&lt;0,0-SUM($A$79:T79),0))</f>
        <v>-82443.91035313101</v>
      </c>
      <c r="V79" s="344">
        <f>IF(((SUM($B$58:V58)+SUM($B$60:V64))+SUM($B$81:V81))&lt;0,((SUM($B$58:V58)+SUM($B$60:V64))+SUM($B$81:V81))*0.2-SUM($A$79:U79),IF(SUM($A$79:U79)&lt;0,0-SUM($A$79:U79),0))</f>
        <v>0</v>
      </c>
      <c r="W79" s="344">
        <f>IF(((SUM($B$58:W58)+SUM($B$60:W64))+SUM($B$81:W81))&lt;0,((SUM($B$58:W58)+SUM($B$60:W64))+SUM($B$81:W81))*0.2-SUM($A$79:V79),IF(SUM($A$79:V79)&lt;0,0-SUM($A$79:V79),0))</f>
        <v>0</v>
      </c>
      <c r="X79" s="344">
        <f>IF(((SUM($B$58:X58)+SUM($B$60:X64))+SUM($B$81:X81))&lt;0,((SUM($B$58:X58)+SUM($B$60:X64))+SUM($B$81:X81))*0.2-SUM($A$79:W79),IF(SUM($A$79:W79)&lt;0,0-SUM($A$79:W79),0))</f>
        <v>0</v>
      </c>
      <c r="Y79" s="344">
        <f>IF(((SUM($B$58:Y58)+SUM($B$60:Y64))+SUM($B$81:Y81))&lt;0,((SUM($B$58:Y58)+SUM($B$60:Y64))+SUM($B$81:Y81))*0.2-SUM($A$79:X79),IF(SUM($A$79:X79)&lt;0,0-SUM($A$79:X79),0))</f>
        <v>0</v>
      </c>
      <c r="Z79" s="344">
        <f>IF(((SUM($B$58:Z58)+SUM($B$60:Z64))+SUM($B$81:Z81))&lt;0,((SUM($B$58:Z58)+SUM($B$60:Z64))+SUM($B$81:Z81))*0.2-SUM($A$79:Y79),IF(SUM($A$79:Y79)&lt;0,0-SUM($A$79:Y79),0))</f>
        <v>0</v>
      </c>
      <c r="AA79" s="344">
        <f>IF(((SUM($B$58:AA58)+SUM($B$60:AA64))+SUM($B$81:AA81))&lt;0,((SUM($B$58:AA58)+SUM($B$60:AA64))+SUM($B$81:AA81))*0.2-SUM($A$79:Z79),IF(SUM($A$79:Z79)&lt;0,0-SUM($A$79:Z79),0))</f>
        <v>-16776</v>
      </c>
      <c r="AB79" s="344">
        <f>IF(((SUM($B$58:AB58)+SUM($B$60:AB64))+SUM($B$81:AB81))&lt;0,((SUM($B$58:AB58)+SUM($B$60:AB64))+SUM($B$81:AB81))*0.2-SUM($A$79:AA79),IF(SUM($A$79:AA79)&lt;0,0-SUM($A$79:AA79),0))</f>
        <v>0</v>
      </c>
      <c r="AC79" s="344">
        <f>IF(((SUM($B$58:AC58)+SUM($B$60:AC64))+SUM($B$81:AC81))&lt;0,((SUM($B$58:AC58)+SUM($B$60:AC64))+SUM($B$81:AC81))*0.2-SUM($A$79:AB79),IF(SUM($A$79:AB79)&lt;0,0-SUM($A$79:AB79),0))</f>
        <v>0</v>
      </c>
      <c r="AD79" s="344">
        <f>IF(((SUM($B$58:AD58)+SUM($B$60:AD64))+SUM($B$81:AD81))&lt;0,((SUM($B$58:AD58)+SUM($B$60:AD64))+SUM($B$81:AD81))*0.2-SUM($A$79:AC79),IF(SUM($A$79:AC79)&lt;0,0-SUM($A$79:AC79),0))</f>
        <v>0</v>
      </c>
      <c r="AE79" s="344">
        <f>IF(((SUM($B$58:AE58)+SUM($B$60:AE64))+SUM($B$81:AE81))&lt;0,((SUM($B$58:AE58)+SUM($B$60:AE64))+SUM($B$81:AE81))*0.2-SUM($A$79:AD79),IF(SUM($A$79:AD79)&lt;0,0-SUM($A$79:AD79),0))</f>
        <v>0</v>
      </c>
    </row>
    <row r="80" spans="1:31" x14ac:dyDescent="0.2">
      <c r="A80" s="339" t="s">
        <v>249</v>
      </c>
      <c r="B80" s="344">
        <f>-B58*($B$38)</f>
        <v>0</v>
      </c>
      <c r="C80" s="344">
        <f t="shared" ref="C80:AE80" si="12">-C58*($B$38)</f>
        <v>0</v>
      </c>
      <c r="D80" s="344">
        <f t="shared" si="12"/>
        <v>0</v>
      </c>
      <c r="E80" s="344">
        <f t="shared" si="12"/>
        <v>0</v>
      </c>
      <c r="F80" s="344">
        <f t="shared" si="12"/>
        <v>0</v>
      </c>
      <c r="G80" s="344">
        <f t="shared" si="12"/>
        <v>0</v>
      </c>
      <c r="H80" s="344">
        <f t="shared" si="12"/>
        <v>0</v>
      </c>
      <c r="I80" s="344">
        <f t="shared" si="12"/>
        <v>0</v>
      </c>
      <c r="J80" s="344">
        <f t="shared" si="12"/>
        <v>0</v>
      </c>
      <c r="K80" s="344">
        <f t="shared" si="12"/>
        <v>0</v>
      </c>
      <c r="L80" s="344">
        <f t="shared" si="12"/>
        <v>0</v>
      </c>
      <c r="M80" s="344">
        <f t="shared" si="12"/>
        <v>0</v>
      </c>
      <c r="N80" s="344">
        <f t="shared" si="12"/>
        <v>0</v>
      </c>
      <c r="O80" s="344">
        <f t="shared" si="12"/>
        <v>0</v>
      </c>
      <c r="P80" s="344">
        <f t="shared" si="12"/>
        <v>0</v>
      </c>
      <c r="Q80" s="344">
        <f t="shared" si="12"/>
        <v>0</v>
      </c>
      <c r="R80" s="344">
        <f t="shared" si="12"/>
        <v>0</v>
      </c>
      <c r="S80" s="344">
        <f t="shared" si="12"/>
        <v>0</v>
      </c>
      <c r="T80" s="344">
        <f t="shared" si="12"/>
        <v>0</v>
      </c>
      <c r="U80" s="344">
        <f t="shared" si="12"/>
        <v>0</v>
      </c>
      <c r="V80" s="344">
        <f t="shared" si="12"/>
        <v>0</v>
      </c>
      <c r="W80" s="344">
        <f t="shared" si="12"/>
        <v>0</v>
      </c>
      <c r="X80" s="344">
        <f t="shared" si="12"/>
        <v>0</v>
      </c>
      <c r="Y80" s="344">
        <f t="shared" si="12"/>
        <v>0</v>
      </c>
      <c r="Z80" s="344">
        <f t="shared" si="12"/>
        <v>0</v>
      </c>
      <c r="AA80" s="344">
        <f t="shared" si="12"/>
        <v>0</v>
      </c>
      <c r="AB80" s="344">
        <f t="shared" si="12"/>
        <v>0</v>
      </c>
      <c r="AC80" s="344">
        <f t="shared" si="12"/>
        <v>0</v>
      </c>
      <c r="AD80" s="344">
        <f t="shared" si="12"/>
        <v>0</v>
      </c>
      <c r="AE80" s="344">
        <f t="shared" si="12"/>
        <v>0</v>
      </c>
    </row>
    <row r="81" spans="1:31" x14ac:dyDescent="0.2">
      <c r="A81" s="339" t="s">
        <v>465</v>
      </c>
      <c r="B81" s="350">
        <f>-'6.2. Паспорт фин осв ввод'!S24*1000000</f>
        <v>-2796000</v>
      </c>
      <c r="C81" s="350"/>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row>
    <row r="82" spans="1:31" x14ac:dyDescent="0.2">
      <c r="A82" s="339" t="s">
        <v>248</v>
      </c>
      <c r="B82" s="341">
        <v>0</v>
      </c>
      <c r="C82" s="341">
        <v>0</v>
      </c>
      <c r="D82" s="341">
        <v>0</v>
      </c>
      <c r="E82" s="341">
        <v>0</v>
      </c>
      <c r="F82" s="341">
        <v>0</v>
      </c>
      <c r="G82" s="341">
        <v>0</v>
      </c>
      <c r="H82" s="341">
        <v>0</v>
      </c>
      <c r="I82" s="341">
        <v>0</v>
      </c>
      <c r="J82" s="341">
        <v>0</v>
      </c>
      <c r="K82" s="341">
        <v>0</v>
      </c>
      <c r="L82" s="341">
        <v>0</v>
      </c>
      <c r="M82" s="341">
        <v>0</v>
      </c>
      <c r="N82" s="341">
        <v>0</v>
      </c>
      <c r="O82" s="341">
        <v>0</v>
      </c>
      <c r="P82" s="341">
        <v>0</v>
      </c>
      <c r="Q82" s="341">
        <v>0</v>
      </c>
      <c r="R82" s="341">
        <v>0</v>
      </c>
      <c r="S82" s="341">
        <v>0</v>
      </c>
      <c r="T82" s="341">
        <v>0</v>
      </c>
      <c r="U82" s="341">
        <v>0</v>
      </c>
      <c r="V82" s="341">
        <v>0</v>
      </c>
      <c r="W82" s="341">
        <v>0</v>
      </c>
      <c r="X82" s="341">
        <v>0</v>
      </c>
      <c r="Y82" s="341">
        <v>0</v>
      </c>
      <c r="Z82" s="341">
        <v>0</v>
      </c>
      <c r="AA82" s="341">
        <v>0</v>
      </c>
      <c r="AB82" s="341">
        <v>0</v>
      </c>
      <c r="AC82" s="341">
        <v>0</v>
      </c>
      <c r="AD82" s="341">
        <v>0</v>
      </c>
      <c r="AE82" s="341">
        <v>0</v>
      </c>
    </row>
    <row r="83" spans="1:31" x14ac:dyDescent="0.2">
      <c r="A83" s="342" t="s">
        <v>247</v>
      </c>
      <c r="B83" s="343">
        <f t="shared" ref="B83:AE83" si="13">SUM(B75:B82)</f>
        <v>-3355200</v>
      </c>
      <c r="C83" s="343">
        <f t="shared" si="13"/>
        <v>-49551.333333333328</v>
      </c>
      <c r="D83" s="343">
        <f t="shared" si="13"/>
        <v>-47842.666666666672</v>
      </c>
      <c r="E83" s="343">
        <f t="shared" si="13"/>
        <v>-46134</v>
      </c>
      <c r="F83" s="343">
        <f t="shared" si="13"/>
        <v>-44425.333333333328</v>
      </c>
      <c r="G83" s="343">
        <f t="shared" si="13"/>
        <v>-42716.666666666672</v>
      </c>
      <c r="H83" s="343">
        <f t="shared" si="13"/>
        <v>-41008</v>
      </c>
      <c r="I83" s="343">
        <f t="shared" si="13"/>
        <v>-35944.133333333375</v>
      </c>
      <c r="J83" s="343">
        <f t="shared" si="13"/>
        <v>-37590.666666666672</v>
      </c>
      <c r="K83" s="343">
        <f t="shared" si="13"/>
        <v>-136538</v>
      </c>
      <c r="L83" s="343">
        <f t="shared" si="13"/>
        <v>-34173.333333333328</v>
      </c>
      <c r="M83" s="343">
        <f t="shared" si="13"/>
        <v>-70055.33333333327</v>
      </c>
      <c r="N83" s="343">
        <f t="shared" si="13"/>
        <v>-30755.999999999985</v>
      </c>
      <c r="O83" s="343">
        <f t="shared" si="13"/>
        <v>-523710.79545211949</v>
      </c>
      <c r="P83" s="343">
        <f t="shared" si="13"/>
        <v>-27338.666666666642</v>
      </c>
      <c r="Q83" s="343">
        <f t="shared" si="13"/>
        <v>-25629.999999999985</v>
      </c>
      <c r="R83" s="343">
        <f t="shared" si="13"/>
        <v>-23921.333333333314</v>
      </c>
      <c r="S83" s="343">
        <f t="shared" si="13"/>
        <v>-122868.66666666664</v>
      </c>
      <c r="T83" s="343">
        <f t="shared" si="13"/>
        <v>-20503.999999999985</v>
      </c>
      <c r="U83" s="343">
        <f t="shared" si="13"/>
        <v>-513458.79545211949</v>
      </c>
      <c r="V83" s="343">
        <f t="shared" si="13"/>
        <v>-17086.666666666657</v>
      </c>
      <c r="W83" s="343">
        <f t="shared" si="13"/>
        <v>-15377.999999999985</v>
      </c>
      <c r="X83" s="343">
        <f t="shared" si="13"/>
        <v>-13669.333333333328</v>
      </c>
      <c r="Y83" s="343">
        <f t="shared" si="13"/>
        <v>-11960.666666666657</v>
      </c>
      <c r="Z83" s="343">
        <f t="shared" si="13"/>
        <v>-10251.999999999985</v>
      </c>
      <c r="AA83" s="343">
        <f t="shared" si="13"/>
        <v>-109199.33333333333</v>
      </c>
      <c r="AB83" s="343">
        <f t="shared" si="13"/>
        <v>-6834.666666666657</v>
      </c>
      <c r="AC83" s="343">
        <f t="shared" si="13"/>
        <v>-5125.9999999999854</v>
      </c>
      <c r="AD83" s="343">
        <f t="shared" si="13"/>
        <v>-3417.3333333333139</v>
      </c>
      <c r="AE83" s="343">
        <f t="shared" si="13"/>
        <v>-1708.666666666657</v>
      </c>
    </row>
    <row r="84" spans="1:31" x14ac:dyDescent="0.2">
      <c r="A84" s="342" t="s">
        <v>588</v>
      </c>
      <c r="B84" s="343">
        <f>SUM($B$83:B83)</f>
        <v>-3355200</v>
      </c>
      <c r="C84" s="343">
        <f>SUM($B$83:C83)</f>
        <v>-3404751.3333333335</v>
      </c>
      <c r="D84" s="343">
        <f>SUM($B$83:D83)</f>
        <v>-3452594</v>
      </c>
      <c r="E84" s="343">
        <f>SUM($B$83:E83)</f>
        <v>-3498728</v>
      </c>
      <c r="F84" s="343">
        <f>SUM($B$83:F83)</f>
        <v>-3543153.3333333335</v>
      </c>
      <c r="G84" s="343">
        <f>SUM($B$83:G83)</f>
        <v>-3585870</v>
      </c>
      <c r="H84" s="343">
        <f>SUM($B$83:H83)</f>
        <v>-3626878</v>
      </c>
      <c r="I84" s="343">
        <f>SUM($B$83:I83)</f>
        <v>-3662822.1333333333</v>
      </c>
      <c r="J84" s="343">
        <f>SUM($B$83:J83)</f>
        <v>-3700412.8</v>
      </c>
      <c r="K84" s="343">
        <f>SUM($B$83:K83)</f>
        <v>-3836950.8</v>
      </c>
      <c r="L84" s="343">
        <f>SUM($B$83:L83)</f>
        <v>-3871124.1333333333</v>
      </c>
      <c r="M84" s="343">
        <f>SUM($B$83:M83)</f>
        <v>-3941179.4666666668</v>
      </c>
      <c r="N84" s="343">
        <f>SUM($B$83:N83)</f>
        <v>-3971935.4666666668</v>
      </c>
      <c r="O84" s="343">
        <f>SUM($B$83:O83)</f>
        <v>-4495646.2621187866</v>
      </c>
      <c r="P84" s="343">
        <f>SUM($B$83:P83)</f>
        <v>-4522984.9287854536</v>
      </c>
      <c r="Q84" s="343">
        <f>SUM($B$83:Q83)</f>
        <v>-4548614.9287854536</v>
      </c>
      <c r="R84" s="343">
        <f>SUM($B$83:R83)</f>
        <v>-4572536.2621187866</v>
      </c>
      <c r="S84" s="343">
        <f>SUM($B$83:S83)</f>
        <v>-4695404.9287854536</v>
      </c>
      <c r="T84" s="343">
        <f>SUM($B$83:T83)</f>
        <v>-4715908.9287854536</v>
      </c>
      <c r="U84" s="343">
        <f>SUM($B$83:U83)</f>
        <v>-5229367.7242375733</v>
      </c>
      <c r="V84" s="343">
        <f>SUM($B$83:V83)</f>
        <v>-5246454.3909042403</v>
      </c>
      <c r="W84" s="343">
        <f>SUM($B$83:W83)</f>
        <v>-5261832.3909042403</v>
      </c>
      <c r="X84" s="343">
        <f>SUM($B$83:X83)</f>
        <v>-5275501.7242375733</v>
      </c>
      <c r="Y84" s="343">
        <f>SUM($B$83:Y83)</f>
        <v>-5287462.3909042403</v>
      </c>
      <c r="Z84" s="343">
        <f>SUM($B$83:Z83)</f>
        <v>-5297714.3909042403</v>
      </c>
      <c r="AA84" s="343">
        <f>SUM($B$83:AA83)</f>
        <v>-5406913.7242375733</v>
      </c>
      <c r="AB84" s="343">
        <f>SUM($B$83:AB83)</f>
        <v>-5413748.3909042403</v>
      </c>
      <c r="AC84" s="343">
        <f>SUM($B$83:AC83)</f>
        <v>-5418874.3909042403</v>
      </c>
      <c r="AD84" s="343">
        <f>SUM($B$83:AD83)</f>
        <v>-5422291.7242375733</v>
      </c>
      <c r="AE84" s="343">
        <f>SUM($B$83:AE83)</f>
        <v>-5424000.3909042403</v>
      </c>
    </row>
    <row r="85" spans="1:31" x14ac:dyDescent="0.2">
      <c r="A85" s="351" t="s">
        <v>466</v>
      </c>
      <c r="B85" s="352">
        <f t="shared" ref="B85:AE85" si="14">1/POWER((1+$B$43),B73)</f>
        <v>0.95402649883562884</v>
      </c>
      <c r="C85" s="352">
        <f t="shared" si="14"/>
        <v>0.86832301705254278</v>
      </c>
      <c r="D85" s="352">
        <f t="shared" si="14"/>
        <v>0.79031857381682236</v>
      </c>
      <c r="E85" s="352">
        <f t="shared" si="14"/>
        <v>0.71932153801476506</v>
      </c>
      <c r="F85" s="352">
        <f t="shared" si="14"/>
        <v>0.65470241013449082</v>
      </c>
      <c r="G85" s="352">
        <f t="shared" si="14"/>
        <v>0.59588824077044755</v>
      </c>
      <c r="H85" s="352">
        <f t="shared" si="14"/>
        <v>0.54235755053285484</v>
      </c>
      <c r="I85" s="352">
        <f t="shared" si="14"/>
        <v>0.49363570631915432</v>
      </c>
      <c r="J85" s="352">
        <f t="shared" si="14"/>
        <v>0.44929071295090039</v>
      </c>
      <c r="K85" s="352">
        <f t="shared" si="14"/>
        <v>0.40892938286238317</v>
      </c>
      <c r="L85" s="352">
        <f t="shared" si="14"/>
        <v>0.37219384987929666</v>
      </c>
      <c r="M85" s="352">
        <f t="shared" si="14"/>
        <v>0.3387583961766602</v>
      </c>
      <c r="N85" s="352">
        <f t="shared" si="14"/>
        <v>0.30832656428202437</v>
      </c>
      <c r="O85" s="352">
        <f t="shared" si="14"/>
        <v>0.28062852851736092</v>
      </c>
      <c r="P85" s="352">
        <f t="shared" si="14"/>
        <v>0.25541870257336935</v>
      </c>
      <c r="Q85" s="352">
        <f t="shared" si="14"/>
        <v>0.23247356200361272</v>
      </c>
      <c r="R85" s="352">
        <f t="shared" si="14"/>
        <v>0.21158966233149432</v>
      </c>
      <c r="S85" s="352">
        <f t="shared" si="14"/>
        <v>0.19258183519750091</v>
      </c>
      <c r="T85" s="352">
        <f t="shared" si="14"/>
        <v>0.17528154655274497</v>
      </c>
      <c r="U85" s="352">
        <f t="shared" si="14"/>
        <v>0.15953540234162647</v>
      </c>
      <c r="V85" s="352">
        <f t="shared" si="14"/>
        <v>0.14520378842416171</v>
      </c>
      <c r="W85" s="352">
        <f t="shared" si="14"/>
        <v>0.13215963267876735</v>
      </c>
      <c r="X85" s="352">
        <f t="shared" si="14"/>
        <v>0.12028727830960895</v>
      </c>
      <c r="Y85" s="352">
        <f t="shared" si="14"/>
        <v>0.10948145836862559</v>
      </c>
      <c r="Z85" s="352">
        <f t="shared" si="14"/>
        <v>9.9646362399768443E-2</v>
      </c>
      <c r="AA85" s="352">
        <f t="shared" si="14"/>
        <v>9.0694786929797461E-2</v>
      </c>
      <c r="AB85" s="352">
        <f t="shared" si="14"/>
        <v>8.2547362273411681E-2</v>
      </c>
      <c r="AC85" s="352">
        <f t="shared" si="14"/>
        <v>7.5131848797134526E-2</v>
      </c>
      <c r="AD85" s="352">
        <f t="shared" si="14"/>
        <v>6.8382496402234039E-2</v>
      </c>
      <c r="AE85" s="352">
        <f t="shared" si="14"/>
        <v>6.2239461547496142E-2</v>
      </c>
    </row>
    <row r="86" spans="1:31" x14ac:dyDescent="0.2">
      <c r="A86" s="349" t="s">
        <v>589</v>
      </c>
      <c r="B86" s="343">
        <f t="shared" ref="B86:AE86" si="15">B83*B85</f>
        <v>-3200949.7088933019</v>
      </c>
      <c r="C86" s="343">
        <f t="shared" si="15"/>
        <v>-43026.563258976224</v>
      </c>
      <c r="D86" s="343">
        <f t="shared" si="15"/>
        <v>-37810.948087593628</v>
      </c>
      <c r="E86" s="343">
        <f t="shared" si="15"/>
        <v>-33185.179834773175</v>
      </c>
      <c r="F86" s="343">
        <f t="shared" si="15"/>
        <v>-29085.372804361465</v>
      </c>
      <c r="G86" s="343">
        <f t="shared" si="15"/>
        <v>-25454.359351577619</v>
      </c>
      <c r="H86" s="343">
        <f t="shared" si="15"/>
        <v>-22240.998432251312</v>
      </c>
      <c r="I86" s="343">
        <f t="shared" si="15"/>
        <v>-17743.30764602988</v>
      </c>
      <c r="J86" s="343">
        <f t="shared" si="15"/>
        <v>-16889.137426966314</v>
      </c>
      <c r="K86" s="343">
        <f t="shared" si="15"/>
        <v>-55834.400077264072</v>
      </c>
      <c r="L86" s="343">
        <f t="shared" si="15"/>
        <v>-12719.10449654183</v>
      </c>
      <c r="M86" s="343">
        <f t="shared" si="15"/>
        <v>-23731.832363621303</v>
      </c>
      <c r="N86" s="343">
        <f t="shared" si="15"/>
        <v>-9482.891811057938</v>
      </c>
      <c r="O86" s="343">
        <f t="shared" si="15"/>
        <v>-146968.18989638489</v>
      </c>
      <c r="P86" s="343">
        <f t="shared" si="15"/>
        <v>-6982.8067700858137</v>
      </c>
      <c r="Q86" s="343">
        <f t="shared" si="15"/>
        <v>-5958.2973941525906</v>
      </c>
      <c r="R86" s="343">
        <f t="shared" si="15"/>
        <v>-5061.5068425191157</v>
      </c>
      <c r="S86" s="343">
        <f t="shared" si="15"/>
        <v>-23662.273314936669</v>
      </c>
      <c r="T86" s="343">
        <f t="shared" si="15"/>
        <v>-3593.9728305174804</v>
      </c>
      <c r="U86" s="343">
        <f t="shared" si="15"/>
        <v>-81914.85551830077</v>
      </c>
      <c r="V86" s="343">
        <f t="shared" si="15"/>
        <v>-2481.0487315408418</v>
      </c>
      <c r="W86" s="343">
        <f t="shared" si="15"/>
        <v>-2032.3508313340824</v>
      </c>
      <c r="X86" s="343">
        <f t="shared" si="15"/>
        <v>-1644.2469029734807</v>
      </c>
      <c r="Y86" s="343">
        <f t="shared" si="15"/>
        <v>-1309.4712297276735</v>
      </c>
      <c r="Z86" s="343">
        <f t="shared" si="15"/>
        <v>-1021.5745073224247</v>
      </c>
      <c r="AA86" s="343">
        <f t="shared" si="15"/>
        <v>-9903.8102695425951</v>
      </c>
      <c r="AB86" s="343">
        <f t="shared" si="15"/>
        <v>-564.18370535134352</v>
      </c>
      <c r="AC86" s="343">
        <f t="shared" si="15"/>
        <v>-385.12585693411052</v>
      </c>
      <c r="AD86" s="343">
        <f t="shared" si="15"/>
        <v>-233.68578437189979</v>
      </c>
      <c r="AE86" s="343">
        <f t="shared" si="15"/>
        <v>-106.3464932974878</v>
      </c>
    </row>
    <row r="87" spans="1:31" x14ac:dyDescent="0.2">
      <c r="A87" s="349" t="s">
        <v>590</v>
      </c>
      <c r="B87" s="343">
        <f>SUM($B$86:B86)</f>
        <v>-3200949.7088933019</v>
      </c>
      <c r="C87" s="343">
        <f>SUM($B$86:C86)</f>
        <v>-3243976.2721522781</v>
      </c>
      <c r="D87" s="343">
        <f>SUM($B$86:D86)</f>
        <v>-3281787.2202398716</v>
      </c>
      <c r="E87" s="343">
        <f>SUM($B$86:E86)</f>
        <v>-3314972.4000746449</v>
      </c>
      <c r="F87" s="343">
        <f>SUM($B$86:F86)</f>
        <v>-3344057.7728790063</v>
      </c>
      <c r="G87" s="343">
        <f>SUM($B$86:G86)</f>
        <v>-3369512.132230584</v>
      </c>
      <c r="H87" s="343">
        <f>SUM($B$86:H86)</f>
        <v>-3391753.1306628352</v>
      </c>
      <c r="I87" s="343">
        <f>SUM($B$86:I86)</f>
        <v>-3409496.4383088653</v>
      </c>
      <c r="J87" s="343">
        <f>SUM($B$86:J86)</f>
        <v>-3426385.5757358316</v>
      </c>
      <c r="K87" s="343">
        <f>SUM($B$86:K86)</f>
        <v>-3482219.9758130959</v>
      </c>
      <c r="L87" s="343">
        <f>SUM($B$86:L86)</f>
        <v>-3494939.0803096378</v>
      </c>
      <c r="M87" s="343">
        <f>SUM($B$86:M86)</f>
        <v>-3518670.9126732592</v>
      </c>
      <c r="N87" s="343">
        <f>SUM($B$86:N86)</f>
        <v>-3528153.8044843171</v>
      </c>
      <c r="O87" s="343">
        <f>SUM($B$86:O86)</f>
        <v>-3675121.9943807018</v>
      </c>
      <c r="P87" s="343">
        <f>SUM($B$86:P86)</f>
        <v>-3682104.8011507876</v>
      </c>
      <c r="Q87" s="343">
        <f>SUM($B$86:Q86)</f>
        <v>-3688063.0985449404</v>
      </c>
      <c r="R87" s="343">
        <f>SUM($B$86:R86)</f>
        <v>-3693124.6053874595</v>
      </c>
      <c r="S87" s="343">
        <f>SUM($B$86:S86)</f>
        <v>-3716786.8787023961</v>
      </c>
      <c r="T87" s="343">
        <f>SUM($B$86:T86)</f>
        <v>-3720380.8515329137</v>
      </c>
      <c r="U87" s="343">
        <f>SUM($B$86:U86)</f>
        <v>-3802295.7070512143</v>
      </c>
      <c r="V87" s="343">
        <f>SUM($B$86:V86)</f>
        <v>-3804776.7557827551</v>
      </c>
      <c r="W87" s="343">
        <f>SUM($B$86:W86)</f>
        <v>-3806809.1066140891</v>
      </c>
      <c r="X87" s="343">
        <f>SUM($B$86:X86)</f>
        <v>-3808453.3535170625</v>
      </c>
      <c r="Y87" s="343">
        <f>SUM($B$86:Y86)</f>
        <v>-3809762.8247467903</v>
      </c>
      <c r="Z87" s="343">
        <f>SUM($B$86:Z86)</f>
        <v>-3810784.399254113</v>
      </c>
      <c r="AA87" s="343">
        <f>SUM($B$86:AA86)</f>
        <v>-3820688.2095236555</v>
      </c>
      <c r="AB87" s="343">
        <f>SUM($B$86:AB86)</f>
        <v>-3821252.3932290068</v>
      </c>
      <c r="AC87" s="343">
        <f>SUM($B$86:AC86)</f>
        <v>-3821637.5190859409</v>
      </c>
      <c r="AD87" s="343">
        <f>SUM($B$86:AD86)</f>
        <v>-3821871.2048703129</v>
      </c>
      <c r="AE87" s="343">
        <f>SUM($B$86:AE86)</f>
        <v>-3821977.5513636102</v>
      </c>
    </row>
    <row r="88" spans="1:31" x14ac:dyDescent="0.2">
      <c r="A88" s="349" t="s">
        <v>591</v>
      </c>
      <c r="B88" s="353">
        <f>IF((ISERR(IRR($B$83:B83))),0,IF(IRR($B$83:B83)&lt;0,0,IRR($B$83:B83)))</f>
        <v>0</v>
      </c>
      <c r="C88" s="353">
        <f>IF((ISERR(IRR($B$83:C83))),0,IF(IRR($B$83:C83)&lt;0,0,IRR($B$83:C83)))</f>
        <v>0</v>
      </c>
      <c r="D88" s="353">
        <f>IF((ISERR(IRR($B$83:D83))),0,IF(IRR($B$83:D83)&lt;0,0,IRR($B$83:D83)))</f>
        <v>0</v>
      </c>
      <c r="E88" s="353">
        <f>IF((ISERR(IRR($B$83:E83))),0,IF(IRR($B$83:E83)&lt;0,0,IRR($B$83:E83)))</f>
        <v>0</v>
      </c>
      <c r="F88" s="353">
        <f>IF((ISERR(IRR($B$83:F83))),0,IF(IRR($B$83:F83)&lt;0,0,IRR($B$83:F83)))</f>
        <v>0</v>
      </c>
      <c r="G88" s="353">
        <f>IF((ISERR(IRR($B$83:G83))),0,IF(IRR($B$83:G83)&lt;0,0,IRR($B$83:G83)))</f>
        <v>0</v>
      </c>
      <c r="H88" s="353">
        <f>IF((ISERR(IRR($B$83:H83))),0,IF(IRR($B$83:H83)&lt;0,0,IRR($B$83:H83)))</f>
        <v>0</v>
      </c>
      <c r="I88" s="353">
        <f>IF((ISERR(IRR($B$83:I83))),0,IF(IRR($B$83:I83)&lt;0,0,IRR($B$83:I83)))</f>
        <v>0</v>
      </c>
      <c r="J88" s="353">
        <f>IF((ISERR(IRR($B$83:J83))),0,IF(IRR($B$83:J83)&lt;0,0,IRR($B$83:J83)))</f>
        <v>0</v>
      </c>
      <c r="K88" s="353">
        <f>IF((ISERR(IRR($B$83:K83))),0,IF(IRR($B$83:K83)&lt;0,0,IRR($B$83:K83)))</f>
        <v>0</v>
      </c>
      <c r="L88" s="353">
        <f>IF((ISERR(IRR($B$83:L83))),0,IF(IRR($B$83:L83)&lt;0,0,IRR($B$83:L83)))</f>
        <v>0</v>
      </c>
      <c r="M88" s="353">
        <f>IF((ISERR(IRR($B$83:M83))),0,IF(IRR($B$83:M83)&lt;0,0,IRR($B$83:M83)))</f>
        <v>0</v>
      </c>
      <c r="N88" s="353">
        <f>IF((ISERR(IRR($B$83:N83))),0,IF(IRR($B$83:N83)&lt;0,0,IRR($B$83:N83)))</f>
        <v>0</v>
      </c>
      <c r="O88" s="353">
        <f>IF((ISERR(IRR($B$83:O83))),0,IF(IRR($B$83:O83)&lt;0,0,IRR($B$83:O83)))</f>
        <v>0</v>
      </c>
      <c r="P88" s="353">
        <f>IF((ISERR(IRR($B$83:P83))),0,IF(IRR($B$83:P83)&lt;0,0,IRR($B$83:P83)))</f>
        <v>0</v>
      </c>
      <c r="Q88" s="353">
        <f>IF((ISERR(IRR($B$83:Q83))),0,IF(IRR($B$83:Q83)&lt;0,0,IRR($B$83:Q83)))</f>
        <v>0</v>
      </c>
      <c r="R88" s="353">
        <f>IF((ISERR(IRR($B$83:R83))),0,IF(IRR($B$83:R83)&lt;0,0,IRR($B$83:R83)))</f>
        <v>0</v>
      </c>
      <c r="S88" s="353">
        <f>IF((ISERR(IRR($B$83:S83))),0,IF(IRR($B$83:S83)&lt;0,0,IRR($B$83:S83)))</f>
        <v>0</v>
      </c>
      <c r="T88" s="353">
        <f>IF((ISERR(IRR($B$83:T83))),0,IF(IRR($B$83:T83)&lt;0,0,IRR($B$83:T83)))</f>
        <v>0</v>
      </c>
      <c r="U88" s="353">
        <f>IF((ISERR(IRR($B$83:U83))),0,IF(IRR($B$83:U83)&lt;0,0,IRR($B$83:U83)))</f>
        <v>0</v>
      </c>
      <c r="V88" s="353">
        <f>IF((ISERR(IRR($B$83:V83))),0,IF(IRR($B$83:V83)&lt;0,0,IRR($B$83:V83)))</f>
        <v>0</v>
      </c>
      <c r="W88" s="353">
        <f>IF((ISERR(IRR($B$83:W83))),0,IF(IRR($B$83:W83)&lt;0,0,IRR($B$83:W83)))</f>
        <v>0</v>
      </c>
      <c r="X88" s="353">
        <f>IF((ISERR(IRR($B$83:X83))),0,IF(IRR($B$83:X83)&lt;0,0,IRR($B$83:X83)))</f>
        <v>0</v>
      </c>
      <c r="Y88" s="353">
        <f>IF((ISERR(IRR($B$83:Y83))),0,IF(IRR($B$83:Y83)&lt;0,0,IRR($B$83:Y83)))</f>
        <v>0</v>
      </c>
      <c r="Z88" s="353">
        <f>IF((ISERR(IRR($B$83:Z83))),0,IF(IRR($B$83:Z83)&lt;0,0,IRR($B$83:Z83)))</f>
        <v>0</v>
      </c>
      <c r="AA88" s="353">
        <f>IF((ISERR(IRR($B$83:AA83))),0,IF(IRR($B$83:AA83)&lt;0,0,IRR($B$83:AA83)))</f>
        <v>0</v>
      </c>
      <c r="AB88" s="353">
        <f>IF((ISERR(IRR($B$83:AB83))),0,IF(IRR($B$83:AB83)&lt;0,0,IRR($B$83:AB83)))</f>
        <v>0</v>
      </c>
      <c r="AC88" s="353">
        <f>IF((ISERR(IRR($B$83:AC83))),0,IF(IRR($B$83:AC83)&lt;0,0,IRR($B$83:AC83)))</f>
        <v>0</v>
      </c>
      <c r="AD88" s="353">
        <f>IF((ISERR(IRR($B$83:AD83))),0,IF(IRR($B$83:AD83)&lt;0,0,IRR($B$83:AD83)))</f>
        <v>0</v>
      </c>
      <c r="AE88" s="353">
        <f>IF((ISERR(IRR($B$83:AE83))),0,IF(IRR($B$83:AE83)&lt;0,0,IRR($B$83:AE83)))</f>
        <v>0</v>
      </c>
    </row>
    <row r="89" spans="1:31" x14ac:dyDescent="0.2">
      <c r="A89" s="349" t="s">
        <v>592</v>
      </c>
      <c r="B89" s="354">
        <f t="shared" ref="B89:AE89" si="16">IF(AND(B84&gt;0,A84&lt;0),(B74-(B84/(B84-A84))),0)</f>
        <v>0</v>
      </c>
      <c r="C89" s="354">
        <f t="shared" si="16"/>
        <v>0</v>
      </c>
      <c r="D89" s="354">
        <f t="shared" si="16"/>
        <v>0</v>
      </c>
      <c r="E89" s="354">
        <f t="shared" si="16"/>
        <v>0</v>
      </c>
      <c r="F89" s="354">
        <f t="shared" si="16"/>
        <v>0</v>
      </c>
      <c r="G89" s="354">
        <f t="shared" si="16"/>
        <v>0</v>
      </c>
      <c r="H89" s="354">
        <f t="shared" si="16"/>
        <v>0</v>
      </c>
      <c r="I89" s="354">
        <f t="shared" si="16"/>
        <v>0</v>
      </c>
      <c r="J89" s="354">
        <f t="shared" si="16"/>
        <v>0</v>
      </c>
      <c r="K89" s="354">
        <f t="shared" si="16"/>
        <v>0</v>
      </c>
      <c r="L89" s="354">
        <f t="shared" si="16"/>
        <v>0</v>
      </c>
      <c r="M89" s="354">
        <f t="shared" si="16"/>
        <v>0</v>
      </c>
      <c r="N89" s="354">
        <f t="shared" si="16"/>
        <v>0</v>
      </c>
      <c r="O89" s="354">
        <f t="shared" si="16"/>
        <v>0</v>
      </c>
      <c r="P89" s="354">
        <f t="shared" si="16"/>
        <v>0</v>
      </c>
      <c r="Q89" s="354">
        <f t="shared" si="16"/>
        <v>0</v>
      </c>
      <c r="R89" s="354">
        <f t="shared" si="16"/>
        <v>0</v>
      </c>
      <c r="S89" s="354">
        <f t="shared" si="16"/>
        <v>0</v>
      </c>
      <c r="T89" s="354">
        <f t="shared" si="16"/>
        <v>0</v>
      </c>
      <c r="U89" s="354">
        <f t="shared" si="16"/>
        <v>0</v>
      </c>
      <c r="V89" s="354">
        <f t="shared" si="16"/>
        <v>0</v>
      </c>
      <c r="W89" s="354">
        <f t="shared" si="16"/>
        <v>0</v>
      </c>
      <c r="X89" s="354">
        <f t="shared" si="16"/>
        <v>0</v>
      </c>
      <c r="Y89" s="354">
        <f t="shared" si="16"/>
        <v>0</v>
      </c>
      <c r="Z89" s="354">
        <f t="shared" si="16"/>
        <v>0</v>
      </c>
      <c r="AA89" s="354">
        <f t="shared" si="16"/>
        <v>0</v>
      </c>
      <c r="AB89" s="354">
        <f t="shared" si="16"/>
        <v>0</v>
      </c>
      <c r="AC89" s="354">
        <f t="shared" si="16"/>
        <v>0</v>
      </c>
      <c r="AD89" s="354">
        <f t="shared" si="16"/>
        <v>0</v>
      </c>
      <c r="AE89" s="354">
        <f t="shared" si="16"/>
        <v>0</v>
      </c>
    </row>
    <row r="90" spans="1:31" ht="13.5" thickBot="1" x14ac:dyDescent="0.25">
      <c r="A90" s="355" t="s">
        <v>593</v>
      </c>
      <c r="B90" s="356">
        <f t="shared" ref="B90:AE90" si="17">IF(AND(B87&gt;0,A87&lt;0),(B74-(B87/(B87-A87))),0)</f>
        <v>0</v>
      </c>
      <c r="C90" s="356">
        <f t="shared" si="17"/>
        <v>0</v>
      </c>
      <c r="D90" s="356">
        <f t="shared" si="17"/>
        <v>0</v>
      </c>
      <c r="E90" s="356">
        <f t="shared" si="17"/>
        <v>0</v>
      </c>
      <c r="F90" s="356">
        <f t="shared" si="17"/>
        <v>0</v>
      </c>
      <c r="G90" s="356">
        <f t="shared" si="17"/>
        <v>0</v>
      </c>
      <c r="H90" s="356">
        <f t="shared" si="17"/>
        <v>0</v>
      </c>
      <c r="I90" s="356">
        <f t="shared" si="17"/>
        <v>0</v>
      </c>
      <c r="J90" s="356">
        <f t="shared" si="17"/>
        <v>0</v>
      </c>
      <c r="K90" s="356">
        <f t="shared" si="17"/>
        <v>0</v>
      </c>
      <c r="L90" s="356">
        <f t="shared" si="17"/>
        <v>0</v>
      </c>
      <c r="M90" s="356">
        <f t="shared" si="17"/>
        <v>0</v>
      </c>
      <c r="N90" s="356">
        <f t="shared" si="17"/>
        <v>0</v>
      </c>
      <c r="O90" s="356">
        <f t="shared" si="17"/>
        <v>0</v>
      </c>
      <c r="P90" s="356">
        <f t="shared" si="17"/>
        <v>0</v>
      </c>
      <c r="Q90" s="356">
        <f t="shared" si="17"/>
        <v>0</v>
      </c>
      <c r="R90" s="356">
        <f t="shared" si="17"/>
        <v>0</v>
      </c>
      <c r="S90" s="356">
        <f t="shared" si="17"/>
        <v>0</v>
      </c>
      <c r="T90" s="356">
        <f t="shared" si="17"/>
        <v>0</v>
      </c>
      <c r="U90" s="356">
        <f t="shared" si="17"/>
        <v>0</v>
      </c>
      <c r="V90" s="356">
        <f t="shared" si="17"/>
        <v>0</v>
      </c>
      <c r="W90" s="356">
        <f t="shared" si="17"/>
        <v>0</v>
      </c>
      <c r="X90" s="356">
        <f t="shared" si="17"/>
        <v>0</v>
      </c>
      <c r="Y90" s="356">
        <f t="shared" si="17"/>
        <v>0</v>
      </c>
      <c r="Z90" s="356">
        <f t="shared" si="17"/>
        <v>0</v>
      </c>
      <c r="AA90" s="356">
        <f t="shared" si="17"/>
        <v>0</v>
      </c>
      <c r="AB90" s="356">
        <f t="shared" si="17"/>
        <v>0</v>
      </c>
      <c r="AC90" s="356">
        <f t="shared" si="17"/>
        <v>0</v>
      </c>
      <c r="AD90" s="356">
        <f t="shared" si="17"/>
        <v>0</v>
      </c>
      <c r="AE90" s="356">
        <f t="shared" si="17"/>
        <v>0</v>
      </c>
    </row>
    <row r="91" spans="1:31" x14ac:dyDescent="0.2">
      <c r="A91" s="357"/>
      <c r="B91" s="357">
        <v>2022</v>
      </c>
      <c r="C91" s="357">
        <f t="shared" ref="C91:R92" si="18">B91+1</f>
        <v>2023</v>
      </c>
      <c r="D91" s="357">
        <f t="shared" si="18"/>
        <v>2024</v>
      </c>
      <c r="E91" s="357">
        <f t="shared" si="18"/>
        <v>2025</v>
      </c>
      <c r="F91" s="357">
        <f t="shared" si="18"/>
        <v>2026</v>
      </c>
      <c r="G91" s="357">
        <f t="shared" si="18"/>
        <v>2027</v>
      </c>
      <c r="H91" s="357">
        <f t="shared" si="18"/>
        <v>2028</v>
      </c>
      <c r="I91" s="357">
        <f t="shared" si="18"/>
        <v>2029</v>
      </c>
      <c r="J91" s="357">
        <f t="shared" si="18"/>
        <v>2030</v>
      </c>
      <c r="K91" s="357">
        <f t="shared" si="18"/>
        <v>2031</v>
      </c>
      <c r="L91" s="357">
        <f t="shared" si="18"/>
        <v>2032</v>
      </c>
      <c r="M91" s="357">
        <f t="shared" si="18"/>
        <v>2033</v>
      </c>
      <c r="N91" s="357">
        <f t="shared" si="18"/>
        <v>2034</v>
      </c>
      <c r="O91" s="357">
        <f t="shared" si="18"/>
        <v>2035</v>
      </c>
      <c r="P91" s="357">
        <f t="shared" si="18"/>
        <v>2036</v>
      </c>
      <c r="Q91" s="357">
        <f t="shared" si="18"/>
        <v>2037</v>
      </c>
      <c r="R91" s="357">
        <f t="shared" si="18"/>
        <v>2038</v>
      </c>
      <c r="S91" s="357">
        <f t="shared" ref="S91:AE92" si="19">R91+1</f>
        <v>2039</v>
      </c>
      <c r="T91" s="357">
        <f t="shared" si="19"/>
        <v>2040</v>
      </c>
      <c r="U91" s="357">
        <f t="shared" si="19"/>
        <v>2041</v>
      </c>
      <c r="V91" s="357">
        <f t="shared" si="19"/>
        <v>2042</v>
      </c>
      <c r="W91" s="357">
        <f t="shared" si="19"/>
        <v>2043</v>
      </c>
      <c r="X91" s="357">
        <f t="shared" si="19"/>
        <v>2044</v>
      </c>
      <c r="Y91" s="357">
        <f t="shared" si="19"/>
        <v>2045</v>
      </c>
      <c r="Z91" s="357">
        <f t="shared" si="19"/>
        <v>2046</v>
      </c>
      <c r="AA91" s="357">
        <f t="shared" si="19"/>
        <v>2047</v>
      </c>
      <c r="AB91" s="357">
        <f t="shared" si="19"/>
        <v>2048</v>
      </c>
      <c r="AC91" s="357">
        <f t="shared" si="19"/>
        <v>2049</v>
      </c>
      <c r="AD91" s="357">
        <f t="shared" si="19"/>
        <v>2050</v>
      </c>
      <c r="AE91" s="357">
        <f t="shared" si="19"/>
        <v>2051</v>
      </c>
    </row>
    <row r="92" spans="1:31" x14ac:dyDescent="0.2">
      <c r="B92" s="286">
        <v>1</v>
      </c>
      <c r="C92" s="286">
        <f>B92+1</f>
        <v>2</v>
      </c>
      <c r="D92" s="286">
        <f t="shared" si="18"/>
        <v>3</v>
      </c>
      <c r="E92" s="286">
        <f t="shared" si="18"/>
        <v>4</v>
      </c>
      <c r="F92" s="286">
        <f t="shared" si="18"/>
        <v>5</v>
      </c>
      <c r="G92" s="286">
        <f t="shared" si="18"/>
        <v>6</v>
      </c>
      <c r="H92" s="286">
        <f t="shared" si="18"/>
        <v>7</v>
      </c>
      <c r="I92" s="286">
        <f t="shared" si="18"/>
        <v>8</v>
      </c>
      <c r="J92" s="286">
        <f t="shared" si="18"/>
        <v>9</v>
      </c>
      <c r="K92" s="286">
        <f t="shared" si="18"/>
        <v>10</v>
      </c>
      <c r="L92" s="286">
        <f t="shared" si="18"/>
        <v>11</v>
      </c>
      <c r="M92" s="286">
        <f t="shared" si="18"/>
        <v>12</v>
      </c>
      <c r="N92" s="286">
        <f t="shared" si="18"/>
        <v>13</v>
      </c>
      <c r="O92" s="286">
        <f t="shared" si="18"/>
        <v>14</v>
      </c>
      <c r="P92" s="286">
        <f t="shared" si="18"/>
        <v>15</v>
      </c>
      <c r="Q92" s="286">
        <f t="shared" si="18"/>
        <v>16</v>
      </c>
      <c r="R92" s="286">
        <f t="shared" si="18"/>
        <v>17</v>
      </c>
      <c r="S92" s="286">
        <f t="shared" si="19"/>
        <v>18</v>
      </c>
      <c r="T92" s="286">
        <f t="shared" si="19"/>
        <v>19</v>
      </c>
      <c r="U92" s="286">
        <f t="shared" si="19"/>
        <v>20</v>
      </c>
      <c r="V92" s="286">
        <f t="shared" si="19"/>
        <v>21</v>
      </c>
      <c r="W92" s="286">
        <f t="shared" si="19"/>
        <v>22</v>
      </c>
      <c r="X92" s="286">
        <f t="shared" si="19"/>
        <v>23</v>
      </c>
      <c r="Y92" s="286">
        <f t="shared" si="19"/>
        <v>24</v>
      </c>
      <c r="Z92" s="286">
        <f t="shared" si="19"/>
        <v>25</v>
      </c>
      <c r="AA92" s="286">
        <f t="shared" si="19"/>
        <v>26</v>
      </c>
      <c r="AB92" s="286">
        <f t="shared" si="19"/>
        <v>27</v>
      </c>
      <c r="AC92" s="286">
        <f t="shared" si="19"/>
        <v>28</v>
      </c>
      <c r="AD92" s="286">
        <f t="shared" si="19"/>
        <v>29</v>
      </c>
      <c r="AE92" s="286">
        <f t="shared" si="19"/>
        <v>30</v>
      </c>
    </row>
    <row r="93" spans="1:31" x14ac:dyDescent="0.2">
      <c r="A93" s="444" t="s">
        <v>594</v>
      </c>
      <c r="B93" s="444"/>
      <c r="C93" s="444"/>
      <c r="D93" s="444"/>
      <c r="E93" s="444"/>
      <c r="F93" s="444"/>
      <c r="G93" s="444"/>
      <c r="H93" s="444"/>
      <c r="I93" s="444"/>
      <c r="J93" s="444"/>
      <c r="K93" s="444"/>
      <c r="L93" s="444"/>
      <c r="M93" s="444"/>
      <c r="N93" s="444"/>
      <c r="O93" s="444"/>
      <c r="P93" s="444"/>
      <c r="Q93" s="444"/>
      <c r="R93" s="444"/>
      <c r="S93" s="444"/>
      <c r="T93" s="444"/>
      <c r="U93" s="444"/>
      <c r="V93" s="444"/>
      <c r="W93" s="444"/>
      <c r="X93" s="444"/>
      <c r="Y93" s="444"/>
      <c r="Z93" s="444"/>
      <c r="AA93" s="444"/>
      <c r="AB93" s="444"/>
      <c r="AC93" s="444"/>
    </row>
    <row r="94" spans="1:31" x14ac:dyDescent="0.2">
      <c r="A94" s="444" t="s">
        <v>595</v>
      </c>
      <c r="B94" s="444"/>
      <c r="C94" s="444"/>
      <c r="D94" s="444"/>
      <c r="E94" s="444"/>
      <c r="F94" s="444"/>
      <c r="G94" s="444"/>
      <c r="H94" s="444"/>
      <c r="I94" s="444"/>
      <c r="N94" s="286"/>
    </row>
    <row r="95" spans="1:31" x14ac:dyDescent="0.2">
      <c r="C95" s="358"/>
      <c r="N95" s="286"/>
    </row>
    <row r="96" spans="1:31" x14ac:dyDescent="0.2">
      <c r="N96" s="286"/>
    </row>
    <row r="97" spans="14:14" s="276" customFormat="1" x14ac:dyDescent="0.2">
      <c r="N97" s="286"/>
    </row>
    <row r="98" spans="14:14" s="276" customFormat="1" x14ac:dyDescent="0.2">
      <c r="N98" s="286"/>
    </row>
    <row r="99" spans="14:14" s="276" customFormat="1" x14ac:dyDescent="0.2">
      <c r="N99" s="286"/>
    </row>
    <row r="100" spans="14:14" s="276" customFormat="1" x14ac:dyDescent="0.2">
      <c r="N100" s="286"/>
    </row>
    <row r="101" spans="14:14" s="276" customFormat="1" x14ac:dyDescent="0.2">
      <c r="N101" s="286"/>
    </row>
    <row r="102" spans="14:14" s="276" customFormat="1" x14ac:dyDescent="0.2">
      <c r="N102" s="286"/>
    </row>
    <row r="103" spans="14:14" s="276" customFormat="1" x14ac:dyDescent="0.2">
      <c r="N103" s="286"/>
    </row>
    <row r="104" spans="14:14" s="276" customFormat="1" x14ac:dyDescent="0.2">
      <c r="N104" s="286"/>
    </row>
    <row r="105" spans="14:14" s="276" customFormat="1" x14ac:dyDescent="0.2">
      <c r="N105" s="286"/>
    </row>
    <row r="106" spans="14:14" s="276" customFormat="1" x14ac:dyDescent="0.2">
      <c r="N106" s="286"/>
    </row>
    <row r="107" spans="14:14" s="276" customFormat="1" x14ac:dyDescent="0.2">
      <c r="N107" s="286"/>
    </row>
    <row r="108" spans="14:14" s="276" customFormat="1" x14ac:dyDescent="0.2">
      <c r="N108" s="286"/>
    </row>
    <row r="109" spans="14:14" s="276" customFormat="1" x14ac:dyDescent="0.2">
      <c r="N109" s="286"/>
    </row>
    <row r="110" spans="14:14" s="276" customFormat="1" x14ac:dyDescent="0.2">
      <c r="N110" s="286"/>
    </row>
    <row r="111" spans="14:14" s="276" customFormat="1" x14ac:dyDescent="0.2">
      <c r="N111" s="286"/>
    </row>
    <row r="112" spans="14:14" s="276" customFormat="1" x14ac:dyDescent="0.2">
      <c r="N112" s="286"/>
    </row>
    <row r="113" spans="14:14" s="276" customFormat="1" x14ac:dyDescent="0.2">
      <c r="N113" s="286"/>
    </row>
    <row r="114" spans="14:14" s="276" customFormat="1" x14ac:dyDescent="0.2">
      <c r="N114" s="286"/>
    </row>
    <row r="115" spans="14:14" s="276" customFormat="1" x14ac:dyDescent="0.2">
      <c r="N115" s="286"/>
    </row>
    <row r="116" spans="14:14" s="276" customFormat="1" x14ac:dyDescent="0.2">
      <c r="N116" s="286"/>
    </row>
    <row r="117" spans="14:14" s="276" customFormat="1" x14ac:dyDescent="0.2">
      <c r="N117" s="286"/>
    </row>
    <row r="118" spans="14:14" s="276" customFormat="1" x14ac:dyDescent="0.2">
      <c r="N118" s="286"/>
    </row>
    <row r="119" spans="14:14" s="276" customFormat="1" x14ac:dyDescent="0.2">
      <c r="N119" s="286"/>
    </row>
    <row r="120" spans="14:14" s="276" customFormat="1" x14ac:dyDescent="0.2">
      <c r="N120" s="286"/>
    </row>
    <row r="121" spans="14:14" s="276" customFormat="1" x14ac:dyDescent="0.2">
      <c r="N121" s="286"/>
    </row>
    <row r="122" spans="14:14" s="276" customFormat="1" x14ac:dyDescent="0.2">
      <c r="N122" s="286"/>
    </row>
    <row r="123" spans="14:14" s="276" customFormat="1" x14ac:dyDescent="0.2">
      <c r="N123" s="286"/>
    </row>
    <row r="124" spans="14:14" s="276" customFormat="1" x14ac:dyDescent="0.2">
      <c r="N124" s="286"/>
    </row>
    <row r="125" spans="14:14" s="276" customFormat="1" x14ac:dyDescent="0.2">
      <c r="N125" s="286"/>
    </row>
    <row r="126" spans="14:14" s="276" customFormat="1" x14ac:dyDescent="0.2">
      <c r="N126" s="286"/>
    </row>
    <row r="127" spans="14:14" s="276" customFormat="1" x14ac:dyDescent="0.2">
      <c r="N127" s="286"/>
    </row>
    <row r="128" spans="14:14" s="276" customFormat="1" x14ac:dyDescent="0.2">
      <c r="N128" s="286"/>
    </row>
    <row r="129" spans="14:14" s="276" customFormat="1" x14ac:dyDescent="0.2">
      <c r="N129" s="286"/>
    </row>
    <row r="130" spans="14:14" s="276" customFormat="1" x14ac:dyDescent="0.2">
      <c r="N130" s="286"/>
    </row>
    <row r="131" spans="14:14" s="276" customFormat="1" x14ac:dyDescent="0.2">
      <c r="N131" s="286"/>
    </row>
    <row r="132" spans="14:14" s="276" customFormat="1" x14ac:dyDescent="0.2">
      <c r="N132" s="286"/>
    </row>
    <row r="133" spans="14:14" s="276" customFormat="1" x14ac:dyDescent="0.2">
      <c r="N133" s="286"/>
    </row>
    <row r="134" spans="14:14" s="276" customFormat="1" x14ac:dyDescent="0.2">
      <c r="N134" s="286"/>
    </row>
    <row r="135" spans="14:14" s="276" customFormat="1" x14ac:dyDescent="0.2">
      <c r="N135" s="286"/>
    </row>
    <row r="136" spans="14:14" s="276" customFormat="1" x14ac:dyDescent="0.2">
      <c r="N136" s="286"/>
    </row>
    <row r="137" spans="14:14" s="276" customFormat="1" x14ac:dyDescent="0.2">
      <c r="N137" s="286"/>
    </row>
    <row r="138" spans="14:14" s="276" customFormat="1" x14ac:dyDescent="0.2">
      <c r="N138" s="286"/>
    </row>
    <row r="139" spans="14:14" s="276" customFormat="1" x14ac:dyDescent="0.2">
      <c r="N139" s="286"/>
    </row>
    <row r="140" spans="14:14" s="276" customFormat="1" x14ac:dyDescent="0.2">
      <c r="N140" s="286"/>
    </row>
    <row r="141" spans="14:14" s="276" customFormat="1" x14ac:dyDescent="0.2">
      <c r="N141" s="286"/>
    </row>
    <row r="142" spans="14:14" s="276" customFormat="1" x14ac:dyDescent="0.2">
      <c r="N142" s="286"/>
    </row>
    <row r="143" spans="14:14" s="276" customFormat="1" x14ac:dyDescent="0.2">
      <c r="N143" s="286"/>
    </row>
    <row r="144" spans="14:14" s="276" customFormat="1" x14ac:dyDescent="0.2">
      <c r="N144" s="286"/>
    </row>
    <row r="145" spans="14:14" s="276" customFormat="1" x14ac:dyDescent="0.2">
      <c r="N145" s="286"/>
    </row>
    <row r="146" spans="14:14" s="276" customFormat="1" x14ac:dyDescent="0.2">
      <c r="N146" s="286"/>
    </row>
    <row r="147" spans="14:14" s="276" customFormat="1" x14ac:dyDescent="0.2">
      <c r="N147" s="286"/>
    </row>
    <row r="148" spans="14:14" s="276" customFormat="1" x14ac:dyDescent="0.2">
      <c r="N148" s="286"/>
    </row>
    <row r="149" spans="14:14" s="276" customFormat="1" x14ac:dyDescent="0.2">
      <c r="N149" s="286"/>
    </row>
    <row r="150" spans="14:14" s="276" customFormat="1" x14ac:dyDescent="0.2">
      <c r="N150" s="286"/>
    </row>
    <row r="151" spans="14:14" s="276" customFormat="1" x14ac:dyDescent="0.2">
      <c r="N151" s="286"/>
    </row>
    <row r="152" spans="14:14" s="276" customFormat="1" x14ac:dyDescent="0.2">
      <c r="N152" s="286"/>
    </row>
    <row r="153" spans="14:14" s="276" customFormat="1" x14ac:dyDescent="0.2">
      <c r="N153" s="286"/>
    </row>
    <row r="154" spans="14:14" s="276" customFormat="1" x14ac:dyDescent="0.2">
      <c r="N154" s="286"/>
    </row>
    <row r="155" spans="14:14" s="276" customFormat="1" x14ac:dyDescent="0.2">
      <c r="N155" s="286"/>
    </row>
    <row r="156" spans="14:14" s="276" customFormat="1" x14ac:dyDescent="0.2">
      <c r="N156" s="286"/>
    </row>
    <row r="157" spans="14:14" s="276" customFormat="1" x14ac:dyDescent="0.2">
      <c r="N157" s="286"/>
    </row>
    <row r="158" spans="14:14" s="276" customFormat="1" x14ac:dyDescent="0.2">
      <c r="N158" s="286"/>
    </row>
    <row r="159" spans="14:14" s="276" customFormat="1" x14ac:dyDescent="0.2">
      <c r="N159" s="286"/>
    </row>
    <row r="160" spans="14:14" s="276" customFormat="1" x14ac:dyDescent="0.2">
      <c r="N160" s="286"/>
    </row>
    <row r="161" spans="14:14" s="276" customFormat="1" x14ac:dyDescent="0.2">
      <c r="N161" s="286"/>
    </row>
    <row r="162" spans="14:14" s="276" customFormat="1" x14ac:dyDescent="0.2">
      <c r="N162" s="28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5" sqref="H55"/>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9" t="str">
        <f>'2. паспорт  ТП'!A4:S4</f>
        <v>Год раскрытия информации: 2022 год</v>
      </c>
      <c r="B5" s="379"/>
      <c r="C5" s="379"/>
      <c r="D5" s="379"/>
      <c r="E5" s="379"/>
      <c r="F5" s="379"/>
      <c r="G5" s="379"/>
      <c r="H5" s="379"/>
      <c r="I5" s="379"/>
      <c r="J5" s="379"/>
      <c r="K5" s="379"/>
      <c r="L5" s="379"/>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0" t="s">
        <v>6</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x14ac:dyDescent="0.25">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row>
    <row r="10" spans="1:44" x14ac:dyDescent="0.25">
      <c r="A10" s="395" t="s">
        <v>5</v>
      </c>
      <c r="B10" s="395"/>
      <c r="C10" s="395"/>
      <c r="D10" s="395"/>
      <c r="E10" s="395"/>
      <c r="F10" s="395"/>
      <c r="G10" s="395"/>
      <c r="H10" s="395"/>
      <c r="I10" s="395"/>
      <c r="J10" s="395"/>
      <c r="K10" s="395"/>
      <c r="L10" s="395"/>
    </row>
    <row r="11" spans="1:44" ht="18.75" x14ac:dyDescent="0.25">
      <c r="A11" s="390"/>
      <c r="B11" s="390"/>
      <c r="C11" s="390"/>
      <c r="D11" s="390"/>
      <c r="E11" s="390"/>
      <c r="F11" s="390"/>
      <c r="G11" s="390"/>
      <c r="H11" s="390"/>
      <c r="I11" s="390"/>
      <c r="J11" s="390"/>
      <c r="K11" s="390"/>
      <c r="L11" s="390"/>
    </row>
    <row r="12" spans="1:44" x14ac:dyDescent="0.25">
      <c r="A12" s="391" t="str">
        <f>'1. паспорт местоположение'!A12:C12</f>
        <v>M  22-19</v>
      </c>
      <c r="B12" s="391"/>
      <c r="C12" s="391"/>
      <c r="D12" s="391"/>
      <c r="E12" s="391"/>
      <c r="F12" s="391"/>
      <c r="G12" s="391"/>
      <c r="H12" s="391"/>
      <c r="I12" s="391"/>
      <c r="J12" s="391"/>
      <c r="K12" s="391"/>
      <c r="L12" s="391"/>
    </row>
    <row r="13" spans="1:44" x14ac:dyDescent="0.25">
      <c r="A13" s="395" t="s">
        <v>4</v>
      </c>
      <c r="B13" s="395"/>
      <c r="C13" s="395"/>
      <c r="D13" s="395"/>
      <c r="E13" s="395"/>
      <c r="F13" s="395"/>
      <c r="G13" s="395"/>
      <c r="H13" s="395"/>
      <c r="I13" s="395"/>
      <c r="J13" s="395"/>
      <c r="K13" s="395"/>
      <c r="L13" s="395"/>
    </row>
    <row r="14" spans="1:44" ht="18.75" x14ac:dyDescent="0.25">
      <c r="A14" s="396"/>
      <c r="B14" s="396"/>
      <c r="C14" s="396"/>
      <c r="D14" s="396"/>
      <c r="E14" s="396"/>
      <c r="F14" s="396"/>
      <c r="G14" s="396"/>
      <c r="H14" s="396"/>
      <c r="I14" s="396"/>
      <c r="J14" s="396"/>
      <c r="K14" s="396"/>
      <c r="L14" s="396"/>
    </row>
    <row r="15" spans="1:44" x14ac:dyDescent="0.25">
      <c r="A15" s="391" t="str">
        <f>'1. паспорт местоположение'!A15</f>
        <v>Строительство 2-х КЛ-0,4кВ от ТП-12 до СП-0,4 (Новый), монтаж СП-0,4кВ п.Южный, Багратионовского р-на</v>
      </c>
      <c r="B15" s="391"/>
      <c r="C15" s="391"/>
      <c r="D15" s="391"/>
      <c r="E15" s="391"/>
      <c r="F15" s="391"/>
      <c r="G15" s="391"/>
      <c r="H15" s="391"/>
      <c r="I15" s="391"/>
      <c r="J15" s="391"/>
      <c r="K15" s="391"/>
      <c r="L15" s="391"/>
    </row>
    <row r="16" spans="1:44" x14ac:dyDescent="0.25">
      <c r="A16" s="395" t="s">
        <v>3</v>
      </c>
      <c r="B16" s="395"/>
      <c r="C16" s="395"/>
      <c r="D16" s="395"/>
      <c r="E16" s="395"/>
      <c r="F16" s="395"/>
      <c r="G16" s="395"/>
      <c r="H16" s="395"/>
      <c r="I16" s="395"/>
      <c r="J16" s="395"/>
      <c r="K16" s="395"/>
      <c r="L16" s="395"/>
    </row>
    <row r="17" spans="1:12" ht="15.75" customHeight="1" x14ac:dyDescent="0.25">
      <c r="L17" s="93"/>
    </row>
    <row r="18" spans="1:12" x14ac:dyDescent="0.25">
      <c r="K18" s="92"/>
    </row>
    <row r="19" spans="1:12" ht="15.75" customHeight="1" x14ac:dyDescent="0.25">
      <c r="A19" s="456" t="s">
        <v>422</v>
      </c>
      <c r="B19" s="456"/>
      <c r="C19" s="456"/>
      <c r="D19" s="456"/>
      <c r="E19" s="456"/>
      <c r="F19" s="456"/>
      <c r="G19" s="456"/>
      <c r="H19" s="456"/>
      <c r="I19" s="456"/>
      <c r="J19" s="456"/>
      <c r="K19" s="456"/>
      <c r="L19" s="456"/>
    </row>
    <row r="20" spans="1:12" x14ac:dyDescent="0.25">
      <c r="A20" s="61"/>
      <c r="B20" s="61"/>
      <c r="C20" s="91"/>
      <c r="D20" s="91"/>
      <c r="E20" s="91"/>
      <c r="F20" s="91"/>
      <c r="G20" s="91"/>
      <c r="H20" s="91"/>
      <c r="I20" s="91"/>
      <c r="J20" s="91"/>
      <c r="K20" s="91"/>
      <c r="L20" s="91"/>
    </row>
    <row r="21" spans="1:12" ht="28.5" customHeight="1" x14ac:dyDescent="0.25">
      <c r="A21" s="448" t="s">
        <v>217</v>
      </c>
      <c r="B21" s="448" t="s">
        <v>216</v>
      </c>
      <c r="C21" s="454" t="s">
        <v>354</v>
      </c>
      <c r="D21" s="454"/>
      <c r="E21" s="454"/>
      <c r="F21" s="454"/>
      <c r="G21" s="454"/>
      <c r="H21" s="454"/>
      <c r="I21" s="449" t="s">
        <v>215</v>
      </c>
      <c r="J21" s="451" t="s">
        <v>356</v>
      </c>
      <c r="K21" s="448" t="s">
        <v>214</v>
      </c>
      <c r="L21" s="450" t="s">
        <v>355</v>
      </c>
    </row>
    <row r="22" spans="1:12" ht="58.5" customHeight="1" x14ac:dyDescent="0.25">
      <c r="A22" s="448"/>
      <c r="B22" s="448"/>
      <c r="C22" s="455" t="s">
        <v>561</v>
      </c>
      <c r="D22" s="455"/>
      <c r="E22" s="455" t="s">
        <v>8</v>
      </c>
      <c r="F22" s="455"/>
      <c r="G22" s="455" t="s">
        <v>562</v>
      </c>
      <c r="H22" s="455"/>
      <c r="I22" s="449"/>
      <c r="J22" s="452"/>
      <c r="K22" s="448"/>
      <c r="L22" s="450"/>
    </row>
    <row r="23" spans="1:12" ht="31.5" x14ac:dyDescent="0.25">
      <c r="A23" s="448"/>
      <c r="B23" s="448"/>
      <c r="C23" s="90" t="s">
        <v>213</v>
      </c>
      <c r="D23" s="90" t="s">
        <v>212</v>
      </c>
      <c r="E23" s="90" t="s">
        <v>213</v>
      </c>
      <c r="F23" s="90" t="s">
        <v>212</v>
      </c>
      <c r="G23" s="90" t="s">
        <v>213</v>
      </c>
      <c r="H23" s="90" t="s">
        <v>212</v>
      </c>
      <c r="I23" s="449"/>
      <c r="J23" s="453"/>
      <c r="K23" s="448"/>
      <c r="L23" s="450"/>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65"/>
      <c r="D25" s="265"/>
      <c r="E25" s="88"/>
      <c r="F25" s="88"/>
      <c r="G25" s="265"/>
      <c r="H25" s="265"/>
      <c r="I25" s="88"/>
      <c r="J25" s="88"/>
      <c r="K25" s="80"/>
      <c r="L25" s="95"/>
    </row>
    <row r="26" spans="1:12" ht="21.75" customHeight="1" x14ac:dyDescent="0.25">
      <c r="A26" s="82" t="s">
        <v>210</v>
      </c>
      <c r="B26" s="89" t="s">
        <v>361</v>
      </c>
      <c r="C26" s="266" t="s">
        <v>300</v>
      </c>
      <c r="D26" s="266" t="s">
        <v>300</v>
      </c>
      <c r="E26" s="88"/>
      <c r="F26" s="88"/>
      <c r="G26" s="266"/>
      <c r="H26" s="266"/>
      <c r="I26" s="208"/>
      <c r="J26" s="88"/>
      <c r="K26" s="80"/>
      <c r="L26" s="80"/>
    </row>
    <row r="27" spans="1:12" s="64" customFormat="1" ht="39" customHeight="1" x14ac:dyDescent="0.25">
      <c r="A27" s="82" t="s">
        <v>209</v>
      </c>
      <c r="B27" s="89" t="s">
        <v>363</v>
      </c>
      <c r="C27" s="267" t="s">
        <v>556</v>
      </c>
      <c r="D27" s="267" t="s">
        <v>556</v>
      </c>
      <c r="E27" s="88"/>
      <c r="F27" s="88"/>
      <c r="G27" s="267" t="s">
        <v>457</v>
      </c>
      <c r="H27" s="267" t="s">
        <v>457</v>
      </c>
      <c r="I27" s="208"/>
      <c r="J27" s="88"/>
      <c r="K27" s="80"/>
      <c r="L27" s="80"/>
    </row>
    <row r="28" spans="1:12" s="64" customFormat="1" ht="70.5" customHeight="1" x14ac:dyDescent="0.25">
      <c r="A28" s="82" t="s">
        <v>362</v>
      </c>
      <c r="B28" s="89" t="s">
        <v>367</v>
      </c>
      <c r="C28" s="267" t="s">
        <v>556</v>
      </c>
      <c r="D28" s="267" t="s">
        <v>556</v>
      </c>
      <c r="E28" s="88"/>
      <c r="F28" s="88"/>
      <c r="G28" s="267" t="s">
        <v>457</v>
      </c>
      <c r="H28" s="267" t="s">
        <v>457</v>
      </c>
      <c r="I28" s="208"/>
      <c r="J28" s="88"/>
      <c r="K28" s="80"/>
      <c r="L28" s="80"/>
    </row>
    <row r="29" spans="1:12" s="64" customFormat="1" ht="54" customHeight="1" x14ac:dyDescent="0.25">
      <c r="A29" s="82" t="s">
        <v>208</v>
      </c>
      <c r="B29" s="89" t="s">
        <v>366</v>
      </c>
      <c r="C29" s="267" t="s">
        <v>556</v>
      </c>
      <c r="D29" s="267" t="s">
        <v>556</v>
      </c>
      <c r="E29" s="88"/>
      <c r="F29" s="88"/>
      <c r="G29" s="267" t="s">
        <v>457</v>
      </c>
      <c r="H29" s="267" t="s">
        <v>457</v>
      </c>
      <c r="I29" s="208"/>
      <c r="J29" s="88"/>
      <c r="K29" s="80"/>
      <c r="L29" s="80"/>
    </row>
    <row r="30" spans="1:12" s="64" customFormat="1" ht="42" customHeight="1" x14ac:dyDescent="0.25">
      <c r="A30" s="82" t="s">
        <v>207</v>
      </c>
      <c r="B30" s="89" t="s">
        <v>368</v>
      </c>
      <c r="C30" s="267" t="s">
        <v>556</v>
      </c>
      <c r="D30" s="267" t="s">
        <v>556</v>
      </c>
      <c r="E30" s="88"/>
      <c r="F30" s="88"/>
      <c r="G30" s="267" t="s">
        <v>457</v>
      </c>
      <c r="H30" s="267" t="s">
        <v>457</v>
      </c>
      <c r="I30" s="208"/>
      <c r="J30" s="88"/>
      <c r="K30" s="80"/>
      <c r="L30" s="80"/>
    </row>
    <row r="31" spans="1:12" s="64" customFormat="1" ht="37.5" customHeight="1" x14ac:dyDescent="0.25">
      <c r="A31" s="82" t="s">
        <v>206</v>
      </c>
      <c r="B31" s="81" t="s">
        <v>364</v>
      </c>
      <c r="C31" s="267" t="s">
        <v>556</v>
      </c>
      <c r="D31" s="267" t="s">
        <v>556</v>
      </c>
      <c r="E31" s="88"/>
      <c r="F31" s="88"/>
      <c r="G31" s="266">
        <v>44571</v>
      </c>
      <c r="H31" s="266">
        <v>44633</v>
      </c>
      <c r="I31" s="206"/>
      <c r="J31" s="88"/>
      <c r="K31" s="80"/>
      <c r="L31" s="80"/>
    </row>
    <row r="32" spans="1:12" s="64" customFormat="1" ht="31.5" x14ac:dyDescent="0.25">
      <c r="A32" s="82" t="s">
        <v>204</v>
      </c>
      <c r="B32" s="81" t="s">
        <v>369</v>
      </c>
      <c r="C32" s="267" t="s">
        <v>556</v>
      </c>
      <c r="D32" s="267" t="s">
        <v>556</v>
      </c>
      <c r="E32" s="88"/>
      <c r="F32" s="88"/>
      <c r="G32" s="266">
        <v>44635</v>
      </c>
      <c r="H32" s="266">
        <v>44641</v>
      </c>
      <c r="I32" s="206"/>
      <c r="J32" s="88"/>
      <c r="K32" s="80"/>
      <c r="L32" s="80"/>
    </row>
    <row r="33" spans="1:12" s="64" customFormat="1" ht="37.5" customHeight="1" x14ac:dyDescent="0.25">
      <c r="A33" s="82" t="s">
        <v>380</v>
      </c>
      <c r="B33" s="81" t="s">
        <v>296</v>
      </c>
      <c r="C33" s="267" t="s">
        <v>556</v>
      </c>
      <c r="D33" s="267" t="s">
        <v>556</v>
      </c>
      <c r="E33" s="88"/>
      <c r="F33" s="88"/>
      <c r="G33" s="267" t="s">
        <v>457</v>
      </c>
      <c r="H33" s="267" t="s">
        <v>457</v>
      </c>
      <c r="I33" s="208"/>
      <c r="J33" s="88"/>
      <c r="K33" s="80"/>
      <c r="L33" s="80"/>
    </row>
    <row r="34" spans="1:12" s="64" customFormat="1" ht="47.25" customHeight="1" x14ac:dyDescent="0.25">
      <c r="A34" s="82" t="s">
        <v>381</v>
      </c>
      <c r="B34" s="81" t="s">
        <v>373</v>
      </c>
      <c r="C34" s="267" t="s">
        <v>556</v>
      </c>
      <c r="D34" s="267" t="s">
        <v>556</v>
      </c>
      <c r="E34" s="87"/>
      <c r="F34" s="87"/>
      <c r="G34" s="267" t="s">
        <v>457</v>
      </c>
      <c r="H34" s="267" t="s">
        <v>457</v>
      </c>
      <c r="I34" s="208"/>
      <c r="J34" s="87"/>
      <c r="K34" s="87"/>
      <c r="L34" s="80"/>
    </row>
    <row r="35" spans="1:12" s="64" customFormat="1" ht="49.5" customHeight="1" x14ac:dyDescent="0.25">
      <c r="A35" s="82" t="s">
        <v>382</v>
      </c>
      <c r="B35" s="81" t="s">
        <v>205</v>
      </c>
      <c r="C35" s="267" t="s">
        <v>556</v>
      </c>
      <c r="D35" s="267" t="s">
        <v>556</v>
      </c>
      <c r="E35" s="87"/>
      <c r="F35" s="87"/>
      <c r="G35" s="266">
        <f>H32</f>
        <v>44641</v>
      </c>
      <c r="H35" s="266">
        <v>44645</v>
      </c>
      <c r="I35" s="206"/>
      <c r="J35" s="87"/>
      <c r="K35" s="87"/>
      <c r="L35" s="80"/>
    </row>
    <row r="36" spans="1:12" ht="37.5" customHeight="1" x14ac:dyDescent="0.25">
      <c r="A36" s="82" t="s">
        <v>383</v>
      </c>
      <c r="B36" s="81" t="s">
        <v>365</v>
      </c>
      <c r="C36" s="267" t="s">
        <v>556</v>
      </c>
      <c r="D36" s="267" t="s">
        <v>556</v>
      </c>
      <c r="E36" s="86"/>
      <c r="F36" s="85"/>
      <c r="G36" s="267" t="s">
        <v>457</v>
      </c>
      <c r="H36" s="267" t="s">
        <v>457</v>
      </c>
      <c r="I36" s="208"/>
      <c r="J36" s="84"/>
      <c r="K36" s="80"/>
      <c r="L36" s="80"/>
    </row>
    <row r="37" spans="1:12" x14ac:dyDescent="0.25">
      <c r="A37" s="82" t="s">
        <v>384</v>
      </c>
      <c r="B37" s="81" t="s">
        <v>203</v>
      </c>
      <c r="C37" s="267" t="s">
        <v>556</v>
      </c>
      <c r="D37" s="267" t="s">
        <v>556</v>
      </c>
      <c r="E37" s="86"/>
      <c r="F37" s="85"/>
      <c r="G37" s="266">
        <v>43915</v>
      </c>
      <c r="H37" s="268">
        <v>43950</v>
      </c>
      <c r="I37" s="208"/>
      <c r="J37" s="84"/>
      <c r="K37" s="80"/>
      <c r="L37" s="80"/>
    </row>
    <row r="38" spans="1:12" x14ac:dyDescent="0.25">
      <c r="A38" s="82" t="s">
        <v>385</v>
      </c>
      <c r="B38" s="83" t="s">
        <v>202</v>
      </c>
      <c r="C38" s="267" t="s">
        <v>556</v>
      </c>
      <c r="D38" s="267" t="s">
        <v>556</v>
      </c>
      <c r="E38" s="80"/>
      <c r="F38" s="80"/>
      <c r="G38" s="269"/>
      <c r="H38" s="269"/>
      <c r="I38" s="207"/>
      <c r="J38" s="80"/>
      <c r="K38" s="80"/>
      <c r="L38" s="80"/>
    </row>
    <row r="39" spans="1:12" ht="63" x14ac:dyDescent="0.25">
      <c r="A39" s="82">
        <v>2</v>
      </c>
      <c r="B39" s="81" t="s">
        <v>370</v>
      </c>
      <c r="C39" s="267" t="s">
        <v>556</v>
      </c>
      <c r="D39" s="267" t="s">
        <v>556</v>
      </c>
      <c r="E39" s="80"/>
      <c r="F39" s="80"/>
      <c r="G39" s="268">
        <v>44633</v>
      </c>
      <c r="H39" s="268">
        <v>44633</v>
      </c>
      <c r="I39" s="207"/>
      <c r="J39" s="80"/>
      <c r="K39" s="80"/>
      <c r="L39" s="80"/>
    </row>
    <row r="40" spans="1:12" ht="33.75" customHeight="1" x14ac:dyDescent="0.25">
      <c r="A40" s="82" t="s">
        <v>201</v>
      </c>
      <c r="B40" s="81" t="s">
        <v>372</v>
      </c>
      <c r="C40" s="267" t="s">
        <v>556</v>
      </c>
      <c r="D40" s="267" t="s">
        <v>556</v>
      </c>
      <c r="E40" s="80"/>
      <c r="F40" s="80"/>
      <c r="G40" s="268">
        <v>44696</v>
      </c>
      <c r="H40" s="266">
        <v>44727</v>
      </c>
      <c r="I40" s="207"/>
      <c r="J40" s="80"/>
      <c r="K40" s="80"/>
      <c r="L40" s="80"/>
    </row>
    <row r="41" spans="1:12" ht="63" customHeight="1" x14ac:dyDescent="0.25">
      <c r="A41" s="82" t="s">
        <v>200</v>
      </c>
      <c r="B41" s="83" t="s">
        <v>453</v>
      </c>
      <c r="C41" s="267" t="s">
        <v>556</v>
      </c>
      <c r="D41" s="267" t="s">
        <v>556</v>
      </c>
      <c r="E41" s="80"/>
      <c r="F41" s="80"/>
      <c r="G41" s="269"/>
      <c r="H41" s="269"/>
      <c r="I41" s="207"/>
      <c r="J41" s="80"/>
      <c r="K41" s="80"/>
      <c r="L41" s="80"/>
    </row>
    <row r="42" spans="1:12" ht="58.5" customHeight="1" x14ac:dyDescent="0.25">
      <c r="A42" s="82">
        <v>3</v>
      </c>
      <c r="B42" s="81" t="s">
        <v>371</v>
      </c>
      <c r="C42" s="267" t="s">
        <v>556</v>
      </c>
      <c r="D42" s="267" t="s">
        <v>556</v>
      </c>
      <c r="E42" s="80"/>
      <c r="F42" s="80"/>
      <c r="G42" s="266">
        <v>44696</v>
      </c>
      <c r="H42" s="266">
        <v>44727</v>
      </c>
      <c r="I42" s="208"/>
      <c r="J42" s="80"/>
      <c r="K42" s="80"/>
      <c r="L42" s="80"/>
    </row>
    <row r="43" spans="1:12" ht="34.5" customHeight="1" x14ac:dyDescent="0.25">
      <c r="A43" s="82" t="s">
        <v>199</v>
      </c>
      <c r="B43" s="81" t="s">
        <v>197</v>
      </c>
      <c r="C43" s="267" t="s">
        <v>556</v>
      </c>
      <c r="D43" s="267" t="s">
        <v>556</v>
      </c>
      <c r="E43" s="80"/>
      <c r="F43" s="80"/>
      <c r="G43" s="266">
        <v>44727</v>
      </c>
      <c r="H43" s="266">
        <v>44732</v>
      </c>
      <c r="I43" s="208"/>
      <c r="J43" s="80"/>
      <c r="K43" s="80"/>
      <c r="L43" s="80"/>
    </row>
    <row r="44" spans="1:12" ht="24.75" customHeight="1" x14ac:dyDescent="0.25">
      <c r="A44" s="82" t="s">
        <v>198</v>
      </c>
      <c r="B44" s="81" t="s">
        <v>195</v>
      </c>
      <c r="C44" s="267" t="s">
        <v>556</v>
      </c>
      <c r="D44" s="267" t="s">
        <v>556</v>
      </c>
      <c r="E44" s="80"/>
      <c r="F44" s="80"/>
      <c r="G44" s="266">
        <v>44732</v>
      </c>
      <c r="H44" s="266">
        <v>44834</v>
      </c>
      <c r="I44" s="208"/>
      <c r="J44" s="80"/>
      <c r="K44" s="80"/>
      <c r="L44" s="80"/>
    </row>
    <row r="45" spans="1:12" ht="90.75" customHeight="1" x14ac:dyDescent="0.25">
      <c r="A45" s="82" t="s">
        <v>196</v>
      </c>
      <c r="B45" s="81" t="s">
        <v>376</v>
      </c>
      <c r="C45" s="267" t="s">
        <v>556</v>
      </c>
      <c r="D45" s="267" t="s">
        <v>556</v>
      </c>
      <c r="E45" s="80"/>
      <c r="F45" s="80"/>
      <c r="G45" s="267" t="s">
        <v>457</v>
      </c>
      <c r="H45" s="267" t="s">
        <v>457</v>
      </c>
      <c r="I45" s="207"/>
      <c r="J45" s="80"/>
      <c r="K45" s="80"/>
      <c r="L45" s="80"/>
    </row>
    <row r="46" spans="1:12" ht="167.25" customHeight="1" x14ac:dyDescent="0.25">
      <c r="A46" s="82" t="s">
        <v>194</v>
      </c>
      <c r="B46" s="81" t="s">
        <v>374</v>
      </c>
      <c r="C46" s="267" t="s">
        <v>556</v>
      </c>
      <c r="D46" s="267" t="s">
        <v>556</v>
      </c>
      <c r="E46" s="80"/>
      <c r="F46" s="80"/>
      <c r="G46" s="267" t="s">
        <v>457</v>
      </c>
      <c r="H46" s="267" t="s">
        <v>457</v>
      </c>
      <c r="I46" s="207"/>
      <c r="J46" s="80"/>
      <c r="K46" s="80"/>
      <c r="L46" s="80"/>
    </row>
    <row r="47" spans="1:12" ht="30.75" customHeight="1" x14ac:dyDescent="0.25">
      <c r="A47" s="82" t="s">
        <v>192</v>
      </c>
      <c r="B47" s="81" t="s">
        <v>193</v>
      </c>
      <c r="C47" s="267" t="s">
        <v>556</v>
      </c>
      <c r="D47" s="267" t="s">
        <v>556</v>
      </c>
      <c r="E47" s="80"/>
      <c r="F47" s="80"/>
      <c r="G47" s="266"/>
      <c r="H47" s="266"/>
      <c r="I47" s="208"/>
      <c r="J47" s="80"/>
      <c r="K47" s="80"/>
      <c r="L47" s="80"/>
    </row>
    <row r="48" spans="1:12" ht="37.5" customHeight="1" x14ac:dyDescent="0.25">
      <c r="A48" s="82" t="s">
        <v>386</v>
      </c>
      <c r="B48" s="83" t="s">
        <v>191</v>
      </c>
      <c r="C48" s="267" t="s">
        <v>556</v>
      </c>
      <c r="D48" s="267" t="s">
        <v>556</v>
      </c>
      <c r="E48" s="80"/>
      <c r="F48" s="80"/>
      <c r="G48" s="269"/>
      <c r="H48" s="269"/>
      <c r="I48" s="208"/>
      <c r="J48" s="80"/>
      <c r="K48" s="80"/>
      <c r="L48" s="80"/>
    </row>
    <row r="49" spans="1:12" ht="35.25" customHeight="1" x14ac:dyDescent="0.25">
      <c r="A49" s="82">
        <v>4</v>
      </c>
      <c r="B49" s="81" t="s">
        <v>189</v>
      </c>
      <c r="C49" s="267" t="s">
        <v>556</v>
      </c>
      <c r="D49" s="267" t="s">
        <v>556</v>
      </c>
      <c r="E49" s="80"/>
      <c r="F49" s="80"/>
      <c r="G49" s="266">
        <v>44834</v>
      </c>
      <c r="H49" s="266">
        <v>44836</v>
      </c>
      <c r="I49" s="208"/>
      <c r="J49" s="80"/>
      <c r="K49" s="80"/>
      <c r="L49" s="80"/>
    </row>
    <row r="50" spans="1:12" ht="86.25" customHeight="1" x14ac:dyDescent="0.25">
      <c r="A50" s="82" t="s">
        <v>190</v>
      </c>
      <c r="B50" s="81" t="s">
        <v>375</v>
      </c>
      <c r="C50" s="267" t="s">
        <v>556</v>
      </c>
      <c r="D50" s="267" t="s">
        <v>556</v>
      </c>
      <c r="E50" s="80"/>
      <c r="F50" s="80"/>
      <c r="G50" s="266">
        <v>44834</v>
      </c>
      <c r="H50" s="268">
        <v>44926</v>
      </c>
      <c r="I50" s="207"/>
      <c r="J50" s="80"/>
      <c r="K50" s="80"/>
      <c r="L50" s="80"/>
    </row>
    <row r="51" spans="1:12" ht="77.25" customHeight="1" x14ac:dyDescent="0.25">
      <c r="A51" s="82" t="s">
        <v>188</v>
      </c>
      <c r="B51" s="81" t="s">
        <v>377</v>
      </c>
      <c r="C51" s="267" t="s">
        <v>556</v>
      </c>
      <c r="D51" s="267" t="s">
        <v>556</v>
      </c>
      <c r="E51" s="80"/>
      <c r="F51" s="80"/>
      <c r="G51" s="266">
        <v>44834</v>
      </c>
      <c r="H51" s="268">
        <v>44839</v>
      </c>
      <c r="I51" s="207"/>
      <c r="J51" s="80"/>
      <c r="K51" s="80"/>
      <c r="L51" s="80"/>
    </row>
    <row r="52" spans="1:12" ht="71.25" customHeight="1" x14ac:dyDescent="0.25">
      <c r="A52" s="82" t="s">
        <v>186</v>
      </c>
      <c r="B52" s="81" t="s">
        <v>187</v>
      </c>
      <c r="C52" s="267" t="s">
        <v>556</v>
      </c>
      <c r="D52" s="267" t="s">
        <v>556</v>
      </c>
      <c r="E52" s="80"/>
      <c r="F52" s="80"/>
      <c r="G52" s="266"/>
      <c r="H52" s="268"/>
      <c r="I52" s="208"/>
      <c r="J52" s="80"/>
      <c r="K52" s="80"/>
      <c r="L52" s="80"/>
    </row>
    <row r="53" spans="1:12" ht="48" customHeight="1" x14ac:dyDescent="0.25">
      <c r="A53" s="82" t="s">
        <v>184</v>
      </c>
      <c r="B53" s="136" t="s">
        <v>378</v>
      </c>
      <c r="C53" s="267" t="s">
        <v>556</v>
      </c>
      <c r="D53" s="267" t="s">
        <v>556</v>
      </c>
      <c r="E53" s="80"/>
      <c r="F53" s="80"/>
      <c r="G53" s="268">
        <v>44834</v>
      </c>
      <c r="H53" s="268">
        <v>44926</v>
      </c>
      <c r="I53" s="207"/>
      <c r="J53" s="80"/>
      <c r="K53" s="80"/>
      <c r="L53" s="80"/>
    </row>
    <row r="54" spans="1:12" ht="46.5" customHeight="1" x14ac:dyDescent="0.25">
      <c r="A54" s="82" t="s">
        <v>379</v>
      </c>
      <c r="B54" s="81" t="s">
        <v>185</v>
      </c>
      <c r="C54" s="267" t="s">
        <v>556</v>
      </c>
      <c r="D54" s="267" t="s">
        <v>556</v>
      </c>
      <c r="E54" s="80"/>
      <c r="F54" s="80"/>
      <c r="G54" s="268">
        <v>44834</v>
      </c>
      <c r="H54" s="268">
        <v>44925</v>
      </c>
      <c r="I54" s="20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2022-02-15T21:19:29Z</cp:lastPrinted>
  <dcterms:created xsi:type="dcterms:W3CDTF">2015-08-16T15:31:05Z</dcterms:created>
  <dcterms:modified xsi:type="dcterms:W3CDTF">2022-08-10T03:00:29Z</dcterms:modified>
</cp:coreProperties>
</file>