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M 22-08\"/>
    </mc:Choice>
  </mc:AlternateContent>
  <xr:revisionPtr revIDLastSave="0" documentId="13_ncr:1_{92B33825-1506-456E-A416-465C92890D39}"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Z24" i="15" l="1"/>
  <c r="AC24" i="15" s="1"/>
  <c r="B81" i="27"/>
  <c r="D81" i="27"/>
  <c r="C81" i="2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R52" i="15"/>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C106" i="27" l="1"/>
  <c r="D107" i="27"/>
  <c r="C80" i="27"/>
  <c r="H139" i="27"/>
  <c r="I138" i="27"/>
  <c r="E107" i="27" l="1"/>
  <c r="D106" i="27"/>
  <c r="J138" i="27"/>
  <c r="J139" i="27"/>
  <c r="I139" i="27"/>
  <c r="K138" i="27" l="1"/>
  <c r="K139" i="27"/>
  <c r="F107" i="27"/>
  <c r="E106" i="27"/>
  <c r="F106" i="27" l="1"/>
  <c r="G107" i="27"/>
  <c r="L139" i="27"/>
  <c r="L138" i="27"/>
  <c r="M139" i="27" l="1"/>
  <c r="M138" i="27"/>
  <c r="G106" i="27"/>
  <c r="H107" i="27"/>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9" i="27"/>
  <c r="P138" i="27"/>
  <c r="K106" i="27" l="1"/>
  <c r="G49" i="27" s="1"/>
  <c r="G58" i="27" s="1"/>
  <c r="Q138" i="27"/>
  <c r="F80" i="27"/>
  <c r="R138" i="27" l="1"/>
  <c r="R139" i="27"/>
  <c r="L106" i="27"/>
  <c r="H49" i="27" s="1"/>
  <c r="H58" i="27" s="1"/>
  <c r="Q139" i="27"/>
  <c r="G80" i="27"/>
  <c r="S138" i="27" l="1"/>
  <c r="S139" i="27"/>
  <c r="H80" i="27"/>
  <c r="M106" i="27"/>
  <c r="I49" i="27" s="1"/>
  <c r="I58" i="27" s="1"/>
  <c r="T139" i="27" l="1"/>
  <c r="T138" i="27"/>
  <c r="I80" i="27"/>
  <c r="N106" i="27"/>
  <c r="J49" i="27" s="1"/>
  <c r="J58" i="27" s="1"/>
  <c r="O106" i="27" l="1"/>
  <c r="K49" i="27" s="1"/>
  <c r="K58" i="27" s="1"/>
  <c r="J80" i="27"/>
  <c r="U139" i="27"/>
  <c r="U138" i="27"/>
  <c r="K80" i="27" l="1"/>
  <c r="P106" i="27"/>
  <c r="L49" i="27" s="1"/>
  <c r="L58" i="27" s="1"/>
  <c r="V138" i="27"/>
  <c r="V139" i="27"/>
  <c r="L80" i="27" l="1"/>
  <c r="W138" i="27"/>
  <c r="Q106" i="27"/>
  <c r="M49" i="27" s="1"/>
  <c r="M58" i="27" s="1"/>
  <c r="M80" i="27" l="1"/>
  <c r="X139" i="27"/>
  <c r="X138" i="27"/>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9" i="27"/>
  <c r="AG138" i="27"/>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c r="AC80" i="27" l="1"/>
  <c r="AC66" i="27"/>
  <c r="AC68" i="27" s="1"/>
  <c r="AN139" i="27"/>
  <c r="AN138" i="27"/>
  <c r="AH106" i="27"/>
  <c r="AD49" i="27" s="1"/>
  <c r="AD58" i="27" s="1"/>
  <c r="AC75" i="27" l="1"/>
  <c r="AC70" i="27"/>
  <c r="AD80" i="27"/>
  <c r="AO138" i="27"/>
  <c r="AI106" i="27"/>
  <c r="AE49" i="27" s="1"/>
  <c r="AE58" i="27" s="1"/>
  <c r="AP138" i="27" l="1"/>
  <c r="AP139" i="27"/>
  <c r="AC71" i="27"/>
  <c r="AC72" i="27"/>
  <c r="AO139" i="27"/>
  <c r="AE80" i="27"/>
  <c r="AE66" i="27"/>
  <c r="AE68" i="27" s="1"/>
  <c r="AJ106" i="27"/>
  <c r="AK106" i="27" l="1"/>
  <c r="AQ138" i="27"/>
  <c r="AQ139" i="27"/>
  <c r="AE75" i="27"/>
  <c r="AE70" i="27"/>
  <c r="AE71" i="27" l="1"/>
  <c r="AL106" i="27"/>
  <c r="AR138" i="27"/>
  <c r="AE72" i="27" l="1"/>
  <c r="AM106" i="27"/>
  <c r="AS138" i="27"/>
  <c r="AR139" i="27"/>
  <c r="AN106" i="27" l="1"/>
  <c r="AT138" i="27"/>
  <c r="AT139" i="27"/>
  <c r="AS139" i="27"/>
  <c r="AP106" i="27" l="1"/>
  <c r="AO106" i="27"/>
  <c r="AU138" i="27"/>
  <c r="AU139" i="27"/>
  <c r="AV139" i="27" l="1"/>
  <c r="AV138" i="27"/>
  <c r="AW138" i="27" l="1"/>
  <c r="AX138" i="27" l="1"/>
  <c r="AX139" i="27"/>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33" i="15" l="1"/>
  <c r="T64" i="15" l="1"/>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V30" i="15"/>
  <c r="U30" i="15"/>
  <c r="S30" i="15"/>
  <c r="Q30" i="15"/>
  <c r="O30" i="15"/>
  <c r="N30" i="15"/>
  <c r="M30" i="15"/>
  <c r="G30" i="15"/>
  <c r="E29" i="15"/>
  <c r="E28" i="15"/>
  <c r="E27" i="15"/>
  <c r="E26" i="15"/>
  <c r="E25" i="15"/>
  <c r="W24" i="15"/>
  <c r="V24" i="15"/>
  <c r="U24" i="15"/>
  <c r="S24" i="15"/>
  <c r="Q24" i="15"/>
  <c r="O24" i="15"/>
  <c r="N24" i="15"/>
  <c r="M24" i="15"/>
  <c r="G24" i="15"/>
  <c r="B30" i="22" l="1"/>
  <c r="E24" i="15"/>
  <c r="E30" i="15"/>
  <c r="F27" i="15" l="1"/>
  <c r="C50" i="7"/>
  <c r="F52" i="15"/>
  <c r="E52" i="15"/>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F58" i="15"/>
  <c r="F45" i="15"/>
  <c r="F64" i="15"/>
  <c r="F56" i="15"/>
  <c r="F47" i="15"/>
  <c r="F43" i="15"/>
  <c r="F35" i="15"/>
  <c r="F29" i="15"/>
  <c r="F62" i="15"/>
  <c r="F37" i="15"/>
  <c r="F51" i="15"/>
  <c r="F39" i="15"/>
  <c r="F60" i="15"/>
  <c r="F63" i="15"/>
  <c r="F59" i="15"/>
  <c r="F55" i="15"/>
  <c r="F50" i="15"/>
  <c r="F46" i="15"/>
  <c r="F42" i="15"/>
  <c r="F38" i="15"/>
  <c r="F34" i="15"/>
  <c r="F28" i="15"/>
  <c r="F54" i="15"/>
  <c r="F26" i="15"/>
  <c r="F49" i="15"/>
  <c r="F41" i="15"/>
  <c r="F32" i="15"/>
  <c r="F61" i="15"/>
  <c r="F57" i="15"/>
  <c r="F53" i="15"/>
  <c r="F48" i="15"/>
  <c r="F44" i="15"/>
  <c r="F40" i="15"/>
  <c r="F36" i="15"/>
  <c r="F31" i="15"/>
  <c r="F25" i="15"/>
  <c r="B24" i="27"/>
  <c r="F30" i="15"/>
  <c r="R40" i="15"/>
  <c r="R28" i="15"/>
  <c r="R63" i="15"/>
  <c r="R59" i="15"/>
  <c r="R55" i="15"/>
  <c r="R51" i="15"/>
  <c r="R47" i="15"/>
  <c r="R43" i="15"/>
  <c r="R39" i="15"/>
  <c r="R35" i="15"/>
  <c r="R64" i="15"/>
  <c r="R56" i="15"/>
  <c r="R44" i="15"/>
  <c r="R32" i="15"/>
  <c r="R62" i="15"/>
  <c r="R58" i="15"/>
  <c r="R54" i="15"/>
  <c r="R50" i="15"/>
  <c r="R46" i="15"/>
  <c r="R42" i="15"/>
  <c r="R38" i="15"/>
  <c r="R34" i="15"/>
  <c r="R31" i="15"/>
  <c r="R26" i="15"/>
  <c r="R60" i="15"/>
  <c r="R48" i="15"/>
  <c r="R36" i="15"/>
  <c r="R61" i="15"/>
  <c r="R57" i="15"/>
  <c r="R53" i="15"/>
  <c r="R49" i="15"/>
  <c r="R45" i="15"/>
  <c r="R41" i="15"/>
  <c r="R37" i="15"/>
  <c r="R29" i="15"/>
  <c r="R25" i="15"/>
  <c r="R24" i="15" l="1"/>
  <c r="R30" i="15"/>
  <c r="B28" i="27"/>
  <c r="L60" i="27" s="1"/>
  <c r="B49" i="27"/>
  <c r="B58" i="27" s="1"/>
  <c r="B34" i="27"/>
  <c r="N62" i="27" s="1"/>
  <c r="B80" i="27" l="1"/>
  <c r="B66" i="27"/>
  <c r="B68" i="27" s="1"/>
  <c r="V62" i="27"/>
  <c r="B27" i="22"/>
  <c r="F24" i="15"/>
  <c r="B70" i="27" l="1"/>
  <c r="B75" i="27"/>
  <c r="B76" i="22"/>
  <c r="B55" i="22"/>
  <c r="B83" i="22"/>
  <c r="B90" i="22"/>
  <c r="B51" i="22"/>
  <c r="B72" i="22"/>
  <c r="B80" i="22"/>
  <c r="B63" i="22"/>
  <c r="B68" i="22"/>
  <c r="B38" i="22"/>
  <c r="B88" i="22"/>
  <c r="B42" i="22"/>
  <c r="B46" i="22"/>
  <c r="B34" i="22"/>
  <c r="B59" i="22"/>
  <c r="G67" i="27"/>
  <c r="E67" i="27"/>
  <c r="C67" i="27"/>
  <c r="F67" i="27"/>
  <c r="D67" i="27"/>
  <c r="AD62" i="27"/>
  <c r="AD59" i="27" s="1"/>
  <c r="AD66" i="27" s="1"/>
  <c r="AD68" i="27" s="1"/>
  <c r="B79" i="27"/>
  <c r="C79" i="27" s="1"/>
  <c r="D79" i="27" s="1"/>
  <c r="AD75" i="27" l="1"/>
  <c r="AD70" i="27"/>
  <c r="D76" i="27"/>
  <c r="D65" i="27"/>
  <c r="D59" i="27" s="1"/>
  <c r="D66" i="27" s="1"/>
  <c r="D68" i="27" s="1"/>
  <c r="H67" i="27"/>
  <c r="G76" i="27"/>
  <c r="G65" i="27"/>
  <c r="G59" i="27" s="1"/>
  <c r="G66" i="27" s="1"/>
  <c r="G68" i="27" s="1"/>
  <c r="B71" i="27"/>
  <c r="E76" i="27"/>
  <c r="E65" i="27"/>
  <c r="E59" i="27" s="1"/>
  <c r="E66" i="27" s="1"/>
  <c r="E68" i="27" s="1"/>
  <c r="E79" i="27"/>
  <c r="F76" i="27"/>
  <c r="F65" i="27"/>
  <c r="F59" i="27" s="1"/>
  <c r="F66" i="27" s="1"/>
  <c r="F68" i="27" s="1"/>
  <c r="C76" i="27"/>
  <c r="C65" i="27"/>
  <c r="C59" i="27" s="1"/>
  <c r="C66" i="27" s="1"/>
  <c r="C68" i="27" s="1"/>
  <c r="C75" i="27" l="1"/>
  <c r="C70" i="27"/>
  <c r="I67" i="27"/>
  <c r="H76" i="27"/>
  <c r="H65" i="27"/>
  <c r="H59" i="27" s="1"/>
  <c r="H66" i="27" s="1"/>
  <c r="H68" i="27" s="1"/>
  <c r="F79" i="27"/>
  <c r="B78" i="27"/>
  <c r="B83" i="27" s="1"/>
  <c r="F70" i="27"/>
  <c r="F75" i="27"/>
  <c r="E75" i="27"/>
  <c r="E70" i="27"/>
  <c r="D75" i="27"/>
  <c r="D70" i="27"/>
  <c r="AD71" i="27"/>
  <c r="AD72" i="27" s="1"/>
  <c r="B72" i="27"/>
  <c r="G75" i="27"/>
  <c r="G70" i="27"/>
  <c r="J67" i="27" l="1"/>
  <c r="I76" i="27"/>
  <c r="I65" i="27"/>
  <c r="I59" i="27" s="1"/>
  <c r="I66" i="27" s="1"/>
  <c r="I68" i="27" s="1"/>
  <c r="C71" i="27"/>
  <c r="C72" i="27" s="1"/>
  <c r="G71" i="27"/>
  <c r="G72" i="27" s="1"/>
  <c r="B84" i="27"/>
  <c r="B89" i="27" s="1"/>
  <c r="B88" i="27"/>
  <c r="B86" i="27"/>
  <c r="E71" i="27"/>
  <c r="E72" i="27"/>
  <c r="F71" i="27"/>
  <c r="F72" i="27" s="1"/>
  <c r="H75" i="27"/>
  <c r="H70" i="27"/>
  <c r="D71" i="27"/>
  <c r="D72" i="27" s="1"/>
  <c r="G79" i="27"/>
  <c r="H71" i="27" l="1"/>
  <c r="H72" i="27"/>
  <c r="I75" i="27"/>
  <c r="I70" i="27"/>
  <c r="H79" i="27"/>
  <c r="I79" i="27" s="1"/>
  <c r="J79" i="27" s="1"/>
  <c r="K79" i="27" s="1"/>
  <c r="B87" i="27"/>
  <c r="B90" i="27" s="1"/>
  <c r="C78" i="27"/>
  <c r="C83" i="27" s="1"/>
  <c r="J76" i="27"/>
  <c r="K67"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L67" i="27"/>
  <c r="K76" i="27"/>
  <c r="K65" i="27"/>
  <c r="K59" i="27" s="1"/>
  <c r="K66" i="27" s="1"/>
  <c r="K68" i="27" s="1"/>
  <c r="D78" i="27"/>
  <c r="E78" i="27" s="1"/>
  <c r="E83" i="27" s="1"/>
  <c r="E86" i="27" s="1"/>
  <c r="I71" i="27"/>
  <c r="I72" i="27" s="1"/>
  <c r="J70" i="27"/>
  <c r="J75" i="27"/>
  <c r="K75" i="27" l="1"/>
  <c r="K70" i="27"/>
  <c r="J71" i="27"/>
  <c r="F78" i="27"/>
  <c r="F83" i="27" s="1"/>
  <c r="F86" i="27" s="1"/>
  <c r="D83" i="27"/>
  <c r="M67" i="27"/>
  <c r="L76" i="27"/>
  <c r="L65" i="27"/>
  <c r="L59" i="27" s="1"/>
  <c r="L66" i="27" s="1"/>
  <c r="L68" i="27" s="1"/>
  <c r="C87" i="27"/>
  <c r="C90" i="27" s="1"/>
  <c r="G78" i="27" l="1"/>
  <c r="G83" i="27" s="1"/>
  <c r="G86" i="27" s="1"/>
  <c r="H78" i="27"/>
  <c r="H83" i="27" s="1"/>
  <c r="H86" i="27" s="1"/>
  <c r="L75" i="27"/>
  <c r="L70" i="27"/>
  <c r="D86" i="27"/>
  <c r="G84" i="27"/>
  <c r="F84" i="27"/>
  <c r="F88" i="27"/>
  <c r="D84" i="27"/>
  <c r="D89" i="27" s="1"/>
  <c r="G88" i="27"/>
  <c r="D88" i="27"/>
  <c r="E88" i="27"/>
  <c r="E84" i="27"/>
  <c r="J72" i="27"/>
  <c r="N67" i="27"/>
  <c r="M76" i="27"/>
  <c r="M65" i="27"/>
  <c r="M59" i="27" s="1"/>
  <c r="M66" i="27" s="1"/>
  <c r="M68" i="27" s="1"/>
  <c r="I78" i="27"/>
  <c r="I83" i="27" s="1"/>
  <c r="I86" i="27" s="1"/>
  <c r="K71" i="27"/>
  <c r="K72" i="27" s="1"/>
  <c r="H84" i="27" l="1"/>
  <c r="H89" i="27" s="1"/>
  <c r="H88" i="27"/>
  <c r="E89" i="27"/>
  <c r="I84" i="27"/>
  <c r="J78" i="27"/>
  <c r="J83" i="27" s="1"/>
  <c r="J86" i="27" s="1"/>
  <c r="J87" i="27" s="1"/>
  <c r="H87" i="27"/>
  <c r="D87" i="27"/>
  <c r="D90" i="27" s="1"/>
  <c r="F87" i="27"/>
  <c r="E87" i="27"/>
  <c r="I87" i="27"/>
  <c r="I90" i="27" s="1"/>
  <c r="G87" i="27"/>
  <c r="L71" i="27"/>
  <c r="L72" i="27" s="1"/>
  <c r="F89" i="27"/>
  <c r="N76" i="27"/>
  <c r="O67" i="27"/>
  <c r="N65" i="27"/>
  <c r="N59" i="27" s="1"/>
  <c r="N66" i="27" s="1"/>
  <c r="N68" i="27" s="1"/>
  <c r="I88" i="27"/>
  <c r="G89" i="27"/>
  <c r="M70" i="27"/>
  <c r="M75" i="27"/>
  <c r="I89" i="27"/>
  <c r="J88" i="27" l="1"/>
  <c r="G90" i="27"/>
  <c r="J90" i="27"/>
  <c r="J84" i="27"/>
  <c r="J89" i="27" s="1"/>
  <c r="E90" i="27"/>
  <c r="K78" i="27"/>
  <c r="K83" i="27" s="1"/>
  <c r="K84" i="27" s="1"/>
  <c r="N75" i="27"/>
  <c r="N70" i="27"/>
  <c r="F90" i="27"/>
  <c r="H90" i="27"/>
  <c r="M71" i="27"/>
  <c r="P67" i="27"/>
  <c r="O76" i="27"/>
  <c r="O65" i="27"/>
  <c r="O59" i="27" s="1"/>
  <c r="O66" i="27" s="1"/>
  <c r="O68" i="27" s="1"/>
  <c r="L78" i="27" l="1"/>
  <c r="L83" i="27" s="1"/>
  <c r="K89" i="27"/>
  <c r="K86" i="27"/>
  <c r="L87" i="27" s="1"/>
  <c r="K88" i="27"/>
  <c r="O75" i="27"/>
  <c r="O70" i="27"/>
  <c r="M78" i="27"/>
  <c r="M83" i="27" s="1"/>
  <c r="M86" i="27" s="1"/>
  <c r="N71" i="27"/>
  <c r="N72" i="27" s="1"/>
  <c r="L86" i="27"/>
  <c r="B103" i="27" s="1"/>
  <c r="L88" i="27"/>
  <c r="K87" i="27"/>
  <c r="K90" i="27" s="1"/>
  <c r="P76" i="27"/>
  <c r="Q67" i="27"/>
  <c r="P65" i="27"/>
  <c r="P59" i="27" s="1"/>
  <c r="P66" i="27" s="1"/>
  <c r="P68" i="27" s="1"/>
  <c r="M72" i="27"/>
  <c r="L84" i="27"/>
  <c r="L89" i="27" s="1"/>
  <c r="M84" i="27" l="1"/>
  <c r="M87" i="27"/>
  <c r="M89" i="27"/>
  <c r="P75" i="27"/>
  <c r="P70" i="27"/>
  <c r="M90" i="27"/>
  <c r="M88" i="27"/>
  <c r="G29" i="27"/>
  <c r="L90" i="27"/>
  <c r="R67" i="27"/>
  <c r="Q76" i="27"/>
  <c r="Q65" i="27"/>
  <c r="Q59" i="27" s="1"/>
  <c r="Q66" i="27" s="1"/>
  <c r="Q68" i="27" s="1"/>
  <c r="N78" i="27"/>
  <c r="N83" i="27" s="1"/>
  <c r="O71" i="27"/>
  <c r="O72" i="27" s="1"/>
  <c r="Q75" i="27" l="1"/>
  <c r="Q70" i="27"/>
  <c r="P71" i="27"/>
  <c r="P72" i="27" s="1"/>
  <c r="N86" i="27"/>
  <c r="N84" i="27"/>
  <c r="N89" i="27" s="1"/>
  <c r="N88" i="27"/>
  <c r="S67" i="27"/>
  <c r="R76" i="27"/>
  <c r="R65" i="27"/>
  <c r="R59" i="27" s="1"/>
  <c r="R66" i="27" s="1"/>
  <c r="R68" i="27" s="1"/>
  <c r="O78" i="27"/>
  <c r="O83" i="27" s="1"/>
  <c r="O86" i="27" l="1"/>
  <c r="O87" i="27" s="1"/>
  <c r="O88" i="27"/>
  <c r="O84" i="27"/>
  <c r="O89" i="27" s="1"/>
  <c r="T67" i="27"/>
  <c r="S76" i="27"/>
  <c r="S65" i="27"/>
  <c r="S59" i="27" s="1"/>
  <c r="S66" i="27" s="1"/>
  <c r="S68" i="27" s="1"/>
  <c r="P78" i="27"/>
  <c r="P83" i="27" s="1"/>
  <c r="R70" i="27"/>
  <c r="R75" i="27"/>
  <c r="Q71" i="27"/>
  <c r="N87" i="27"/>
  <c r="N90" i="27" s="1"/>
  <c r="O90" i="27" l="1"/>
  <c r="Q78" i="27"/>
  <c r="Q83" i="27" s="1"/>
  <c r="Q86" i="27" s="1"/>
  <c r="S70" i="27"/>
  <c r="S75" i="27"/>
  <c r="R71" i="27"/>
  <c r="Q72" i="27"/>
  <c r="P86" i="27"/>
  <c r="P87" i="27" s="1"/>
  <c r="P90" i="27" s="1"/>
  <c r="P84" i="27"/>
  <c r="P89" i="27" s="1"/>
  <c r="P88" i="27"/>
  <c r="U67" i="27"/>
  <c r="T76" i="27"/>
  <c r="T65" i="27"/>
  <c r="T59" i="27" s="1"/>
  <c r="T66" i="27" s="1"/>
  <c r="T68" i="27" s="1"/>
  <c r="R78" i="27" l="1"/>
  <c r="R83" i="27" s="1"/>
  <c r="R84" i="27" s="1"/>
  <c r="Q84" i="27"/>
  <c r="Q88" i="27"/>
  <c r="R86" i="27"/>
  <c r="R87" i="27" s="1"/>
  <c r="R88" i="27"/>
  <c r="S71" i="27"/>
  <c r="S78" i="27" s="1"/>
  <c r="S83" i="27" s="1"/>
  <c r="R72" i="27"/>
  <c r="Q89" i="27"/>
  <c r="T75" i="27"/>
  <c r="T70" i="27"/>
  <c r="V67" i="27"/>
  <c r="U76" i="27"/>
  <c r="U65" i="27"/>
  <c r="U59" i="27" s="1"/>
  <c r="U66" i="27" s="1"/>
  <c r="U68" i="27" s="1"/>
  <c r="Q87" i="27"/>
  <c r="Q90" i="27" s="1"/>
  <c r="R89" i="27" l="1"/>
  <c r="R90" i="27"/>
  <c r="S86" i="27"/>
  <c r="S87" i="27" s="1"/>
  <c r="S90" i="27" s="1"/>
  <c r="S88" i="27"/>
  <c r="S84" i="27"/>
  <c r="S89" i="27" s="1"/>
  <c r="V76" i="27"/>
  <c r="W67" i="27"/>
  <c r="V65" i="27"/>
  <c r="V59" i="27" s="1"/>
  <c r="V66" i="27" s="1"/>
  <c r="V68" i="27" s="1"/>
  <c r="U70" i="27"/>
  <c r="U75" i="27"/>
  <c r="T71" i="27"/>
  <c r="T78" i="27" s="1"/>
  <c r="T83" i="27"/>
  <c r="S72" i="27"/>
  <c r="T72" i="27" l="1"/>
  <c r="W76" i="27"/>
  <c r="X67" i="27"/>
  <c r="W65" i="27"/>
  <c r="W59" i="27" s="1"/>
  <c r="W66" i="27" s="1"/>
  <c r="W68" i="27" s="1"/>
  <c r="T86" i="27"/>
  <c r="T87" i="27" s="1"/>
  <c r="T90" i="27" s="1"/>
  <c r="T88" i="27"/>
  <c r="T84" i="27"/>
  <c r="T89" i="27" s="1"/>
  <c r="U71" i="27"/>
  <c r="U78" i="27" s="1"/>
  <c r="U83" i="27" s="1"/>
  <c r="V70" i="27"/>
  <c r="V75" i="27"/>
  <c r="U86" i="27" l="1"/>
  <c r="U87" i="27" s="1"/>
  <c r="U90" i="27" s="1"/>
  <c r="U84" i="27"/>
  <c r="U89" i="27" s="1"/>
  <c r="U88" i="27"/>
  <c r="V71" i="27"/>
  <c r="V78" i="27" s="1"/>
  <c r="V83" i="27" s="1"/>
  <c r="U72" i="27"/>
  <c r="W70" i="27"/>
  <c r="W75" i="27"/>
  <c r="Y67" i="27"/>
  <c r="X76" i="27"/>
  <c r="X65" i="27"/>
  <c r="X59" i="27" s="1"/>
  <c r="X66" i="27" s="1"/>
  <c r="X68" i="27" s="1"/>
  <c r="V72" i="27" l="1"/>
  <c r="V86" i="27"/>
  <c r="V87" i="27" s="1"/>
  <c r="V90" i="27" s="1"/>
  <c r="V84" i="27"/>
  <c r="V89" i="27" s="1"/>
  <c r="V88" i="27"/>
  <c r="X75" i="27"/>
  <c r="X70" i="27"/>
  <c r="W71" i="27"/>
  <c r="W78" i="27" s="1"/>
  <c r="W83" i="27" s="1"/>
  <c r="W72" i="27"/>
  <c r="Y76" i="27"/>
  <c r="Z67" i="27"/>
  <c r="Y65" i="27"/>
  <c r="Y59" i="27" s="1"/>
  <c r="Y66" i="27" s="1"/>
  <c r="Y68" i="27" s="1"/>
  <c r="W86" i="27" l="1"/>
  <c r="W87" i="27" s="1"/>
  <c r="W90" i="27" s="1"/>
  <c r="W84" i="27"/>
  <c r="W89" i="27" s="1"/>
  <c r="W88" i="27"/>
  <c r="Y70" i="27"/>
  <c r="Y75" i="27"/>
  <c r="Z76" i="27"/>
  <c r="AA67" i="27"/>
  <c r="Z65" i="27"/>
  <c r="Z59" i="27" s="1"/>
  <c r="Z66" i="27" s="1"/>
  <c r="Z68" i="27" s="1"/>
  <c r="X71" i="27"/>
  <c r="X78" i="27" s="1"/>
  <c r="X83" i="27" s="1"/>
  <c r="X72" i="27"/>
  <c r="X86" i="27" l="1"/>
  <c r="X87" i="27" s="1"/>
  <c r="X90" i="27" s="1"/>
  <c r="X88" i="27"/>
  <c r="X84" i="27"/>
  <c r="X89" i="27" s="1"/>
  <c r="AA76" i="27"/>
  <c r="AB67" i="27"/>
  <c r="AA65" i="27"/>
  <c r="AA59" i="27" s="1"/>
  <c r="AA66" i="27" s="1"/>
  <c r="AA68" i="27" s="1"/>
  <c r="Y71" i="27"/>
  <c r="Y78" i="27" s="1"/>
  <c r="Y83" i="27" s="1"/>
  <c r="Z75" i="27"/>
  <c r="Z70" i="27"/>
  <c r="Y86" i="27" l="1"/>
  <c r="Y87" i="27" s="1"/>
  <c r="Y90" i="27" s="1"/>
  <c r="Y84" i="27"/>
  <c r="Y89" i="27" s="1"/>
  <c r="Y88" i="27"/>
  <c r="Y72" i="27"/>
  <c r="Z71" i="27"/>
  <c r="Z78" i="27" s="1"/>
  <c r="Z83" i="27" s="1"/>
  <c r="AA75" i="27"/>
  <c r="AA70" i="27"/>
  <c r="AB76" i="27"/>
  <c r="AB65" i="27"/>
  <c r="AB59" i="27" s="1"/>
  <c r="AB66" i="27" s="1"/>
  <c r="AB68" i="27" s="1"/>
  <c r="Z72" i="27" l="1"/>
  <c r="Z86" i="27"/>
  <c r="Z87" i="27" s="1"/>
  <c r="Z90" i="27" s="1"/>
  <c r="Z88" i="27"/>
  <c r="Z84" i="27"/>
  <c r="Z89" i="27" s="1"/>
  <c r="AA71" i="27"/>
  <c r="AA78" i="27" s="1"/>
  <c r="AA83" i="27" s="1"/>
  <c r="AB70" i="27"/>
  <c r="AB75" i="27"/>
  <c r="AA86" i="27" l="1"/>
  <c r="AA87" i="27" s="1"/>
  <c r="AA90" i="27" s="1"/>
  <c r="AA84" i="27"/>
  <c r="AA89" i="27" s="1"/>
  <c r="AA88" i="27"/>
  <c r="AB71" i="27"/>
  <c r="AB72" i="27" s="1"/>
  <c r="AA72" i="27"/>
  <c r="AB78" i="27" l="1"/>
  <c r="AB83" i="27" s="1"/>
  <c r="AB86" i="27" l="1"/>
  <c r="AB87" i="27" s="1"/>
  <c r="AB90" i="27" s="1"/>
  <c r="AB84" i="27"/>
  <c r="AB89" i="27" s="1"/>
  <c r="AB88" i="27"/>
  <c r="AC78" i="27"/>
  <c r="AC83" i="27" s="1"/>
  <c r="AC86" i="27" l="1"/>
  <c r="AC87" i="27" s="1"/>
  <c r="AC90" i="27" s="1"/>
  <c r="AC84" i="27"/>
  <c r="AC89" i="27" s="1"/>
  <c r="AC88" i="27"/>
  <c r="AD78" i="27"/>
  <c r="AD83" i="27" s="1"/>
  <c r="AD86" i="27" l="1"/>
  <c r="AD87" i="27" s="1"/>
  <c r="AD90" i="27" s="1"/>
  <c r="AD84" i="27"/>
  <c r="AD89" i="27" s="1"/>
  <c r="AD88" i="27"/>
  <c r="AE78" i="27"/>
  <c r="AE83" i="27" s="1"/>
  <c r="AE86" i="27" l="1"/>
  <c r="AE87" i="27" s="1"/>
  <c r="AE90" i="27" s="1"/>
  <c r="G28" i="27" s="1"/>
  <c r="A103" i="27" s="1"/>
  <c r="AE88" i="27"/>
  <c r="AE84" i="27"/>
  <c r="AE89" i="27" s="1"/>
  <c r="G27" i="27" s="1"/>
  <c r="D103" i="27" s="1"/>
</calcChain>
</file>

<file path=xl/sharedStrings.xml><?xml version="1.0" encoding="utf-8"?>
<sst xmlns="http://schemas.openxmlformats.org/spreadsheetml/2006/main" count="1393" uniqueCount="611">
  <si>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</si>
  <si>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</si>
  <si>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</si>
  <si>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</si>
  <si>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</si>
  <si>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</si>
  <si>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</si>
  <si>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</si>
  <si>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</si>
  <si>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</si>
  <si>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</si>
  <si>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</si>
  <si>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</si>
  <si>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</si>
  <si>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</si>
  <si>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</si>
  <si>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</si>
  <si>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</si>
  <si>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</si>
  <si>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</si>
  <si>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</si>
  <si>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</si>
  <si>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</si>
  <si>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</si>
  <si>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</si>
  <si>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</si>
  <si>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</si>
  <si>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</si>
  <si>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</si>
  <si>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</si>
  <si>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</si>
  <si>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</si>
  <si>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</si>
  <si>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</si>
  <si>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</si>
  <si>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</si>
  <si>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</si>
  <si>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</si>
  <si>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</si>
  <si>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</si>
  <si>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</si>
  <si>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</si>
  <si>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</si>
  <si>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</si>
  <si>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</si>
  <si>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</si>
  <si>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</si>
  <si>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</si>
  <si>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</si>
  <si>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</si>
  <si>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</si>
  <si>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</si>
  <si>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</si>
  <si>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</si>
  <si>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</si>
  <si>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</si>
  <si>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</si>
  <si>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</si>
  <si>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</si>
  <si>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</si>
  <si>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</si>
  <si>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</si>
  <si>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</si>
  <si>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</si>
  <si>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</si>
  <si>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</si>
  <si>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</si>
  <si>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</si>
  <si>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</si>
  <si>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</si>
  <si>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</si>
  <si>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</si>
  <si>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</si>
  <si>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</si>
  <si>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</si>
  <si>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</si>
  <si>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</si>
  <si>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</si>
  <si>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</si>
  <si>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</si>
  <si>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</si>
  <si>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</si>
  <si>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</si>
  <si>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</si>
  <si>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</si>
  <si>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</si>
  <si>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</si>
  <si>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</si>
  <si>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</si>
  <si>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</si>
  <si>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</si>
  <si>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</si>
  <si>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</si>
  <si>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</si>
  <si>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</si>
  <si>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</si>
  <si>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</si>
  <si>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</si>
  <si>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</si>
  <si>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</si>
  <si>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</si>
  <si>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</si>
  <si>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</si>
  <si>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</si>
  <si>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</si>
  <si>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</si>
  <si>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</si>
  <si>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</si>
  <si>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</si>
  <si>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</si>
  <si>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</si>
  <si>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</si>
  <si>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</si>
  <si>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</si>
  <si>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</si>
  <si>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</si>
  <si>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</si>
  <si>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</si>
  <si>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</si>
  <si>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</si>
  <si>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</si>
  <si>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</si>
  <si>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</si>
  <si>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</si>
  <si>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</si>
  <si>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</si>
  <si>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</si>
  <si>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</si>
  <si>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</si>
  <si>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</si>
  <si>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</si>
  <si>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</si>
  <si>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</si>
  <si>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</si>
  <si>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</si>
  <si>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</si>
  <si>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</si>
  <si>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</si>
  <si>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</si>
  <si>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</si>
  <si>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</si>
  <si>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</si>
  <si>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</si>
  <si>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</si>
  <si>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</si>
  <si>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</si>
  <si>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</si>
  <si>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</si>
  <si>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</si>
  <si>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</si>
  <si>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</si>
  <si>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</si>
  <si>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</si>
  <si>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</si>
  <si>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</si>
  <si>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</si>
  <si>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</si>
  <si>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</si>
  <si>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</si>
  <si>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</si>
  <si>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</si>
  <si>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</si>
  <si>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</si>
  <si>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</si>
  <si>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</si>
  <si>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</si>
  <si>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</si>
  <si>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</si>
  <si>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</si>
  <si>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</si>
  <si>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</si>
  <si>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</si>
  <si>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</si>
  <si>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</si>
  <si>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</si>
  <si>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</si>
  <si>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</si>
  <si>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</si>
  <si>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</si>
  <si>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</si>
  <si>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</si>
  <si>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</si>
  <si>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</si>
  <si>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</si>
  <si>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</si>
  <si>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</si>
  <si>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</si>
  <si>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</si>
  <si>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</si>
  <si>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</si>
  <si>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</si>
  <si>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</si>
  <si>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</si>
  <si>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</si>
  <si>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</si>
  <si>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</si>
  <si>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</si>
  <si>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</si>
  <si>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</si>
  <si>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</si>
  <si>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</si>
  <si>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</si>
  <si>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</si>
  <si>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</si>
  <si>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</si>
  <si>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</si>
  <si>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</si>
  <si>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</si>
  <si>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</si>
  <si>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</si>
  <si>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</si>
  <si>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</si>
  <si>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</si>
  <si>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</si>
  <si>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</si>
  <si>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</si>
  <si>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</si>
  <si>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</si>
  <si>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</si>
  <si>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</si>
  <si>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</si>
  <si>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</si>
  <si>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</si>
  <si>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</si>
  <si>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</si>
  <si>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</si>
  <si>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</si>
  <si>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</si>
  <si>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</si>
  <si>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</si>
  <si>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</si>
  <si>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</si>
  <si>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</si>
  <si>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</si>
  <si>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</si>
  <si>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</si>
  <si>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</si>
  <si>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</si>
  <si>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</si>
  <si>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</si>
  <si>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</si>
  <si>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</si>
  <si>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</si>
  <si>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</si>
  <si>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</si>
  <si>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</si>
  <si>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</si>
  <si>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</si>
  <si>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</si>
  <si>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</si>
  <si>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</si>
  <si>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</si>
  <si>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</si>
  <si>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</si>
  <si>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</si>
  <si>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</si>
  <si>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</si>
  <si>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</si>
  <si>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</si>
  <si>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</si>
  <si>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</si>
  <si>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</si>
  <si>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</si>
  <si>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</si>
  <si>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</si>
  <si>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</si>
  <si>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</si>
  <si>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</si>
  <si>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</si>
  <si>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</si>
  <si>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</si>
  <si>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</si>
  <si>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</si>
  <si>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</si>
  <si>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</si>
  <si>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</si>
  <si>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</si>
  <si>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</si>
  <si>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</si>
  <si>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</si>
  <si>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</si>
  <si>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</si>
  <si>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</si>
  <si>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</si>
  <si>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</si>
  <si>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</si>
  <si>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</si>
  <si>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</si>
  <si>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</si>
  <si>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</si>
  <si>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</si>
  <si>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</si>
  <si>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</si>
  <si>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</si>
  <si>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</si>
  <si>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</si>
  <si>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</si>
  <si>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</si>
  <si>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</si>
  <si>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</si>
  <si>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</si>
  <si>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</si>
  <si>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</si>
  <si>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</si>
  <si>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</si>
  <si>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</si>
  <si>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</si>
  <si>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</si>
  <si>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</si>
  <si>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</si>
  <si>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</si>
  <si>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</si>
  <si>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</si>
  <si>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</si>
  <si>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</si>
  <si>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</si>
  <si>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</si>
  <si>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</si>
  <si>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</si>
  <si>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</si>
  <si>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</si>
  <si>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</si>
  <si>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</si>
  <si>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</si>
  <si>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</si>
  <si>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</si>
  <si>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</si>
  <si>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</si>
  <si>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</si>
  <si>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</si>
  <si>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</si>
  <si>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</si>
  <si>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</si>
  <si>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</si>
  <si>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</si>
  <si>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</si>
  <si>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</si>
  <si>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</si>
  <si>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</si>
  <si>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</si>
  <si>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</si>
  <si>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</si>
  <si>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</si>
  <si>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</si>
  <si>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</si>
  <si>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</si>
  <si>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</si>
  <si>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</si>
  <si>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</si>
  <si>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</si>
  <si>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</si>
  <si>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</si>
  <si>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</si>
  <si>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</si>
  <si>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</si>
  <si>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</si>
  <si>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</si>
  <si>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</si>
  <si>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</si>
  <si>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</si>
  <si>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</si>
  <si>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</si>
  <si>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</si>
  <si>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</si>
  <si>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</si>
  <si>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</si>
  <si>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</si>
  <si>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</si>
  <si>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</si>
  <si>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</si>
  <si>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</si>
  <si>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</si>
  <si>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</si>
  <si>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</si>
  <si>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</si>
  <si>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</si>
  <si>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</si>
  <si>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</si>
  <si>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</si>
  <si>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</si>
  <si>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</si>
  <si>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</si>
  <si>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</si>
  <si>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</si>
  <si>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</si>
  <si>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</si>
  <si>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</si>
  <si>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</si>
  <si>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</si>
  <si>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</si>
  <si>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</si>
  <si>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</si>
  <si>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</si>
  <si>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</si>
  <si>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</si>
  <si>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</si>
  <si>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</si>
  <si>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</si>
  <si>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</si>
  <si>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</si>
  <si>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</si>
  <si>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</si>
  <si>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</si>
  <si>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</si>
  <si>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</si>
  <si>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</si>
  <si>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</si>
  <si>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</si>
  <si>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</si>
  <si>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</si>
  <si>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</si>
  <si>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</si>
  <si>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</si>
  <si>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</si>
  <si>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</si>
  <si>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</si>
  <si>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</si>
  <si>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</si>
  <si>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</si>
  <si>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</si>
  <si>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</si>
  <si>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</si>
  <si>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</si>
  <si>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</si>
  <si>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</si>
  <si>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</si>
  <si>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</si>
  <si>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</si>
  <si>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</si>
  <si>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</si>
  <si>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</si>
  <si>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</si>
  <si>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</si>
  <si>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</si>
  <si>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</si>
  <si>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</si>
  <si>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</si>
  <si>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</si>
  <si>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</si>
  <si>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</si>
  <si>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</si>
  <si>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</si>
  <si>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</si>
  <si>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</si>
  <si>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</si>
  <si>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</si>
  <si>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</si>
  <si>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</si>
  <si>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</si>
  <si>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</si>
  <si>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</si>
  <si>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</si>
  <si>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</si>
  <si>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</si>
  <si>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</si>
  <si>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</si>
  <si>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</si>
  <si>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</si>
  <si>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</si>
  <si>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</si>
  <si>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</si>
  <si>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</si>
  <si>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</si>
  <si>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</si>
  <si>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</si>
  <si>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</si>
  <si>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</si>
  <si>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</si>
  <si>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</si>
  <si>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</si>
  <si>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</si>
  <si>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</si>
  <si>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</si>
  <si>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</si>
  <si>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</si>
  <si>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</si>
  <si>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</si>
  <si>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</si>
  <si>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</si>
  <si>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</si>
  <si>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</si>
  <si>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</si>
  <si>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</si>
  <si>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</si>
  <si>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</si>
  <si>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</si>
  <si>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</si>
  <si>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</si>
  <si>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</si>
  <si>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</si>
  <si>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</si>
  <si>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</si>
  <si>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</si>
  <si>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</si>
  <si>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</si>
  <si>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</si>
  <si>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</si>
  <si>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</si>
  <si>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</si>
  <si>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</si>
  <si>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</si>
  <si>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</si>
  <si>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</si>
  <si>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</si>
  <si>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</si>
  <si>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</si>
  <si>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</si>
  <si>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</si>
  <si>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</si>
  <si>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</si>
  <si>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</si>
  <si>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</si>
  <si>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</si>
  <si>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</si>
  <si>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</si>
  <si>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</si>
  <si>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</si>
  <si>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</si>
  <si>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</si>
  <si>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</si>
  <si>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</si>
  <si>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</si>
  <si>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</si>
  <si>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</si>
  <si>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</si>
  <si>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</si>
  <si>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</si>
  <si>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</si>
  <si>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</si>
  <si>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</si>
  <si>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</si>
  <si>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</si>
  <si>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</si>
  <si>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</si>
  <si>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</si>
  <si>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</si>
  <si>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</si>
  <si>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</si>
  <si>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</si>
  <si>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</si>
  <si>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</si>
  <si>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</si>
  <si>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</si>
  <si>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</si>
  <si>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</si>
  <si>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</si>
  <si>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</si>
  <si>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Год раскрытия информации: 2022 год</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</si>
  <si>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</si>
  <si>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</si>
  <si>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</si>
  <si>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</si>
  <si>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</si>
  <si>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</si>
  <si>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</si>
  <si>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</si>
  <si>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</si>
  <si>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</si>
  <si>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</si>
  <si>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</si>
  <si>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</si>
  <si>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</si>
  <si>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</si>
  <si>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</si>
  <si>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</si>
  <si>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</si>
  <si>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</si>
  <si>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</si>
  <si>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</si>
  <si>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</si>
  <si>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</si>
  <si>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</si>
  <si>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</si>
  <si>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</si>
  <si>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</si>
  <si>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</si>
  <si>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</si>
  <si>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</si>
  <si>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</si>
  <si>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</si>
  <si>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</si>
  <si>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</si>
  <si>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</si>
  <si>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</si>
  <si>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</si>
  <si>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</si>
  <si>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</si>
  <si>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</si>
  <si>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</si>
  <si>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</si>
  <si>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</si>
  <si>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</si>
  <si>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</si>
  <si>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</si>
  <si>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</si>
  <si>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</si>
  <si>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</si>
  <si>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</si>
  <si>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</si>
  <si>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</si>
  <si>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</si>
  <si>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</si>
  <si>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</si>
  <si>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</si>
  <si>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</si>
  <si>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</si>
  <si>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Обновление автомобильного парка специальной  техники</t>
  </si>
  <si>
    <t>Приобретение автокрана на базе КАМАЗ 43118</t>
  </si>
  <si>
    <t>M 22-08</t>
  </si>
  <si>
    <t>Приобретение автокрана на базе КАМАЗ 43118  4,3 млн рублей без НДС</t>
  </si>
  <si>
    <t>договор от 268.10.2021 №04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</si>
</sst>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39"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173" fontId="11" fillId="0" borderId="45" xfId="2" applyNumberFormat="1" applyFont="1" applyFill="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Fill="1" applyBorder="1" applyAlignment="1">
      <alignment horizontal="justify"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zoomScaleSheetLayoutView="100" workbookViewId="0">
      <selection activeCell="A15" sqref="A15:C15"/>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404" t="s">
        <v>547</v>
      </c>
      <c r="B5" s="404"/>
      <c r="C5" s="404"/>
      <c r="D5" s="147"/>
      <c r="E5" s="147"/>
      <c r="F5" s="147"/>
      <c r="G5" s="147"/>
      <c r="H5" s="147"/>
      <c r="I5" s="147"/>
      <c r="J5" s="147"/>
    </row>
    <row r="6" spans="1:22" s="15" customFormat="1" ht="18.75" x14ac:dyDescent="0.3">
      <c r="A6" s="163"/>
      <c r="H6" s="162"/>
    </row>
    <row r="7" spans="1:22" s="15" customFormat="1" ht="18.75" x14ac:dyDescent="0.2">
      <c r="A7" s="408" t="s">
        <v>7</v>
      </c>
      <c r="B7" s="408"/>
      <c r="C7" s="408"/>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09" t="s">
        <v>548</v>
      </c>
      <c r="B9" s="409"/>
      <c r="C9" s="409"/>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5" t="s">
        <v>6</v>
      </c>
      <c r="B10" s="405"/>
      <c r="C10" s="405"/>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7" t="s">
        <v>608</v>
      </c>
      <c r="B12" s="407"/>
      <c r="C12" s="407"/>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5" t="s">
        <v>5</v>
      </c>
      <c r="B13" s="405"/>
      <c r="C13" s="405"/>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10" t="s">
        <v>607</v>
      </c>
      <c r="B15" s="410"/>
      <c r="C15" s="410"/>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5" t="s">
        <v>4</v>
      </c>
      <c r="B16" s="405"/>
      <c r="C16" s="405"/>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6" t="s">
        <v>494</v>
      </c>
      <c r="B18" s="407"/>
      <c r="C18" s="407"/>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530</v>
      </c>
      <c r="C23" s="144" t="s">
        <v>605</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401"/>
      <c r="B24" s="402"/>
      <c r="C24" s="403"/>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537</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531</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401"/>
      <c r="B39" s="402"/>
      <c r="C39" s="403"/>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s">
        <v>526</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401"/>
      <c r="B47" s="402"/>
      <c r="C47" s="403"/>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533</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533</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ввод'!AC27,2)," млн.рублей")</f>
        <v>5,16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ввод'!AC33,2)," млн.рублей")</f>
        <v>4,3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20" zoomScale="80" zoomScaleNormal="80" zoomScaleSheetLayoutView="70" workbookViewId="0">
      <pane xSplit="4" ySplit="5" topLeftCell="H25" activePane="bottomRight" state="frozen"/>
      <selection activeCell="A20" sqref="A20"/>
      <selection pane="topRight" activeCell="E20" sqref="E20"/>
      <selection pane="bottomLeft" activeCell="A25" sqref="A25"/>
      <selection pane="bottomRight" activeCell="Z24" sqref="Z24"/>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59"/>
      <c r="B5" s="59"/>
      <c r="C5" s="59"/>
      <c r="D5" s="59"/>
      <c r="E5" s="59"/>
      <c r="F5" s="59"/>
      <c r="AC5" s="14"/>
    </row>
    <row r="6" spans="1:29"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3" t="str">
        <f>'1. паспорт местоположение'!A9:C9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3" t="str">
        <f>'1. паспорт местоположение'!A12:C12</f>
        <v>M 22-08</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19" t="str">
        <f>'1. паспорт местоположение'!A15</f>
        <v>Приобретение автокрана на базе КАМАЗ 43118</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row>
    <row r="17" spans="1:32" x14ac:dyDescent="0.25">
      <c r="A17" s="59"/>
      <c r="AB17" s="59"/>
    </row>
    <row r="18" spans="1:32" x14ac:dyDescent="0.25">
      <c r="A18" s="484" t="s">
        <v>479</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row>
    <row r="19" spans="1:32" x14ac:dyDescent="0.25">
      <c r="A19" s="59"/>
      <c r="B19" s="59"/>
      <c r="C19" s="59"/>
      <c r="D19" s="59"/>
      <c r="E19" s="59"/>
      <c r="F19" s="59"/>
      <c r="AB19" s="59"/>
    </row>
    <row r="20" spans="1:32" ht="33" customHeight="1" x14ac:dyDescent="0.25">
      <c r="A20" s="485" t="s">
        <v>182</v>
      </c>
      <c r="B20" s="485" t="s">
        <v>181</v>
      </c>
      <c r="C20" s="490" t="s">
        <v>180</v>
      </c>
      <c r="D20" s="490"/>
      <c r="E20" s="491" t="s">
        <v>179</v>
      </c>
      <c r="F20" s="491"/>
      <c r="G20" s="485" t="s">
        <v>552</v>
      </c>
      <c r="H20" s="488" t="s">
        <v>551</v>
      </c>
      <c r="I20" s="489"/>
      <c r="J20" s="489"/>
      <c r="K20" s="489"/>
      <c r="L20" s="488" t="s">
        <v>539</v>
      </c>
      <c r="M20" s="489"/>
      <c r="N20" s="489"/>
      <c r="O20" s="489"/>
      <c r="P20" s="488" t="s">
        <v>538</v>
      </c>
      <c r="Q20" s="489"/>
      <c r="R20" s="489"/>
      <c r="S20" s="489"/>
      <c r="T20" s="488" t="s">
        <v>542</v>
      </c>
      <c r="U20" s="489"/>
      <c r="V20" s="489"/>
      <c r="W20" s="489"/>
      <c r="X20" s="488" t="s">
        <v>604</v>
      </c>
      <c r="Y20" s="489"/>
      <c r="Z20" s="489"/>
      <c r="AA20" s="489"/>
      <c r="AB20" s="482" t="s">
        <v>178</v>
      </c>
      <c r="AC20" s="482"/>
      <c r="AD20" s="69"/>
      <c r="AE20" s="69"/>
      <c r="AF20" s="69"/>
    </row>
    <row r="21" spans="1:32" ht="99.75" customHeight="1" x14ac:dyDescent="0.25">
      <c r="A21" s="486"/>
      <c r="B21" s="486"/>
      <c r="C21" s="490"/>
      <c r="D21" s="490"/>
      <c r="E21" s="491"/>
      <c r="F21" s="491"/>
      <c r="G21" s="486"/>
      <c r="H21" s="490" t="s">
        <v>2</v>
      </c>
      <c r="I21" s="490"/>
      <c r="J21" s="490" t="s">
        <v>553</v>
      </c>
      <c r="K21" s="490"/>
      <c r="L21" s="490" t="s">
        <v>2</v>
      </c>
      <c r="M21" s="490"/>
      <c r="N21" s="490" t="s">
        <v>553</v>
      </c>
      <c r="O21" s="490"/>
      <c r="P21" s="490" t="s">
        <v>2</v>
      </c>
      <c r="Q21" s="490"/>
      <c r="R21" s="490" t="s">
        <v>177</v>
      </c>
      <c r="S21" s="490"/>
      <c r="T21" s="490" t="s">
        <v>2</v>
      </c>
      <c r="U21" s="490"/>
      <c r="V21" s="490" t="s">
        <v>177</v>
      </c>
      <c r="W21" s="490"/>
      <c r="X21" s="490" t="s">
        <v>2</v>
      </c>
      <c r="Y21" s="490"/>
      <c r="Z21" s="490" t="s">
        <v>177</v>
      </c>
      <c r="AA21" s="490"/>
      <c r="AB21" s="482"/>
      <c r="AC21" s="482"/>
    </row>
    <row r="22" spans="1:32" ht="89.25" customHeight="1" x14ac:dyDescent="0.25">
      <c r="A22" s="487"/>
      <c r="B22" s="487"/>
      <c r="C22" s="213" t="s">
        <v>2</v>
      </c>
      <c r="D22" s="213" t="s">
        <v>177</v>
      </c>
      <c r="E22" s="192" t="s">
        <v>550</v>
      </c>
      <c r="F22" s="192" t="s">
        <v>549</v>
      </c>
      <c r="G22" s="487"/>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543</v>
      </c>
      <c r="AC22" s="213" t="s">
        <v>177</v>
      </c>
    </row>
    <row r="23" spans="1:32" ht="19.5" customHeight="1" x14ac:dyDescent="0.25">
      <c r="A23" s="224">
        <v>1</v>
      </c>
      <c r="B23" s="224">
        <v>2</v>
      </c>
      <c r="C23" s="224">
        <v>3</v>
      </c>
      <c r="D23" s="224">
        <v>4</v>
      </c>
      <c r="E23" s="224">
        <v>5</v>
      </c>
      <c r="F23" s="224">
        <v>6</v>
      </c>
      <c r="G23" s="224">
        <v>7</v>
      </c>
      <c r="H23" s="257">
        <f>G23+1</f>
        <v>8</v>
      </c>
      <c r="I23" s="257">
        <f t="shared" ref="I23:AC23" si="0">H23+1</f>
        <v>9</v>
      </c>
      <c r="J23" s="257">
        <f t="shared" si="0"/>
        <v>10</v>
      </c>
      <c r="K23" s="257">
        <f t="shared" si="0"/>
        <v>11</v>
      </c>
      <c r="L23" s="257">
        <f t="shared" si="0"/>
        <v>12</v>
      </c>
      <c r="M23" s="257">
        <f t="shared" si="0"/>
        <v>13</v>
      </c>
      <c r="N23" s="257">
        <f t="shared" si="0"/>
        <v>14</v>
      </c>
      <c r="O23" s="257">
        <f t="shared" si="0"/>
        <v>15</v>
      </c>
      <c r="P23" s="257">
        <f t="shared" si="0"/>
        <v>16</v>
      </c>
      <c r="Q23" s="257">
        <f t="shared" si="0"/>
        <v>17</v>
      </c>
      <c r="R23" s="257">
        <f t="shared" si="0"/>
        <v>18</v>
      </c>
      <c r="S23" s="257">
        <f t="shared" si="0"/>
        <v>19</v>
      </c>
      <c r="T23" s="257">
        <f t="shared" si="0"/>
        <v>20</v>
      </c>
      <c r="U23" s="257">
        <f t="shared" si="0"/>
        <v>21</v>
      </c>
      <c r="V23" s="257">
        <f t="shared" si="0"/>
        <v>22</v>
      </c>
      <c r="W23" s="257">
        <f t="shared" si="0"/>
        <v>23</v>
      </c>
      <c r="X23" s="257">
        <f t="shared" si="0"/>
        <v>24</v>
      </c>
      <c r="Y23" s="257">
        <f t="shared" si="0"/>
        <v>25</v>
      </c>
      <c r="Z23" s="257">
        <f t="shared" si="0"/>
        <v>26</v>
      </c>
      <c r="AA23" s="257">
        <f t="shared" si="0"/>
        <v>27</v>
      </c>
      <c r="AB23" s="257">
        <f t="shared" si="0"/>
        <v>28</v>
      </c>
      <c r="AC23" s="257">
        <f t="shared" si="0"/>
        <v>29</v>
      </c>
    </row>
    <row r="24" spans="1:32" ht="47.25" customHeight="1" x14ac:dyDescent="0.25">
      <c r="A24" s="225">
        <v>1</v>
      </c>
      <c r="B24" s="226" t="s">
        <v>176</v>
      </c>
      <c r="C24" s="227" t="s">
        <v>526</v>
      </c>
      <c r="D24" s="227">
        <v>5.1599999999999993</v>
      </c>
      <c r="E24" s="227">
        <f t="shared" ref="E24:W24" si="1">SUM(E25:E29)</f>
        <v>0</v>
      </c>
      <c r="F24" s="227">
        <f>D24</f>
        <v>5.1599999999999993</v>
      </c>
      <c r="G24" s="227">
        <f t="shared" si="1"/>
        <v>0</v>
      </c>
      <c r="H24" s="227" t="s">
        <v>526</v>
      </c>
      <c r="I24" s="227">
        <v>0</v>
      </c>
      <c r="J24" s="227">
        <v>0</v>
      </c>
      <c r="K24" s="227">
        <v>0</v>
      </c>
      <c r="L24" s="227" t="s">
        <v>526</v>
      </c>
      <c r="M24" s="227">
        <f t="shared" si="1"/>
        <v>0</v>
      </c>
      <c r="N24" s="227">
        <f t="shared" si="1"/>
        <v>0</v>
      </c>
      <c r="O24" s="227">
        <f t="shared" si="1"/>
        <v>0</v>
      </c>
      <c r="P24" s="227" t="s">
        <v>526</v>
      </c>
      <c r="Q24" s="227">
        <f t="shared" si="1"/>
        <v>0</v>
      </c>
      <c r="R24" s="227">
        <f>R25+R26+R27+R28+R29</f>
        <v>0.77749999999999997</v>
      </c>
      <c r="S24" s="227">
        <f t="shared" si="1"/>
        <v>0</v>
      </c>
      <c r="T24" s="227" t="s">
        <v>526</v>
      </c>
      <c r="U24" s="227">
        <f t="shared" si="1"/>
        <v>0</v>
      </c>
      <c r="V24" s="227">
        <f t="shared" si="1"/>
        <v>1.7262499999999998</v>
      </c>
      <c r="W24" s="227">
        <f t="shared" si="1"/>
        <v>0</v>
      </c>
      <c r="X24" s="227" t="s">
        <v>526</v>
      </c>
      <c r="Y24" s="227">
        <v>0</v>
      </c>
      <c r="Z24" s="227">
        <f>SUM(Z25:Z29)</f>
        <v>2.6562499999999996</v>
      </c>
      <c r="AA24" s="227">
        <v>0</v>
      </c>
      <c r="AB24" s="227" t="s">
        <v>526</v>
      </c>
      <c r="AC24" s="228">
        <f>N24+R24+V24+Z24</f>
        <v>5.1599999999999993</v>
      </c>
    </row>
    <row r="25" spans="1:32" ht="24" customHeight="1" x14ac:dyDescent="0.25">
      <c r="A25" s="229" t="s">
        <v>175</v>
      </c>
      <c r="B25" s="230" t="s">
        <v>174</v>
      </c>
      <c r="C25" s="227" t="s">
        <v>526</v>
      </c>
      <c r="D25" s="227">
        <v>0</v>
      </c>
      <c r="E25" s="231" t="str">
        <f>C25</f>
        <v>нд</v>
      </c>
      <c r="F25" s="227">
        <f t="shared" ref="F25:F64" si="2">D25</f>
        <v>0</v>
      </c>
      <c r="G25" s="232">
        <v>0</v>
      </c>
      <c r="H25" s="227" t="s">
        <v>526</v>
      </c>
      <c r="I25" s="250">
        <v>0</v>
      </c>
      <c r="J25" s="250">
        <v>0</v>
      </c>
      <c r="K25" s="250">
        <v>0</v>
      </c>
      <c r="L25" s="227" t="s">
        <v>526</v>
      </c>
      <c r="M25" s="232">
        <v>0</v>
      </c>
      <c r="N25" s="232">
        <v>0</v>
      </c>
      <c r="O25" s="232">
        <v>0</v>
      </c>
      <c r="P25" s="227" t="s">
        <v>526</v>
      </c>
      <c r="Q25" s="232">
        <v>0</v>
      </c>
      <c r="R25" s="227">
        <f t="shared" ref="R25:R64" si="3">D25</f>
        <v>0</v>
      </c>
      <c r="S25" s="232">
        <v>0</v>
      </c>
      <c r="T25" s="227" t="s">
        <v>526</v>
      </c>
      <c r="U25" s="232">
        <v>0</v>
      </c>
      <c r="V25" s="232">
        <v>0</v>
      </c>
      <c r="W25" s="232">
        <v>0</v>
      </c>
      <c r="X25" s="227" t="s">
        <v>526</v>
      </c>
      <c r="Y25" s="250">
        <v>0</v>
      </c>
      <c r="Z25" s="250">
        <v>0</v>
      </c>
      <c r="AA25" s="250">
        <v>0</v>
      </c>
      <c r="AB25" s="227" t="s">
        <v>526</v>
      </c>
      <c r="AC25" s="228">
        <f t="shared" ref="AC25:AC64" si="4">N25+R25+V25+Z25</f>
        <v>0</v>
      </c>
    </row>
    <row r="26" spans="1:32" x14ac:dyDescent="0.25">
      <c r="A26" s="229" t="s">
        <v>173</v>
      </c>
      <c r="B26" s="230" t="s">
        <v>172</v>
      </c>
      <c r="C26" s="227" t="s">
        <v>526</v>
      </c>
      <c r="D26" s="227">
        <v>0</v>
      </c>
      <c r="E26" s="232" t="str">
        <f t="shared" ref="E26:E64" si="5">C26</f>
        <v>нд</v>
      </c>
      <c r="F26" s="227">
        <f t="shared" si="2"/>
        <v>0</v>
      </c>
      <c r="G26" s="232">
        <v>0</v>
      </c>
      <c r="H26" s="227" t="s">
        <v>526</v>
      </c>
      <c r="I26" s="250">
        <v>0</v>
      </c>
      <c r="J26" s="250">
        <v>0</v>
      </c>
      <c r="K26" s="250">
        <v>0</v>
      </c>
      <c r="L26" s="227" t="s">
        <v>526</v>
      </c>
      <c r="M26" s="232">
        <v>0</v>
      </c>
      <c r="N26" s="232">
        <v>0</v>
      </c>
      <c r="O26" s="232">
        <v>0</v>
      </c>
      <c r="P26" s="227" t="s">
        <v>526</v>
      </c>
      <c r="Q26" s="232">
        <v>0</v>
      </c>
      <c r="R26" s="227">
        <f t="shared" si="3"/>
        <v>0</v>
      </c>
      <c r="S26" s="232">
        <v>0</v>
      </c>
      <c r="T26" s="227" t="s">
        <v>526</v>
      </c>
      <c r="U26" s="232">
        <v>0</v>
      </c>
      <c r="V26" s="232">
        <v>0</v>
      </c>
      <c r="W26" s="232">
        <v>0</v>
      </c>
      <c r="X26" s="227" t="s">
        <v>526</v>
      </c>
      <c r="Y26" s="250">
        <v>0</v>
      </c>
      <c r="Z26" s="250">
        <v>0</v>
      </c>
      <c r="AA26" s="250">
        <v>0</v>
      </c>
      <c r="AB26" s="227" t="s">
        <v>526</v>
      </c>
      <c r="AC26" s="228">
        <f t="shared" si="4"/>
        <v>0</v>
      </c>
    </row>
    <row r="27" spans="1:32" ht="31.5" x14ac:dyDescent="0.25">
      <c r="A27" s="229" t="s">
        <v>171</v>
      </c>
      <c r="B27" s="230" t="s">
        <v>416</v>
      </c>
      <c r="C27" s="227" t="s">
        <v>526</v>
      </c>
      <c r="D27" s="227">
        <v>5.1599999999999993</v>
      </c>
      <c r="E27" s="232" t="str">
        <f t="shared" si="5"/>
        <v>нд</v>
      </c>
      <c r="F27" s="227">
        <f t="shared" si="2"/>
        <v>5.1599999999999993</v>
      </c>
      <c r="G27" s="232">
        <v>0</v>
      </c>
      <c r="H27" s="227" t="s">
        <v>526</v>
      </c>
      <c r="I27" s="250">
        <v>0</v>
      </c>
      <c r="J27" s="250">
        <v>0</v>
      </c>
      <c r="K27" s="250">
        <v>0</v>
      </c>
      <c r="L27" s="227" t="s">
        <v>526</v>
      </c>
      <c r="M27" s="232">
        <v>0</v>
      </c>
      <c r="N27" s="232">
        <v>0</v>
      </c>
      <c r="O27" s="232">
        <v>0</v>
      </c>
      <c r="P27" s="227" t="s">
        <v>526</v>
      </c>
      <c r="Q27" s="232">
        <v>0</v>
      </c>
      <c r="R27" s="227">
        <v>0.77749999999999997</v>
      </c>
      <c r="S27" s="232">
        <v>0</v>
      </c>
      <c r="T27" s="227" t="s">
        <v>526</v>
      </c>
      <c r="U27" s="232">
        <v>0</v>
      </c>
      <c r="V27" s="232">
        <v>1.7262499999999998</v>
      </c>
      <c r="W27" s="232">
        <v>0</v>
      </c>
      <c r="X27" s="227" t="s">
        <v>526</v>
      </c>
      <c r="Y27" s="250">
        <v>0</v>
      </c>
      <c r="Z27" s="250">
        <v>2.6562499999999996</v>
      </c>
      <c r="AA27" s="250">
        <v>0</v>
      </c>
      <c r="AB27" s="227" t="s">
        <v>526</v>
      </c>
      <c r="AC27" s="228">
        <f t="shared" si="4"/>
        <v>5.1599999999999993</v>
      </c>
    </row>
    <row r="28" spans="1:32" x14ac:dyDescent="0.25">
      <c r="A28" s="229" t="s">
        <v>170</v>
      </c>
      <c r="B28" s="230" t="s">
        <v>169</v>
      </c>
      <c r="C28" s="227" t="s">
        <v>526</v>
      </c>
      <c r="D28" s="227">
        <v>0</v>
      </c>
      <c r="E28" s="232" t="str">
        <f t="shared" si="5"/>
        <v>нд</v>
      </c>
      <c r="F28" s="227">
        <f t="shared" si="2"/>
        <v>0</v>
      </c>
      <c r="G28" s="232">
        <v>0</v>
      </c>
      <c r="H28" s="227" t="s">
        <v>526</v>
      </c>
      <c r="I28" s="250">
        <v>0</v>
      </c>
      <c r="J28" s="250">
        <v>0</v>
      </c>
      <c r="K28" s="250">
        <v>0</v>
      </c>
      <c r="L28" s="227" t="s">
        <v>526</v>
      </c>
      <c r="M28" s="232">
        <v>0</v>
      </c>
      <c r="N28" s="232">
        <v>0</v>
      </c>
      <c r="O28" s="232">
        <v>0</v>
      </c>
      <c r="P28" s="227" t="s">
        <v>526</v>
      </c>
      <c r="Q28" s="232">
        <v>0</v>
      </c>
      <c r="R28" s="227">
        <f t="shared" si="3"/>
        <v>0</v>
      </c>
      <c r="S28" s="232">
        <v>0</v>
      </c>
      <c r="T28" s="227" t="s">
        <v>526</v>
      </c>
      <c r="U28" s="232">
        <v>0</v>
      </c>
      <c r="V28" s="232">
        <v>0</v>
      </c>
      <c r="W28" s="232">
        <v>0</v>
      </c>
      <c r="X28" s="227" t="s">
        <v>526</v>
      </c>
      <c r="Y28" s="250">
        <v>0</v>
      </c>
      <c r="Z28" s="250">
        <v>0</v>
      </c>
      <c r="AA28" s="250">
        <v>0</v>
      </c>
      <c r="AB28" s="227" t="s">
        <v>526</v>
      </c>
      <c r="AC28" s="228">
        <f t="shared" si="4"/>
        <v>0</v>
      </c>
    </row>
    <row r="29" spans="1:32" x14ac:dyDescent="0.25">
      <c r="A29" s="229" t="s">
        <v>168</v>
      </c>
      <c r="B29" s="68" t="s">
        <v>167</v>
      </c>
      <c r="C29" s="227" t="s">
        <v>526</v>
      </c>
      <c r="D29" s="227">
        <v>0</v>
      </c>
      <c r="E29" s="232" t="str">
        <f t="shared" si="5"/>
        <v>нд</v>
      </c>
      <c r="F29" s="227">
        <f t="shared" si="2"/>
        <v>0</v>
      </c>
      <c r="G29" s="232">
        <v>0</v>
      </c>
      <c r="H29" s="227" t="s">
        <v>526</v>
      </c>
      <c r="I29" s="250">
        <v>0</v>
      </c>
      <c r="J29" s="250">
        <v>0</v>
      </c>
      <c r="K29" s="250">
        <v>0</v>
      </c>
      <c r="L29" s="227" t="s">
        <v>526</v>
      </c>
      <c r="M29" s="232">
        <v>0</v>
      </c>
      <c r="N29" s="232">
        <v>0</v>
      </c>
      <c r="O29" s="232">
        <v>0</v>
      </c>
      <c r="P29" s="227" t="s">
        <v>526</v>
      </c>
      <c r="Q29" s="232">
        <v>0</v>
      </c>
      <c r="R29" s="227">
        <f t="shared" si="3"/>
        <v>0</v>
      </c>
      <c r="S29" s="232">
        <v>0</v>
      </c>
      <c r="T29" s="227" t="s">
        <v>526</v>
      </c>
      <c r="U29" s="232">
        <v>0</v>
      </c>
      <c r="V29" s="232">
        <v>0</v>
      </c>
      <c r="W29" s="232">
        <v>0</v>
      </c>
      <c r="X29" s="227" t="s">
        <v>526</v>
      </c>
      <c r="Y29" s="250">
        <v>0</v>
      </c>
      <c r="Z29" s="250">
        <v>0</v>
      </c>
      <c r="AA29" s="250">
        <v>0</v>
      </c>
      <c r="AB29" s="227" t="s">
        <v>526</v>
      </c>
      <c r="AC29" s="228">
        <f t="shared" si="4"/>
        <v>0</v>
      </c>
    </row>
    <row r="30" spans="1:32" ht="47.25" x14ac:dyDescent="0.25">
      <c r="A30" s="225" t="s">
        <v>61</v>
      </c>
      <c r="B30" s="226" t="s">
        <v>166</v>
      </c>
      <c r="C30" s="227" t="s">
        <v>526</v>
      </c>
      <c r="D30" s="227">
        <v>4.3</v>
      </c>
      <c r="E30" s="227" t="str">
        <f t="shared" si="5"/>
        <v>нд</v>
      </c>
      <c r="F30" s="227">
        <f t="shared" si="2"/>
        <v>4.3</v>
      </c>
      <c r="G30" s="227">
        <f>SUM(G31:G34)</f>
        <v>0</v>
      </c>
      <c r="H30" s="227" t="s">
        <v>526</v>
      </c>
      <c r="I30" s="227">
        <v>0</v>
      </c>
      <c r="J30" s="227">
        <v>0</v>
      </c>
      <c r="K30" s="227">
        <v>0</v>
      </c>
      <c r="L30" s="227" t="s">
        <v>526</v>
      </c>
      <c r="M30" s="227">
        <f t="shared" ref="M30:W30" si="6">SUM(M31:M34)</f>
        <v>0</v>
      </c>
      <c r="N30" s="227">
        <f t="shared" si="6"/>
        <v>0</v>
      </c>
      <c r="O30" s="227">
        <f t="shared" si="6"/>
        <v>0</v>
      </c>
      <c r="P30" s="227" t="s">
        <v>526</v>
      </c>
      <c r="Q30" s="227">
        <f t="shared" si="6"/>
        <v>0</v>
      </c>
      <c r="R30" s="227">
        <f>R31+R32+R33+R34</f>
        <v>4.3</v>
      </c>
      <c r="S30" s="227">
        <f t="shared" si="6"/>
        <v>0</v>
      </c>
      <c r="T30" s="227" t="s">
        <v>526</v>
      </c>
      <c r="U30" s="227">
        <f t="shared" si="6"/>
        <v>0</v>
      </c>
      <c r="V30" s="227">
        <f t="shared" si="6"/>
        <v>0</v>
      </c>
      <c r="W30" s="227">
        <f t="shared" si="6"/>
        <v>0</v>
      </c>
      <c r="X30" s="227" t="s">
        <v>526</v>
      </c>
      <c r="Y30" s="227">
        <v>0</v>
      </c>
      <c r="Z30" s="227">
        <v>0</v>
      </c>
      <c r="AA30" s="227">
        <v>0</v>
      </c>
      <c r="AB30" s="227" t="s">
        <v>526</v>
      </c>
      <c r="AC30" s="228">
        <f t="shared" si="4"/>
        <v>4.3</v>
      </c>
    </row>
    <row r="31" spans="1:32" x14ac:dyDescent="0.25">
      <c r="A31" s="225" t="s">
        <v>165</v>
      </c>
      <c r="B31" s="230" t="s">
        <v>164</v>
      </c>
      <c r="C31" s="227" t="s">
        <v>526</v>
      </c>
      <c r="D31" s="227">
        <v>0</v>
      </c>
      <c r="E31" s="232" t="str">
        <f t="shared" si="5"/>
        <v>нд</v>
      </c>
      <c r="F31" s="227">
        <f t="shared" si="2"/>
        <v>0</v>
      </c>
      <c r="G31" s="232">
        <v>0</v>
      </c>
      <c r="H31" s="227" t="s">
        <v>526</v>
      </c>
      <c r="I31" s="250">
        <v>0</v>
      </c>
      <c r="J31" s="250">
        <v>0</v>
      </c>
      <c r="K31" s="250">
        <v>0</v>
      </c>
      <c r="L31" s="227" t="s">
        <v>526</v>
      </c>
      <c r="M31" s="232">
        <v>0</v>
      </c>
      <c r="N31" s="232">
        <v>0</v>
      </c>
      <c r="O31" s="232">
        <v>0</v>
      </c>
      <c r="P31" s="227" t="s">
        <v>526</v>
      </c>
      <c r="Q31" s="232">
        <v>0</v>
      </c>
      <c r="R31" s="227">
        <f t="shared" si="3"/>
        <v>0</v>
      </c>
      <c r="S31" s="232">
        <v>0</v>
      </c>
      <c r="T31" s="227" t="s">
        <v>526</v>
      </c>
      <c r="U31" s="232">
        <v>0</v>
      </c>
      <c r="V31" s="232">
        <v>0</v>
      </c>
      <c r="W31" s="232">
        <v>0</v>
      </c>
      <c r="X31" s="227" t="s">
        <v>526</v>
      </c>
      <c r="Y31" s="250">
        <v>0</v>
      </c>
      <c r="Z31" s="250">
        <v>0</v>
      </c>
      <c r="AA31" s="250">
        <v>0</v>
      </c>
      <c r="AB31" s="227" t="s">
        <v>526</v>
      </c>
      <c r="AC31" s="228">
        <f t="shared" si="4"/>
        <v>0</v>
      </c>
    </row>
    <row r="32" spans="1:32" ht="31.5" x14ac:dyDescent="0.25">
      <c r="A32" s="225" t="s">
        <v>163</v>
      </c>
      <c r="B32" s="230" t="s">
        <v>162</v>
      </c>
      <c r="C32" s="227" t="s">
        <v>526</v>
      </c>
      <c r="D32" s="227">
        <v>0</v>
      </c>
      <c r="E32" s="232" t="str">
        <f t="shared" si="5"/>
        <v>нд</v>
      </c>
      <c r="F32" s="227">
        <f t="shared" si="2"/>
        <v>0</v>
      </c>
      <c r="G32" s="232">
        <v>0</v>
      </c>
      <c r="H32" s="227" t="s">
        <v>526</v>
      </c>
      <c r="I32" s="250">
        <v>0</v>
      </c>
      <c r="J32" s="250">
        <v>0</v>
      </c>
      <c r="K32" s="250">
        <v>0</v>
      </c>
      <c r="L32" s="227" t="s">
        <v>526</v>
      </c>
      <c r="M32" s="232">
        <v>0</v>
      </c>
      <c r="N32" s="232">
        <v>0</v>
      </c>
      <c r="O32" s="232">
        <v>0</v>
      </c>
      <c r="P32" s="227" t="s">
        <v>526</v>
      </c>
      <c r="Q32" s="232">
        <v>0</v>
      </c>
      <c r="R32" s="227">
        <f t="shared" si="3"/>
        <v>0</v>
      </c>
      <c r="S32" s="232">
        <v>0</v>
      </c>
      <c r="T32" s="227" t="s">
        <v>526</v>
      </c>
      <c r="U32" s="232">
        <v>0</v>
      </c>
      <c r="V32" s="232">
        <v>0</v>
      </c>
      <c r="W32" s="232">
        <v>0</v>
      </c>
      <c r="X32" s="227" t="s">
        <v>526</v>
      </c>
      <c r="Y32" s="250">
        <v>0</v>
      </c>
      <c r="Z32" s="250">
        <v>0</v>
      </c>
      <c r="AA32" s="250">
        <v>0</v>
      </c>
      <c r="AB32" s="227" t="s">
        <v>526</v>
      </c>
      <c r="AC32" s="228">
        <f t="shared" si="4"/>
        <v>0</v>
      </c>
    </row>
    <row r="33" spans="1:29" x14ac:dyDescent="0.25">
      <c r="A33" s="225" t="s">
        <v>161</v>
      </c>
      <c r="B33" s="230" t="s">
        <v>160</v>
      </c>
      <c r="C33" s="227" t="s">
        <v>526</v>
      </c>
      <c r="D33" s="227">
        <v>4.3</v>
      </c>
      <c r="E33" s="232" t="str">
        <f t="shared" si="5"/>
        <v>нд</v>
      </c>
      <c r="F33" s="227">
        <f t="shared" si="2"/>
        <v>4.3</v>
      </c>
      <c r="G33" s="232">
        <v>0</v>
      </c>
      <c r="H33" s="227" t="s">
        <v>526</v>
      </c>
      <c r="I33" s="250">
        <v>0</v>
      </c>
      <c r="J33" s="250">
        <v>0</v>
      </c>
      <c r="K33" s="250">
        <v>0</v>
      </c>
      <c r="L33" s="227" t="s">
        <v>526</v>
      </c>
      <c r="M33" s="232">
        <v>0</v>
      </c>
      <c r="N33" s="232">
        <v>0</v>
      </c>
      <c r="O33" s="232">
        <v>0</v>
      </c>
      <c r="P33" s="227" t="s">
        <v>526</v>
      </c>
      <c r="Q33" s="232">
        <v>0</v>
      </c>
      <c r="R33" s="227">
        <v>4.3</v>
      </c>
      <c r="S33" s="232">
        <v>0</v>
      </c>
      <c r="T33" s="227" t="s">
        <v>526</v>
      </c>
      <c r="U33" s="232">
        <v>0</v>
      </c>
      <c r="V33" s="232">
        <v>0</v>
      </c>
      <c r="W33" s="232">
        <v>0</v>
      </c>
      <c r="X33" s="227" t="s">
        <v>526</v>
      </c>
      <c r="Y33" s="250">
        <v>0</v>
      </c>
      <c r="Z33" s="250">
        <v>0</v>
      </c>
      <c r="AA33" s="250">
        <v>0</v>
      </c>
      <c r="AB33" s="227" t="s">
        <v>526</v>
      </c>
      <c r="AC33" s="228">
        <f t="shared" si="4"/>
        <v>4.3</v>
      </c>
    </row>
    <row r="34" spans="1:29" x14ac:dyDescent="0.25">
      <c r="A34" s="225" t="s">
        <v>159</v>
      </c>
      <c r="B34" s="230" t="s">
        <v>158</v>
      </c>
      <c r="C34" s="227" t="s">
        <v>526</v>
      </c>
      <c r="D34" s="227">
        <v>0</v>
      </c>
      <c r="E34" s="232" t="str">
        <f t="shared" si="5"/>
        <v>нд</v>
      </c>
      <c r="F34" s="227">
        <f t="shared" si="2"/>
        <v>0</v>
      </c>
      <c r="G34" s="232">
        <v>0</v>
      </c>
      <c r="H34" s="227" t="s">
        <v>526</v>
      </c>
      <c r="I34" s="250">
        <v>0</v>
      </c>
      <c r="J34" s="250">
        <v>0</v>
      </c>
      <c r="K34" s="250">
        <v>0</v>
      </c>
      <c r="L34" s="227" t="s">
        <v>526</v>
      </c>
      <c r="M34" s="232">
        <v>0</v>
      </c>
      <c r="N34" s="232">
        <v>0</v>
      </c>
      <c r="O34" s="232">
        <v>0</v>
      </c>
      <c r="P34" s="227" t="s">
        <v>526</v>
      </c>
      <c r="Q34" s="232">
        <v>0</v>
      </c>
      <c r="R34" s="227">
        <f t="shared" si="3"/>
        <v>0</v>
      </c>
      <c r="S34" s="232">
        <v>0</v>
      </c>
      <c r="T34" s="227" t="s">
        <v>526</v>
      </c>
      <c r="U34" s="232">
        <v>0</v>
      </c>
      <c r="V34" s="232">
        <v>0</v>
      </c>
      <c r="W34" s="232">
        <v>0</v>
      </c>
      <c r="X34" s="227" t="s">
        <v>526</v>
      </c>
      <c r="Y34" s="250">
        <v>0</v>
      </c>
      <c r="Z34" s="250">
        <v>0</v>
      </c>
      <c r="AA34" s="250">
        <v>0</v>
      </c>
      <c r="AB34" s="227" t="s">
        <v>526</v>
      </c>
      <c r="AC34" s="228">
        <f t="shared" si="4"/>
        <v>0</v>
      </c>
    </row>
    <row r="35" spans="1:29" ht="31.5" x14ac:dyDescent="0.25">
      <c r="A35" s="225" t="s">
        <v>60</v>
      </c>
      <c r="B35" s="226" t="s">
        <v>157</v>
      </c>
      <c r="C35" s="227" t="s">
        <v>526</v>
      </c>
      <c r="D35" s="227">
        <v>0</v>
      </c>
      <c r="E35" s="233" t="str">
        <f t="shared" si="5"/>
        <v>нд</v>
      </c>
      <c r="F35" s="227">
        <f t="shared" si="2"/>
        <v>0</v>
      </c>
      <c r="G35" s="227">
        <v>0</v>
      </c>
      <c r="H35" s="227" t="s">
        <v>526</v>
      </c>
      <c r="I35" s="227">
        <v>0</v>
      </c>
      <c r="J35" s="227">
        <v>0</v>
      </c>
      <c r="K35" s="227">
        <v>0</v>
      </c>
      <c r="L35" s="227" t="s">
        <v>526</v>
      </c>
      <c r="M35" s="227">
        <v>0</v>
      </c>
      <c r="N35" s="227">
        <v>0</v>
      </c>
      <c r="O35" s="227">
        <v>0</v>
      </c>
      <c r="P35" s="227" t="s">
        <v>526</v>
      </c>
      <c r="Q35" s="227">
        <v>0</v>
      </c>
      <c r="R35" s="227">
        <f t="shared" si="3"/>
        <v>0</v>
      </c>
      <c r="S35" s="227">
        <v>0</v>
      </c>
      <c r="T35" s="227" t="s">
        <v>526</v>
      </c>
      <c r="U35" s="227">
        <v>0</v>
      </c>
      <c r="V35" s="227">
        <v>0</v>
      </c>
      <c r="W35" s="227">
        <v>0</v>
      </c>
      <c r="X35" s="227" t="s">
        <v>526</v>
      </c>
      <c r="Y35" s="227">
        <v>0</v>
      </c>
      <c r="Z35" s="227">
        <v>0</v>
      </c>
      <c r="AA35" s="227">
        <v>0</v>
      </c>
      <c r="AB35" s="227" t="s">
        <v>526</v>
      </c>
      <c r="AC35" s="228">
        <f t="shared" si="4"/>
        <v>0</v>
      </c>
    </row>
    <row r="36" spans="1:29" ht="31.5" x14ac:dyDescent="0.25">
      <c r="A36" s="229" t="s">
        <v>156</v>
      </c>
      <c r="B36" s="234" t="s">
        <v>155</v>
      </c>
      <c r="C36" s="227" t="s">
        <v>526</v>
      </c>
      <c r="D36" s="227">
        <v>0</v>
      </c>
      <c r="E36" s="232" t="str">
        <f t="shared" si="5"/>
        <v>нд</v>
      </c>
      <c r="F36" s="227">
        <f t="shared" si="2"/>
        <v>0</v>
      </c>
      <c r="G36" s="232">
        <v>0</v>
      </c>
      <c r="H36" s="227" t="s">
        <v>526</v>
      </c>
      <c r="I36" s="250">
        <v>0</v>
      </c>
      <c r="J36" s="250">
        <v>0</v>
      </c>
      <c r="K36" s="250">
        <v>0</v>
      </c>
      <c r="L36" s="227" t="s">
        <v>526</v>
      </c>
      <c r="M36" s="232">
        <v>0</v>
      </c>
      <c r="N36" s="232">
        <v>0</v>
      </c>
      <c r="O36" s="232">
        <v>0</v>
      </c>
      <c r="P36" s="227" t="s">
        <v>526</v>
      </c>
      <c r="Q36" s="232">
        <v>0</v>
      </c>
      <c r="R36" s="227">
        <f t="shared" si="3"/>
        <v>0</v>
      </c>
      <c r="S36" s="232">
        <v>0</v>
      </c>
      <c r="T36" s="227" t="s">
        <v>526</v>
      </c>
      <c r="U36" s="232">
        <v>0</v>
      </c>
      <c r="V36" s="232">
        <v>0</v>
      </c>
      <c r="W36" s="232">
        <v>0</v>
      </c>
      <c r="X36" s="227" t="s">
        <v>526</v>
      </c>
      <c r="Y36" s="250">
        <v>0</v>
      </c>
      <c r="Z36" s="250">
        <v>0</v>
      </c>
      <c r="AA36" s="250">
        <v>0</v>
      </c>
      <c r="AB36" s="227" t="s">
        <v>526</v>
      </c>
      <c r="AC36" s="228">
        <f t="shared" si="4"/>
        <v>0</v>
      </c>
    </row>
    <row r="37" spans="1:29" x14ac:dyDescent="0.25">
      <c r="A37" s="229" t="s">
        <v>154</v>
      </c>
      <c r="B37" s="234" t="s">
        <v>144</v>
      </c>
      <c r="C37" s="227" t="s">
        <v>526</v>
      </c>
      <c r="D37" s="227">
        <v>0</v>
      </c>
      <c r="E37" s="232" t="str">
        <f t="shared" si="5"/>
        <v>нд</v>
      </c>
      <c r="F37" s="227">
        <f t="shared" si="2"/>
        <v>0</v>
      </c>
      <c r="G37" s="232">
        <v>0</v>
      </c>
      <c r="H37" s="227" t="s">
        <v>526</v>
      </c>
      <c r="I37" s="250">
        <v>0</v>
      </c>
      <c r="J37" s="250">
        <v>0</v>
      </c>
      <c r="K37" s="250">
        <v>0</v>
      </c>
      <c r="L37" s="227" t="s">
        <v>526</v>
      </c>
      <c r="M37" s="232">
        <v>0</v>
      </c>
      <c r="N37" s="232">
        <v>0</v>
      </c>
      <c r="O37" s="232">
        <v>0</v>
      </c>
      <c r="P37" s="227" t="s">
        <v>526</v>
      </c>
      <c r="Q37" s="232">
        <v>0</v>
      </c>
      <c r="R37" s="227">
        <f t="shared" si="3"/>
        <v>0</v>
      </c>
      <c r="S37" s="232">
        <v>0</v>
      </c>
      <c r="T37" s="227" t="s">
        <v>526</v>
      </c>
      <c r="U37" s="232">
        <v>0</v>
      </c>
      <c r="V37" s="232">
        <v>0</v>
      </c>
      <c r="W37" s="232">
        <v>0</v>
      </c>
      <c r="X37" s="227" t="s">
        <v>526</v>
      </c>
      <c r="Y37" s="250">
        <v>0</v>
      </c>
      <c r="Z37" s="250">
        <v>0</v>
      </c>
      <c r="AA37" s="250">
        <v>0</v>
      </c>
      <c r="AB37" s="227" t="s">
        <v>526</v>
      </c>
      <c r="AC37" s="228">
        <f t="shared" si="4"/>
        <v>0</v>
      </c>
    </row>
    <row r="38" spans="1:29" x14ac:dyDescent="0.25">
      <c r="A38" s="229" t="s">
        <v>153</v>
      </c>
      <c r="B38" s="234" t="s">
        <v>142</v>
      </c>
      <c r="C38" s="227" t="s">
        <v>526</v>
      </c>
      <c r="D38" s="227">
        <v>0</v>
      </c>
      <c r="E38" s="232" t="str">
        <f t="shared" si="5"/>
        <v>нд</v>
      </c>
      <c r="F38" s="227">
        <f t="shared" si="2"/>
        <v>0</v>
      </c>
      <c r="G38" s="232">
        <v>0</v>
      </c>
      <c r="H38" s="227" t="s">
        <v>526</v>
      </c>
      <c r="I38" s="250">
        <v>0</v>
      </c>
      <c r="J38" s="250">
        <v>0</v>
      </c>
      <c r="K38" s="250">
        <v>0</v>
      </c>
      <c r="L38" s="227" t="s">
        <v>526</v>
      </c>
      <c r="M38" s="232">
        <v>0</v>
      </c>
      <c r="N38" s="232">
        <v>0</v>
      </c>
      <c r="O38" s="232">
        <v>0</v>
      </c>
      <c r="P38" s="227" t="s">
        <v>526</v>
      </c>
      <c r="Q38" s="232">
        <v>0</v>
      </c>
      <c r="R38" s="227">
        <f t="shared" si="3"/>
        <v>0</v>
      </c>
      <c r="S38" s="232">
        <v>0</v>
      </c>
      <c r="T38" s="227" t="s">
        <v>526</v>
      </c>
      <c r="U38" s="232">
        <v>0</v>
      </c>
      <c r="V38" s="232">
        <v>0</v>
      </c>
      <c r="W38" s="232">
        <v>0</v>
      </c>
      <c r="X38" s="227" t="s">
        <v>526</v>
      </c>
      <c r="Y38" s="250">
        <v>0</v>
      </c>
      <c r="Z38" s="250">
        <v>0</v>
      </c>
      <c r="AA38" s="250">
        <v>0</v>
      </c>
      <c r="AB38" s="227" t="s">
        <v>526</v>
      </c>
      <c r="AC38" s="228">
        <f t="shared" si="4"/>
        <v>0</v>
      </c>
    </row>
    <row r="39" spans="1:29" ht="31.5" x14ac:dyDescent="0.25">
      <c r="A39" s="229" t="s">
        <v>152</v>
      </c>
      <c r="B39" s="230" t="s">
        <v>140</v>
      </c>
      <c r="C39" s="227" t="s">
        <v>526</v>
      </c>
      <c r="D39" s="227">
        <v>0</v>
      </c>
      <c r="E39" s="232" t="str">
        <f t="shared" si="5"/>
        <v>нд</v>
      </c>
      <c r="F39" s="227">
        <f t="shared" si="2"/>
        <v>0</v>
      </c>
      <c r="G39" s="232">
        <v>0</v>
      </c>
      <c r="H39" s="227" t="s">
        <v>526</v>
      </c>
      <c r="I39" s="250">
        <v>0</v>
      </c>
      <c r="J39" s="250">
        <v>0</v>
      </c>
      <c r="K39" s="250">
        <v>0</v>
      </c>
      <c r="L39" s="227" t="s">
        <v>526</v>
      </c>
      <c r="M39" s="232">
        <v>0</v>
      </c>
      <c r="N39" s="232">
        <v>0</v>
      </c>
      <c r="O39" s="232">
        <v>0</v>
      </c>
      <c r="P39" s="227" t="s">
        <v>526</v>
      </c>
      <c r="Q39" s="232">
        <v>0</v>
      </c>
      <c r="R39" s="227">
        <f t="shared" si="3"/>
        <v>0</v>
      </c>
      <c r="S39" s="232">
        <v>0</v>
      </c>
      <c r="T39" s="227" t="s">
        <v>526</v>
      </c>
      <c r="U39" s="232">
        <v>0</v>
      </c>
      <c r="V39" s="232">
        <v>0</v>
      </c>
      <c r="W39" s="232">
        <v>0</v>
      </c>
      <c r="X39" s="227" t="s">
        <v>526</v>
      </c>
      <c r="Y39" s="250">
        <v>0</v>
      </c>
      <c r="Z39" s="250">
        <v>0</v>
      </c>
      <c r="AA39" s="250">
        <v>0</v>
      </c>
      <c r="AB39" s="227" t="s">
        <v>526</v>
      </c>
      <c r="AC39" s="228">
        <f t="shared" si="4"/>
        <v>0</v>
      </c>
    </row>
    <row r="40" spans="1:29" ht="31.5" x14ac:dyDescent="0.25">
      <c r="A40" s="229" t="s">
        <v>151</v>
      </c>
      <c r="B40" s="230" t="s">
        <v>138</v>
      </c>
      <c r="C40" s="227" t="s">
        <v>526</v>
      </c>
      <c r="D40" s="227">
        <v>0</v>
      </c>
      <c r="E40" s="232" t="str">
        <f t="shared" si="5"/>
        <v>нд</v>
      </c>
      <c r="F40" s="227">
        <f t="shared" si="2"/>
        <v>0</v>
      </c>
      <c r="G40" s="232">
        <v>0</v>
      </c>
      <c r="H40" s="227" t="s">
        <v>526</v>
      </c>
      <c r="I40" s="250">
        <v>0</v>
      </c>
      <c r="J40" s="250">
        <v>0</v>
      </c>
      <c r="K40" s="250">
        <v>0</v>
      </c>
      <c r="L40" s="227" t="s">
        <v>526</v>
      </c>
      <c r="M40" s="232">
        <v>0</v>
      </c>
      <c r="N40" s="232">
        <v>0</v>
      </c>
      <c r="O40" s="232">
        <v>0</v>
      </c>
      <c r="P40" s="227" t="s">
        <v>526</v>
      </c>
      <c r="Q40" s="232">
        <v>0</v>
      </c>
      <c r="R40" s="227">
        <f t="shared" si="3"/>
        <v>0</v>
      </c>
      <c r="S40" s="232">
        <v>0</v>
      </c>
      <c r="T40" s="227" t="s">
        <v>526</v>
      </c>
      <c r="U40" s="232">
        <v>0</v>
      </c>
      <c r="V40" s="232">
        <v>0</v>
      </c>
      <c r="W40" s="232">
        <v>0</v>
      </c>
      <c r="X40" s="227" t="s">
        <v>526</v>
      </c>
      <c r="Y40" s="250">
        <v>0</v>
      </c>
      <c r="Z40" s="250">
        <v>0</v>
      </c>
      <c r="AA40" s="250">
        <v>0</v>
      </c>
      <c r="AB40" s="227" t="s">
        <v>526</v>
      </c>
      <c r="AC40" s="228">
        <f t="shared" si="4"/>
        <v>0</v>
      </c>
    </row>
    <row r="41" spans="1:29" x14ac:dyDescent="0.25">
      <c r="A41" s="229" t="s">
        <v>150</v>
      </c>
      <c r="B41" s="230" t="s">
        <v>136</v>
      </c>
      <c r="C41" s="227" t="s">
        <v>526</v>
      </c>
      <c r="D41" s="227">
        <v>0</v>
      </c>
      <c r="E41" s="232" t="str">
        <f t="shared" si="5"/>
        <v>нд</v>
      </c>
      <c r="F41" s="227">
        <f t="shared" si="2"/>
        <v>0</v>
      </c>
      <c r="G41" s="232">
        <v>0</v>
      </c>
      <c r="H41" s="227" t="s">
        <v>526</v>
      </c>
      <c r="I41" s="250">
        <v>0</v>
      </c>
      <c r="J41" s="250">
        <v>0</v>
      </c>
      <c r="K41" s="250">
        <v>0</v>
      </c>
      <c r="L41" s="227" t="s">
        <v>526</v>
      </c>
      <c r="M41" s="232">
        <v>0</v>
      </c>
      <c r="N41" s="232">
        <v>0</v>
      </c>
      <c r="O41" s="232">
        <v>0</v>
      </c>
      <c r="P41" s="227" t="s">
        <v>526</v>
      </c>
      <c r="Q41" s="232">
        <v>0</v>
      </c>
      <c r="R41" s="227">
        <f t="shared" si="3"/>
        <v>0</v>
      </c>
      <c r="S41" s="232">
        <v>0</v>
      </c>
      <c r="T41" s="227" t="s">
        <v>526</v>
      </c>
      <c r="U41" s="232">
        <v>0</v>
      </c>
      <c r="V41" s="232">
        <v>0</v>
      </c>
      <c r="W41" s="232">
        <v>0</v>
      </c>
      <c r="X41" s="227" t="s">
        <v>526</v>
      </c>
      <c r="Y41" s="250">
        <v>0</v>
      </c>
      <c r="Z41" s="250">
        <v>0</v>
      </c>
      <c r="AA41" s="250">
        <v>0</v>
      </c>
      <c r="AB41" s="227" t="s">
        <v>526</v>
      </c>
      <c r="AC41" s="228">
        <f t="shared" si="4"/>
        <v>0</v>
      </c>
    </row>
    <row r="42" spans="1:29" ht="18.75" x14ac:dyDescent="0.25">
      <c r="A42" s="229" t="s">
        <v>149</v>
      </c>
      <c r="B42" s="234" t="s">
        <v>544</v>
      </c>
      <c r="C42" s="227" t="s">
        <v>526</v>
      </c>
      <c r="D42" s="227">
        <v>0</v>
      </c>
      <c r="E42" s="232" t="str">
        <f t="shared" si="5"/>
        <v>нд</v>
      </c>
      <c r="F42" s="227">
        <f t="shared" si="2"/>
        <v>0</v>
      </c>
      <c r="G42" s="232">
        <v>0</v>
      </c>
      <c r="H42" s="227" t="s">
        <v>526</v>
      </c>
      <c r="I42" s="250">
        <v>0</v>
      </c>
      <c r="J42" s="250">
        <v>0</v>
      </c>
      <c r="K42" s="250">
        <v>0</v>
      </c>
      <c r="L42" s="227" t="s">
        <v>526</v>
      </c>
      <c r="M42" s="232">
        <v>0</v>
      </c>
      <c r="N42" s="232">
        <v>0</v>
      </c>
      <c r="O42" s="232">
        <v>0</v>
      </c>
      <c r="P42" s="227" t="s">
        <v>526</v>
      </c>
      <c r="Q42" s="232">
        <v>0</v>
      </c>
      <c r="R42" s="227">
        <f t="shared" si="3"/>
        <v>0</v>
      </c>
      <c r="S42" s="232">
        <v>0</v>
      </c>
      <c r="T42" s="227" t="s">
        <v>526</v>
      </c>
      <c r="U42" s="232">
        <v>0</v>
      </c>
      <c r="V42" s="232">
        <v>0</v>
      </c>
      <c r="W42" s="232">
        <v>0</v>
      </c>
      <c r="X42" s="227" t="s">
        <v>526</v>
      </c>
      <c r="Y42" s="250">
        <v>0</v>
      </c>
      <c r="Z42" s="250">
        <v>0</v>
      </c>
      <c r="AA42" s="250">
        <v>0</v>
      </c>
      <c r="AB42" s="227" t="s">
        <v>526</v>
      </c>
      <c r="AC42" s="228">
        <f t="shared" si="4"/>
        <v>0</v>
      </c>
    </row>
    <row r="43" spans="1:29" x14ac:dyDescent="0.25">
      <c r="A43" s="225" t="s">
        <v>59</v>
      </c>
      <c r="B43" s="226" t="s">
        <v>148</v>
      </c>
      <c r="C43" s="227" t="s">
        <v>526</v>
      </c>
      <c r="D43" s="227">
        <v>0</v>
      </c>
      <c r="E43" s="233" t="str">
        <f t="shared" si="5"/>
        <v>нд</v>
      </c>
      <c r="F43" s="227">
        <f t="shared" si="2"/>
        <v>0</v>
      </c>
      <c r="G43" s="227">
        <v>0</v>
      </c>
      <c r="H43" s="227" t="s">
        <v>526</v>
      </c>
      <c r="I43" s="227">
        <v>0</v>
      </c>
      <c r="J43" s="227">
        <v>0</v>
      </c>
      <c r="K43" s="227">
        <v>0</v>
      </c>
      <c r="L43" s="227" t="s">
        <v>526</v>
      </c>
      <c r="M43" s="227">
        <v>0</v>
      </c>
      <c r="N43" s="227">
        <v>0</v>
      </c>
      <c r="O43" s="227">
        <v>0</v>
      </c>
      <c r="P43" s="227" t="s">
        <v>526</v>
      </c>
      <c r="Q43" s="227">
        <v>0</v>
      </c>
      <c r="R43" s="227">
        <f t="shared" si="3"/>
        <v>0</v>
      </c>
      <c r="S43" s="227">
        <v>0</v>
      </c>
      <c r="T43" s="227" t="s">
        <v>526</v>
      </c>
      <c r="U43" s="227">
        <v>0</v>
      </c>
      <c r="V43" s="227">
        <v>0</v>
      </c>
      <c r="W43" s="227">
        <v>0</v>
      </c>
      <c r="X43" s="227" t="s">
        <v>526</v>
      </c>
      <c r="Y43" s="227">
        <v>0</v>
      </c>
      <c r="Z43" s="227">
        <v>0</v>
      </c>
      <c r="AA43" s="227">
        <v>0</v>
      </c>
      <c r="AB43" s="227" t="s">
        <v>526</v>
      </c>
      <c r="AC43" s="228">
        <f t="shared" si="4"/>
        <v>0</v>
      </c>
    </row>
    <row r="44" spans="1:29" x14ac:dyDescent="0.25">
      <c r="A44" s="229" t="s">
        <v>147</v>
      </c>
      <c r="B44" s="230" t="s">
        <v>146</v>
      </c>
      <c r="C44" s="227" t="s">
        <v>526</v>
      </c>
      <c r="D44" s="227">
        <v>0</v>
      </c>
      <c r="E44" s="232" t="str">
        <f t="shared" si="5"/>
        <v>нд</v>
      </c>
      <c r="F44" s="227">
        <f t="shared" si="2"/>
        <v>0</v>
      </c>
      <c r="G44" s="232">
        <v>0</v>
      </c>
      <c r="H44" s="227" t="s">
        <v>526</v>
      </c>
      <c r="I44" s="250">
        <v>0</v>
      </c>
      <c r="J44" s="250">
        <v>0</v>
      </c>
      <c r="K44" s="250">
        <v>0</v>
      </c>
      <c r="L44" s="227" t="s">
        <v>526</v>
      </c>
      <c r="M44" s="232">
        <v>0</v>
      </c>
      <c r="N44" s="232">
        <v>0</v>
      </c>
      <c r="O44" s="232">
        <v>0</v>
      </c>
      <c r="P44" s="227" t="s">
        <v>526</v>
      </c>
      <c r="Q44" s="232">
        <v>0</v>
      </c>
      <c r="R44" s="227">
        <f t="shared" si="3"/>
        <v>0</v>
      </c>
      <c r="S44" s="232">
        <v>0</v>
      </c>
      <c r="T44" s="227" t="s">
        <v>526</v>
      </c>
      <c r="U44" s="232">
        <v>0</v>
      </c>
      <c r="V44" s="232">
        <v>0</v>
      </c>
      <c r="W44" s="232">
        <v>0</v>
      </c>
      <c r="X44" s="227" t="s">
        <v>526</v>
      </c>
      <c r="Y44" s="250">
        <v>0</v>
      </c>
      <c r="Z44" s="250">
        <v>0</v>
      </c>
      <c r="AA44" s="250">
        <v>0</v>
      </c>
      <c r="AB44" s="227" t="s">
        <v>526</v>
      </c>
      <c r="AC44" s="228">
        <f t="shared" si="4"/>
        <v>0</v>
      </c>
    </row>
    <row r="45" spans="1:29" x14ac:dyDescent="0.25">
      <c r="A45" s="229" t="s">
        <v>145</v>
      </c>
      <c r="B45" s="230" t="s">
        <v>144</v>
      </c>
      <c r="C45" s="227" t="s">
        <v>526</v>
      </c>
      <c r="D45" s="227">
        <v>0</v>
      </c>
      <c r="E45" s="232" t="str">
        <f t="shared" si="5"/>
        <v>нд</v>
      </c>
      <c r="F45" s="227">
        <f t="shared" si="2"/>
        <v>0</v>
      </c>
      <c r="G45" s="232">
        <v>0</v>
      </c>
      <c r="H45" s="227" t="s">
        <v>526</v>
      </c>
      <c r="I45" s="250">
        <v>0</v>
      </c>
      <c r="J45" s="250">
        <v>0</v>
      </c>
      <c r="K45" s="250">
        <v>0</v>
      </c>
      <c r="L45" s="227" t="s">
        <v>526</v>
      </c>
      <c r="M45" s="232">
        <v>0</v>
      </c>
      <c r="N45" s="232">
        <v>0</v>
      </c>
      <c r="O45" s="232">
        <v>0</v>
      </c>
      <c r="P45" s="227" t="s">
        <v>526</v>
      </c>
      <c r="Q45" s="232">
        <v>0</v>
      </c>
      <c r="R45" s="227">
        <f t="shared" si="3"/>
        <v>0</v>
      </c>
      <c r="S45" s="232">
        <v>0</v>
      </c>
      <c r="T45" s="227" t="s">
        <v>526</v>
      </c>
      <c r="U45" s="232">
        <v>0</v>
      </c>
      <c r="V45" s="232">
        <v>0</v>
      </c>
      <c r="W45" s="232">
        <v>0</v>
      </c>
      <c r="X45" s="227" t="s">
        <v>526</v>
      </c>
      <c r="Y45" s="250">
        <v>0</v>
      </c>
      <c r="Z45" s="250">
        <v>0</v>
      </c>
      <c r="AA45" s="250">
        <v>0</v>
      </c>
      <c r="AB45" s="227" t="s">
        <v>526</v>
      </c>
      <c r="AC45" s="228">
        <f t="shared" si="4"/>
        <v>0</v>
      </c>
    </row>
    <row r="46" spans="1:29" x14ac:dyDescent="0.25">
      <c r="A46" s="229" t="s">
        <v>143</v>
      </c>
      <c r="B46" s="230" t="s">
        <v>142</v>
      </c>
      <c r="C46" s="227" t="s">
        <v>526</v>
      </c>
      <c r="D46" s="227">
        <v>0</v>
      </c>
      <c r="E46" s="232" t="str">
        <f t="shared" si="5"/>
        <v>нд</v>
      </c>
      <c r="F46" s="227">
        <f t="shared" si="2"/>
        <v>0</v>
      </c>
      <c r="G46" s="232">
        <v>0</v>
      </c>
      <c r="H46" s="227" t="s">
        <v>526</v>
      </c>
      <c r="I46" s="250">
        <v>0</v>
      </c>
      <c r="J46" s="250">
        <v>0</v>
      </c>
      <c r="K46" s="250">
        <v>0</v>
      </c>
      <c r="L46" s="227" t="s">
        <v>526</v>
      </c>
      <c r="M46" s="232">
        <v>0</v>
      </c>
      <c r="N46" s="232">
        <v>0</v>
      </c>
      <c r="O46" s="232">
        <v>0</v>
      </c>
      <c r="P46" s="227" t="s">
        <v>526</v>
      </c>
      <c r="Q46" s="232">
        <v>0</v>
      </c>
      <c r="R46" s="227">
        <f t="shared" si="3"/>
        <v>0</v>
      </c>
      <c r="S46" s="232">
        <v>0</v>
      </c>
      <c r="T46" s="227" t="s">
        <v>526</v>
      </c>
      <c r="U46" s="232">
        <v>0</v>
      </c>
      <c r="V46" s="232">
        <v>0</v>
      </c>
      <c r="W46" s="232">
        <v>0</v>
      </c>
      <c r="X46" s="227" t="s">
        <v>526</v>
      </c>
      <c r="Y46" s="250">
        <v>0</v>
      </c>
      <c r="Z46" s="250">
        <v>0</v>
      </c>
      <c r="AA46" s="250">
        <v>0</v>
      </c>
      <c r="AB46" s="227" t="s">
        <v>526</v>
      </c>
      <c r="AC46" s="228">
        <f t="shared" si="4"/>
        <v>0</v>
      </c>
    </row>
    <row r="47" spans="1:29" ht="31.5" x14ac:dyDescent="0.25">
      <c r="A47" s="229" t="s">
        <v>141</v>
      </c>
      <c r="B47" s="230" t="s">
        <v>140</v>
      </c>
      <c r="C47" s="227" t="s">
        <v>526</v>
      </c>
      <c r="D47" s="227">
        <v>0</v>
      </c>
      <c r="E47" s="232" t="str">
        <f t="shared" si="5"/>
        <v>нд</v>
      </c>
      <c r="F47" s="227">
        <f t="shared" si="2"/>
        <v>0</v>
      </c>
      <c r="G47" s="232">
        <v>0</v>
      </c>
      <c r="H47" s="227" t="s">
        <v>526</v>
      </c>
      <c r="I47" s="250">
        <v>0</v>
      </c>
      <c r="J47" s="250">
        <v>0</v>
      </c>
      <c r="K47" s="250">
        <v>0</v>
      </c>
      <c r="L47" s="227" t="s">
        <v>526</v>
      </c>
      <c r="M47" s="232">
        <v>0</v>
      </c>
      <c r="N47" s="232">
        <v>0</v>
      </c>
      <c r="O47" s="232">
        <v>0</v>
      </c>
      <c r="P47" s="227" t="s">
        <v>526</v>
      </c>
      <c r="Q47" s="232">
        <v>0</v>
      </c>
      <c r="R47" s="227">
        <f t="shared" si="3"/>
        <v>0</v>
      </c>
      <c r="S47" s="232">
        <v>0</v>
      </c>
      <c r="T47" s="227" t="s">
        <v>526</v>
      </c>
      <c r="U47" s="232">
        <v>0</v>
      </c>
      <c r="V47" s="232">
        <v>0</v>
      </c>
      <c r="W47" s="232">
        <v>0</v>
      </c>
      <c r="X47" s="227" t="s">
        <v>526</v>
      </c>
      <c r="Y47" s="250">
        <v>0</v>
      </c>
      <c r="Z47" s="250">
        <v>0</v>
      </c>
      <c r="AA47" s="250">
        <v>0</v>
      </c>
      <c r="AB47" s="227" t="s">
        <v>526</v>
      </c>
      <c r="AC47" s="228">
        <f t="shared" si="4"/>
        <v>0</v>
      </c>
    </row>
    <row r="48" spans="1:29" ht="31.5" x14ac:dyDescent="0.25">
      <c r="A48" s="229" t="s">
        <v>139</v>
      </c>
      <c r="B48" s="230" t="s">
        <v>138</v>
      </c>
      <c r="C48" s="227" t="s">
        <v>526</v>
      </c>
      <c r="D48" s="227">
        <v>0</v>
      </c>
      <c r="E48" s="232" t="str">
        <f t="shared" si="5"/>
        <v>нд</v>
      </c>
      <c r="F48" s="227">
        <f t="shared" si="2"/>
        <v>0</v>
      </c>
      <c r="G48" s="232">
        <v>0</v>
      </c>
      <c r="H48" s="227" t="s">
        <v>526</v>
      </c>
      <c r="I48" s="250">
        <v>0</v>
      </c>
      <c r="J48" s="250">
        <v>0</v>
      </c>
      <c r="K48" s="250">
        <v>0</v>
      </c>
      <c r="L48" s="227" t="s">
        <v>526</v>
      </c>
      <c r="M48" s="232">
        <v>0</v>
      </c>
      <c r="N48" s="232">
        <v>0</v>
      </c>
      <c r="O48" s="232">
        <v>0</v>
      </c>
      <c r="P48" s="227" t="s">
        <v>526</v>
      </c>
      <c r="Q48" s="232">
        <v>0</v>
      </c>
      <c r="R48" s="227">
        <f t="shared" si="3"/>
        <v>0</v>
      </c>
      <c r="S48" s="232">
        <v>0</v>
      </c>
      <c r="T48" s="227" t="s">
        <v>526</v>
      </c>
      <c r="U48" s="232">
        <v>0</v>
      </c>
      <c r="V48" s="232">
        <v>0</v>
      </c>
      <c r="W48" s="232">
        <v>0</v>
      </c>
      <c r="X48" s="227" t="s">
        <v>526</v>
      </c>
      <c r="Y48" s="250">
        <v>0</v>
      </c>
      <c r="Z48" s="250">
        <v>0</v>
      </c>
      <c r="AA48" s="250">
        <v>0</v>
      </c>
      <c r="AB48" s="227" t="s">
        <v>526</v>
      </c>
      <c r="AC48" s="228">
        <f t="shared" si="4"/>
        <v>0</v>
      </c>
    </row>
    <row r="49" spans="1:29" x14ac:dyDescent="0.25">
      <c r="A49" s="229" t="s">
        <v>137</v>
      </c>
      <c r="B49" s="230" t="s">
        <v>136</v>
      </c>
      <c r="C49" s="227" t="s">
        <v>526</v>
      </c>
      <c r="D49" s="227">
        <v>0</v>
      </c>
      <c r="E49" s="232" t="str">
        <f t="shared" si="5"/>
        <v>нд</v>
      </c>
      <c r="F49" s="227">
        <f t="shared" si="2"/>
        <v>0</v>
      </c>
      <c r="G49" s="232">
        <v>0</v>
      </c>
      <c r="H49" s="227" t="s">
        <v>526</v>
      </c>
      <c r="I49" s="250">
        <v>0</v>
      </c>
      <c r="J49" s="250">
        <v>0</v>
      </c>
      <c r="K49" s="250">
        <v>0</v>
      </c>
      <c r="L49" s="227" t="s">
        <v>526</v>
      </c>
      <c r="M49" s="232">
        <v>0</v>
      </c>
      <c r="N49" s="232">
        <v>0</v>
      </c>
      <c r="O49" s="232">
        <v>0</v>
      </c>
      <c r="P49" s="227" t="s">
        <v>526</v>
      </c>
      <c r="Q49" s="232">
        <v>0</v>
      </c>
      <c r="R49" s="227">
        <f t="shared" si="3"/>
        <v>0</v>
      </c>
      <c r="S49" s="232">
        <v>0</v>
      </c>
      <c r="T49" s="227" t="s">
        <v>526</v>
      </c>
      <c r="U49" s="232">
        <v>0</v>
      </c>
      <c r="V49" s="232">
        <v>0</v>
      </c>
      <c r="W49" s="232">
        <v>0</v>
      </c>
      <c r="X49" s="227" t="s">
        <v>526</v>
      </c>
      <c r="Y49" s="250">
        <v>0</v>
      </c>
      <c r="Z49" s="250">
        <v>0</v>
      </c>
      <c r="AA49" s="250">
        <v>0</v>
      </c>
      <c r="AB49" s="227" t="s">
        <v>526</v>
      </c>
      <c r="AC49" s="228">
        <f t="shared" si="4"/>
        <v>0</v>
      </c>
    </row>
    <row r="50" spans="1:29" ht="18.75" x14ac:dyDescent="0.25">
      <c r="A50" s="229" t="s">
        <v>135</v>
      </c>
      <c r="B50" s="234" t="s">
        <v>544</v>
      </c>
      <c r="C50" s="227" t="s">
        <v>526</v>
      </c>
      <c r="D50" s="227">
        <v>0</v>
      </c>
      <c r="E50" s="232" t="str">
        <f t="shared" si="5"/>
        <v>нд</v>
      </c>
      <c r="F50" s="227">
        <f t="shared" si="2"/>
        <v>0</v>
      </c>
      <c r="G50" s="232">
        <v>0</v>
      </c>
      <c r="H50" s="227" t="s">
        <v>526</v>
      </c>
      <c r="I50" s="250">
        <v>0</v>
      </c>
      <c r="J50" s="250">
        <v>0</v>
      </c>
      <c r="K50" s="250">
        <v>0</v>
      </c>
      <c r="L50" s="227" t="s">
        <v>526</v>
      </c>
      <c r="M50" s="232">
        <v>0</v>
      </c>
      <c r="N50" s="232">
        <v>0</v>
      </c>
      <c r="O50" s="232">
        <v>0</v>
      </c>
      <c r="P50" s="227" t="s">
        <v>526</v>
      </c>
      <c r="Q50" s="232">
        <v>0</v>
      </c>
      <c r="R50" s="227">
        <f t="shared" si="3"/>
        <v>0</v>
      </c>
      <c r="S50" s="232">
        <v>0</v>
      </c>
      <c r="T50" s="227" t="s">
        <v>526</v>
      </c>
      <c r="U50" s="232">
        <v>0</v>
      </c>
      <c r="V50" s="232">
        <v>0</v>
      </c>
      <c r="W50" s="232">
        <v>0</v>
      </c>
      <c r="X50" s="227" t="s">
        <v>526</v>
      </c>
      <c r="Y50" s="250">
        <v>0</v>
      </c>
      <c r="Z50" s="250">
        <v>0</v>
      </c>
      <c r="AA50" s="250">
        <v>0</v>
      </c>
      <c r="AB50" s="227" t="s">
        <v>526</v>
      </c>
      <c r="AC50" s="228">
        <f t="shared" si="4"/>
        <v>0</v>
      </c>
    </row>
    <row r="51" spans="1:29" ht="35.25" customHeight="1" x14ac:dyDescent="0.25">
      <c r="A51" s="225" t="s">
        <v>57</v>
      </c>
      <c r="B51" s="226" t="s">
        <v>134</v>
      </c>
      <c r="C51" s="227" t="s">
        <v>526</v>
      </c>
      <c r="D51" s="227">
        <v>0</v>
      </c>
      <c r="E51" s="233" t="str">
        <f t="shared" si="5"/>
        <v>нд</v>
      </c>
      <c r="F51" s="227">
        <f t="shared" si="2"/>
        <v>0</v>
      </c>
      <c r="G51" s="227">
        <v>0</v>
      </c>
      <c r="H51" s="227" t="s">
        <v>526</v>
      </c>
      <c r="I51" s="227">
        <v>0</v>
      </c>
      <c r="J51" s="227">
        <v>0</v>
      </c>
      <c r="K51" s="227">
        <v>0</v>
      </c>
      <c r="L51" s="227" t="s">
        <v>526</v>
      </c>
      <c r="M51" s="227">
        <v>0</v>
      </c>
      <c r="N51" s="227">
        <v>0</v>
      </c>
      <c r="O51" s="227">
        <v>0</v>
      </c>
      <c r="P51" s="227" t="s">
        <v>526</v>
      </c>
      <c r="Q51" s="227">
        <v>0</v>
      </c>
      <c r="R51" s="227">
        <f t="shared" si="3"/>
        <v>0</v>
      </c>
      <c r="S51" s="227">
        <v>0</v>
      </c>
      <c r="T51" s="227" t="s">
        <v>526</v>
      </c>
      <c r="U51" s="227">
        <v>0</v>
      </c>
      <c r="V51" s="227">
        <v>0</v>
      </c>
      <c r="W51" s="227">
        <v>0</v>
      </c>
      <c r="X51" s="227" t="s">
        <v>526</v>
      </c>
      <c r="Y51" s="227">
        <v>0</v>
      </c>
      <c r="Z51" s="227">
        <v>0</v>
      </c>
      <c r="AA51" s="227">
        <v>0</v>
      </c>
      <c r="AB51" s="227" t="s">
        <v>526</v>
      </c>
      <c r="AC51" s="228">
        <f t="shared" si="4"/>
        <v>0</v>
      </c>
    </row>
    <row r="52" spans="1:29" x14ac:dyDescent="0.25">
      <c r="A52" s="229" t="s">
        <v>133</v>
      </c>
      <c r="B52" s="230" t="s">
        <v>132</v>
      </c>
      <c r="C52" s="227" t="s">
        <v>526</v>
      </c>
      <c r="D52" s="227">
        <v>4.3</v>
      </c>
      <c r="E52" s="232" t="str">
        <f t="shared" si="5"/>
        <v>нд</v>
      </c>
      <c r="F52" s="227">
        <f t="shared" si="2"/>
        <v>4.3</v>
      </c>
      <c r="G52" s="232">
        <v>0</v>
      </c>
      <c r="H52" s="227" t="s">
        <v>526</v>
      </c>
      <c r="I52" s="250">
        <v>0</v>
      </c>
      <c r="J52" s="250">
        <v>0</v>
      </c>
      <c r="K52" s="250">
        <v>0</v>
      </c>
      <c r="L52" s="227" t="s">
        <v>526</v>
      </c>
      <c r="M52" s="232">
        <v>0</v>
      </c>
      <c r="N52" s="232">
        <v>0</v>
      </c>
      <c r="O52" s="232">
        <v>0</v>
      </c>
      <c r="P52" s="227" t="s">
        <v>526</v>
      </c>
      <c r="Q52" s="232">
        <v>0</v>
      </c>
      <c r="R52" s="227">
        <f>R33</f>
        <v>4.3</v>
      </c>
      <c r="S52" s="232">
        <v>0</v>
      </c>
      <c r="T52" s="227" t="s">
        <v>526</v>
      </c>
      <c r="U52" s="232">
        <v>0</v>
      </c>
      <c r="V52" s="232">
        <v>0</v>
      </c>
      <c r="W52" s="232">
        <v>0</v>
      </c>
      <c r="X52" s="227" t="s">
        <v>526</v>
      </c>
      <c r="Y52" s="250">
        <v>0</v>
      </c>
      <c r="Z52" s="250">
        <v>0</v>
      </c>
      <c r="AA52" s="250">
        <v>0</v>
      </c>
      <c r="AB52" s="227" t="s">
        <v>526</v>
      </c>
      <c r="AC52" s="228">
        <f t="shared" si="4"/>
        <v>4.3</v>
      </c>
    </row>
    <row r="53" spans="1:29" x14ac:dyDescent="0.25">
      <c r="A53" s="229" t="s">
        <v>131</v>
      </c>
      <c r="B53" s="230" t="s">
        <v>125</v>
      </c>
      <c r="C53" s="227" t="s">
        <v>526</v>
      </c>
      <c r="D53" s="227">
        <v>0</v>
      </c>
      <c r="E53" s="232" t="str">
        <f t="shared" si="5"/>
        <v>нд</v>
      </c>
      <c r="F53" s="227">
        <f t="shared" si="2"/>
        <v>0</v>
      </c>
      <c r="G53" s="232">
        <v>0</v>
      </c>
      <c r="H53" s="227" t="s">
        <v>526</v>
      </c>
      <c r="I53" s="250">
        <v>0</v>
      </c>
      <c r="J53" s="250">
        <v>0</v>
      </c>
      <c r="K53" s="250">
        <v>0</v>
      </c>
      <c r="L53" s="227" t="s">
        <v>526</v>
      </c>
      <c r="M53" s="232">
        <v>0</v>
      </c>
      <c r="N53" s="232">
        <v>0</v>
      </c>
      <c r="O53" s="232">
        <v>0</v>
      </c>
      <c r="P53" s="227" t="s">
        <v>526</v>
      </c>
      <c r="Q53" s="232">
        <v>0</v>
      </c>
      <c r="R53" s="227">
        <f t="shared" si="3"/>
        <v>0</v>
      </c>
      <c r="S53" s="232">
        <v>0</v>
      </c>
      <c r="T53" s="227" t="s">
        <v>526</v>
      </c>
      <c r="U53" s="232">
        <v>0</v>
      </c>
      <c r="V53" s="232">
        <v>0</v>
      </c>
      <c r="W53" s="232">
        <v>0</v>
      </c>
      <c r="X53" s="227" t="s">
        <v>526</v>
      </c>
      <c r="Y53" s="250">
        <v>0</v>
      </c>
      <c r="Z53" s="250">
        <v>0</v>
      </c>
      <c r="AA53" s="250">
        <v>0</v>
      </c>
      <c r="AB53" s="227" t="s">
        <v>526</v>
      </c>
      <c r="AC53" s="228">
        <f t="shared" si="4"/>
        <v>0</v>
      </c>
    </row>
    <row r="54" spans="1:29" x14ac:dyDescent="0.25">
      <c r="A54" s="229" t="s">
        <v>130</v>
      </c>
      <c r="B54" s="234" t="s">
        <v>124</v>
      </c>
      <c r="C54" s="227" t="s">
        <v>526</v>
      </c>
      <c r="D54" s="227">
        <v>0</v>
      </c>
      <c r="E54" s="232" t="str">
        <f t="shared" si="5"/>
        <v>нд</v>
      </c>
      <c r="F54" s="227">
        <f t="shared" si="2"/>
        <v>0</v>
      </c>
      <c r="G54" s="232">
        <v>0</v>
      </c>
      <c r="H54" s="227" t="s">
        <v>526</v>
      </c>
      <c r="I54" s="250">
        <v>0</v>
      </c>
      <c r="J54" s="250">
        <v>0</v>
      </c>
      <c r="K54" s="250">
        <v>0</v>
      </c>
      <c r="L54" s="227" t="s">
        <v>526</v>
      </c>
      <c r="M54" s="232">
        <v>0</v>
      </c>
      <c r="N54" s="232">
        <v>0</v>
      </c>
      <c r="O54" s="232">
        <v>0</v>
      </c>
      <c r="P54" s="227" t="s">
        <v>526</v>
      </c>
      <c r="Q54" s="232">
        <v>0</v>
      </c>
      <c r="R54" s="227">
        <f t="shared" si="3"/>
        <v>0</v>
      </c>
      <c r="S54" s="232">
        <v>0</v>
      </c>
      <c r="T54" s="227" t="s">
        <v>526</v>
      </c>
      <c r="U54" s="232">
        <v>0</v>
      </c>
      <c r="V54" s="232">
        <v>0</v>
      </c>
      <c r="W54" s="232">
        <v>0</v>
      </c>
      <c r="X54" s="227" t="s">
        <v>526</v>
      </c>
      <c r="Y54" s="250">
        <v>0</v>
      </c>
      <c r="Z54" s="250">
        <v>0</v>
      </c>
      <c r="AA54" s="250">
        <v>0</v>
      </c>
      <c r="AB54" s="227" t="s">
        <v>526</v>
      </c>
      <c r="AC54" s="228">
        <f t="shared" si="4"/>
        <v>0</v>
      </c>
    </row>
    <row r="55" spans="1:29" x14ac:dyDescent="0.25">
      <c r="A55" s="229" t="s">
        <v>129</v>
      </c>
      <c r="B55" s="234" t="s">
        <v>123</v>
      </c>
      <c r="C55" s="227" t="s">
        <v>526</v>
      </c>
      <c r="D55" s="227">
        <v>0</v>
      </c>
      <c r="E55" s="232" t="str">
        <f t="shared" si="5"/>
        <v>нд</v>
      </c>
      <c r="F55" s="227">
        <f t="shared" si="2"/>
        <v>0</v>
      </c>
      <c r="G55" s="232">
        <v>0</v>
      </c>
      <c r="H55" s="227" t="s">
        <v>526</v>
      </c>
      <c r="I55" s="250">
        <v>0</v>
      </c>
      <c r="J55" s="250">
        <v>0</v>
      </c>
      <c r="K55" s="250">
        <v>0</v>
      </c>
      <c r="L55" s="227" t="s">
        <v>526</v>
      </c>
      <c r="M55" s="232">
        <v>0</v>
      </c>
      <c r="N55" s="232">
        <v>0</v>
      </c>
      <c r="O55" s="232">
        <v>0</v>
      </c>
      <c r="P55" s="227" t="s">
        <v>526</v>
      </c>
      <c r="Q55" s="232">
        <v>0</v>
      </c>
      <c r="R55" s="227">
        <f t="shared" si="3"/>
        <v>0</v>
      </c>
      <c r="S55" s="232">
        <v>0</v>
      </c>
      <c r="T55" s="227" t="s">
        <v>526</v>
      </c>
      <c r="U55" s="232">
        <v>0</v>
      </c>
      <c r="V55" s="232">
        <v>0</v>
      </c>
      <c r="W55" s="232">
        <v>0</v>
      </c>
      <c r="X55" s="227" t="s">
        <v>526</v>
      </c>
      <c r="Y55" s="250">
        <v>0</v>
      </c>
      <c r="Z55" s="250">
        <v>0</v>
      </c>
      <c r="AA55" s="250">
        <v>0</v>
      </c>
      <c r="AB55" s="227" t="s">
        <v>526</v>
      </c>
      <c r="AC55" s="228">
        <f t="shared" si="4"/>
        <v>0</v>
      </c>
    </row>
    <row r="56" spans="1:29" x14ac:dyDescent="0.25">
      <c r="A56" s="229" t="s">
        <v>128</v>
      </c>
      <c r="B56" s="234" t="s">
        <v>122</v>
      </c>
      <c r="C56" s="227" t="s">
        <v>526</v>
      </c>
      <c r="D56" s="227">
        <v>0</v>
      </c>
      <c r="E56" s="232" t="str">
        <f t="shared" si="5"/>
        <v>нд</v>
      </c>
      <c r="F56" s="227">
        <f t="shared" si="2"/>
        <v>0</v>
      </c>
      <c r="G56" s="232">
        <v>0</v>
      </c>
      <c r="H56" s="227" t="s">
        <v>526</v>
      </c>
      <c r="I56" s="250">
        <v>0</v>
      </c>
      <c r="J56" s="250">
        <v>0</v>
      </c>
      <c r="K56" s="250">
        <v>0</v>
      </c>
      <c r="L56" s="227" t="s">
        <v>526</v>
      </c>
      <c r="M56" s="232">
        <v>0</v>
      </c>
      <c r="N56" s="232">
        <v>0</v>
      </c>
      <c r="O56" s="232">
        <v>0</v>
      </c>
      <c r="P56" s="227" t="s">
        <v>526</v>
      </c>
      <c r="Q56" s="232">
        <v>0</v>
      </c>
      <c r="R56" s="227">
        <f t="shared" si="3"/>
        <v>0</v>
      </c>
      <c r="S56" s="232">
        <v>0</v>
      </c>
      <c r="T56" s="227" t="s">
        <v>526</v>
      </c>
      <c r="U56" s="232">
        <v>0</v>
      </c>
      <c r="V56" s="232">
        <v>0</v>
      </c>
      <c r="W56" s="232">
        <v>0</v>
      </c>
      <c r="X56" s="227" t="s">
        <v>526</v>
      </c>
      <c r="Y56" s="250">
        <v>0</v>
      </c>
      <c r="Z56" s="250">
        <v>0</v>
      </c>
      <c r="AA56" s="250">
        <v>0</v>
      </c>
      <c r="AB56" s="227" t="s">
        <v>526</v>
      </c>
      <c r="AC56" s="228">
        <f t="shared" si="4"/>
        <v>0</v>
      </c>
    </row>
    <row r="57" spans="1:29" ht="18.75" x14ac:dyDescent="0.25">
      <c r="A57" s="229" t="s">
        <v>127</v>
      </c>
      <c r="B57" s="234" t="s">
        <v>544</v>
      </c>
      <c r="C57" s="227" t="s">
        <v>526</v>
      </c>
      <c r="D57" s="227">
        <v>0</v>
      </c>
      <c r="E57" s="232" t="str">
        <f t="shared" si="5"/>
        <v>нд</v>
      </c>
      <c r="F57" s="227">
        <f t="shared" si="2"/>
        <v>0</v>
      </c>
      <c r="G57" s="232">
        <v>0</v>
      </c>
      <c r="H57" s="227" t="s">
        <v>526</v>
      </c>
      <c r="I57" s="250">
        <v>0</v>
      </c>
      <c r="J57" s="250">
        <v>0</v>
      </c>
      <c r="K57" s="250">
        <v>0</v>
      </c>
      <c r="L57" s="227" t="s">
        <v>526</v>
      </c>
      <c r="M57" s="232">
        <v>0</v>
      </c>
      <c r="N57" s="232">
        <v>0</v>
      </c>
      <c r="O57" s="232">
        <v>0</v>
      </c>
      <c r="P57" s="227" t="s">
        <v>526</v>
      </c>
      <c r="Q57" s="232">
        <v>0</v>
      </c>
      <c r="R57" s="227">
        <f t="shared" si="3"/>
        <v>0</v>
      </c>
      <c r="S57" s="232">
        <v>0</v>
      </c>
      <c r="T57" s="227" t="s">
        <v>526</v>
      </c>
      <c r="U57" s="232">
        <v>0</v>
      </c>
      <c r="V57" s="232">
        <v>0</v>
      </c>
      <c r="W57" s="232">
        <v>0</v>
      </c>
      <c r="X57" s="227" t="s">
        <v>526</v>
      </c>
      <c r="Y57" s="250">
        <v>0</v>
      </c>
      <c r="Z57" s="250">
        <v>0</v>
      </c>
      <c r="AA57" s="250">
        <v>0</v>
      </c>
      <c r="AB57" s="227" t="s">
        <v>526</v>
      </c>
      <c r="AC57" s="228">
        <f t="shared" si="4"/>
        <v>0</v>
      </c>
    </row>
    <row r="58" spans="1:29" ht="36.75" customHeight="1" x14ac:dyDescent="0.25">
      <c r="A58" s="225" t="s">
        <v>56</v>
      </c>
      <c r="B58" s="235" t="s">
        <v>224</v>
      </c>
      <c r="C58" s="227" t="s">
        <v>526</v>
      </c>
      <c r="D58" s="227">
        <v>0</v>
      </c>
      <c r="E58" s="233" t="str">
        <f t="shared" si="5"/>
        <v>нд</v>
      </c>
      <c r="F58" s="227">
        <f t="shared" si="2"/>
        <v>0</v>
      </c>
      <c r="G58" s="227">
        <v>0</v>
      </c>
      <c r="H58" s="227" t="s">
        <v>526</v>
      </c>
      <c r="I58" s="227">
        <v>0</v>
      </c>
      <c r="J58" s="227">
        <v>0</v>
      </c>
      <c r="K58" s="227">
        <v>0</v>
      </c>
      <c r="L58" s="227" t="s">
        <v>526</v>
      </c>
      <c r="M58" s="227">
        <v>0</v>
      </c>
      <c r="N58" s="227">
        <v>0</v>
      </c>
      <c r="O58" s="227">
        <v>0</v>
      </c>
      <c r="P58" s="227" t="s">
        <v>526</v>
      </c>
      <c r="Q58" s="227">
        <v>0</v>
      </c>
      <c r="R58" s="227">
        <f t="shared" si="3"/>
        <v>0</v>
      </c>
      <c r="S58" s="227">
        <v>0</v>
      </c>
      <c r="T58" s="227" t="s">
        <v>526</v>
      </c>
      <c r="U58" s="227">
        <v>0</v>
      </c>
      <c r="V58" s="227">
        <v>0</v>
      </c>
      <c r="W58" s="227">
        <v>0</v>
      </c>
      <c r="X58" s="227" t="s">
        <v>526</v>
      </c>
      <c r="Y58" s="227">
        <v>0</v>
      </c>
      <c r="Z58" s="227">
        <v>0</v>
      </c>
      <c r="AA58" s="227">
        <v>0</v>
      </c>
      <c r="AB58" s="227" t="s">
        <v>526</v>
      </c>
      <c r="AC58" s="228">
        <f t="shared" si="4"/>
        <v>0</v>
      </c>
    </row>
    <row r="59" spans="1:29" x14ac:dyDescent="0.25">
      <c r="A59" s="225" t="s">
        <v>54</v>
      </c>
      <c r="B59" s="226" t="s">
        <v>126</v>
      </c>
      <c r="C59" s="227" t="s">
        <v>526</v>
      </c>
      <c r="D59" s="227">
        <v>0</v>
      </c>
      <c r="E59" s="233" t="str">
        <f t="shared" si="5"/>
        <v>нд</v>
      </c>
      <c r="F59" s="227">
        <f t="shared" si="2"/>
        <v>0</v>
      </c>
      <c r="G59" s="227">
        <v>0</v>
      </c>
      <c r="H59" s="227" t="s">
        <v>526</v>
      </c>
      <c r="I59" s="227">
        <v>0</v>
      </c>
      <c r="J59" s="227">
        <v>0</v>
      </c>
      <c r="K59" s="227">
        <v>0</v>
      </c>
      <c r="L59" s="227" t="s">
        <v>526</v>
      </c>
      <c r="M59" s="227">
        <v>0</v>
      </c>
      <c r="N59" s="227">
        <v>0</v>
      </c>
      <c r="O59" s="227">
        <v>0</v>
      </c>
      <c r="P59" s="227" t="s">
        <v>526</v>
      </c>
      <c r="Q59" s="227">
        <v>0</v>
      </c>
      <c r="R59" s="227">
        <f t="shared" si="3"/>
        <v>0</v>
      </c>
      <c r="S59" s="227">
        <v>0</v>
      </c>
      <c r="T59" s="227" t="s">
        <v>526</v>
      </c>
      <c r="U59" s="227">
        <v>0</v>
      </c>
      <c r="V59" s="227">
        <v>0</v>
      </c>
      <c r="W59" s="227">
        <v>0</v>
      </c>
      <c r="X59" s="227" t="s">
        <v>526</v>
      </c>
      <c r="Y59" s="227">
        <v>0</v>
      </c>
      <c r="Z59" s="227">
        <v>0</v>
      </c>
      <c r="AA59" s="227">
        <v>0</v>
      </c>
      <c r="AB59" s="227" t="s">
        <v>526</v>
      </c>
      <c r="AC59" s="228">
        <f t="shared" si="4"/>
        <v>0</v>
      </c>
    </row>
    <row r="60" spans="1:29" x14ac:dyDescent="0.25">
      <c r="A60" s="229" t="s">
        <v>218</v>
      </c>
      <c r="B60" s="67" t="s">
        <v>146</v>
      </c>
      <c r="C60" s="227" t="s">
        <v>526</v>
      </c>
      <c r="D60" s="227">
        <v>0</v>
      </c>
      <c r="E60" s="232" t="str">
        <f t="shared" si="5"/>
        <v>нд</v>
      </c>
      <c r="F60" s="227">
        <f t="shared" si="2"/>
        <v>0</v>
      </c>
      <c r="G60" s="232">
        <v>0</v>
      </c>
      <c r="H60" s="227" t="s">
        <v>526</v>
      </c>
      <c r="I60" s="250">
        <v>0</v>
      </c>
      <c r="J60" s="250">
        <v>0</v>
      </c>
      <c r="K60" s="250">
        <v>0</v>
      </c>
      <c r="L60" s="227" t="s">
        <v>526</v>
      </c>
      <c r="M60" s="232">
        <v>0</v>
      </c>
      <c r="N60" s="232">
        <v>0</v>
      </c>
      <c r="O60" s="232">
        <v>0</v>
      </c>
      <c r="P60" s="227" t="s">
        <v>526</v>
      </c>
      <c r="Q60" s="232">
        <v>0</v>
      </c>
      <c r="R60" s="227">
        <f t="shared" si="3"/>
        <v>0</v>
      </c>
      <c r="S60" s="232">
        <v>0</v>
      </c>
      <c r="T60" s="227" t="s">
        <v>526</v>
      </c>
      <c r="U60" s="232">
        <v>0</v>
      </c>
      <c r="V60" s="232">
        <v>0</v>
      </c>
      <c r="W60" s="232">
        <v>0</v>
      </c>
      <c r="X60" s="227" t="s">
        <v>526</v>
      </c>
      <c r="Y60" s="250">
        <v>0</v>
      </c>
      <c r="Z60" s="250">
        <v>0</v>
      </c>
      <c r="AA60" s="250">
        <v>0</v>
      </c>
      <c r="AB60" s="227" t="s">
        <v>526</v>
      </c>
      <c r="AC60" s="228">
        <f t="shared" si="4"/>
        <v>0</v>
      </c>
    </row>
    <row r="61" spans="1:29" x14ac:dyDescent="0.25">
      <c r="A61" s="229" t="s">
        <v>219</v>
      </c>
      <c r="B61" s="67" t="s">
        <v>144</v>
      </c>
      <c r="C61" s="227" t="s">
        <v>526</v>
      </c>
      <c r="D61" s="227">
        <v>0</v>
      </c>
      <c r="E61" s="232" t="str">
        <f t="shared" si="5"/>
        <v>нд</v>
      </c>
      <c r="F61" s="227">
        <f t="shared" si="2"/>
        <v>0</v>
      </c>
      <c r="G61" s="232">
        <v>0</v>
      </c>
      <c r="H61" s="227" t="s">
        <v>526</v>
      </c>
      <c r="I61" s="250">
        <v>0</v>
      </c>
      <c r="J61" s="250">
        <v>0</v>
      </c>
      <c r="K61" s="250">
        <v>0</v>
      </c>
      <c r="L61" s="227" t="s">
        <v>526</v>
      </c>
      <c r="M61" s="232">
        <v>0</v>
      </c>
      <c r="N61" s="232">
        <v>0</v>
      </c>
      <c r="O61" s="232">
        <v>0</v>
      </c>
      <c r="P61" s="227" t="s">
        <v>526</v>
      </c>
      <c r="Q61" s="232">
        <v>0</v>
      </c>
      <c r="R61" s="227">
        <f t="shared" si="3"/>
        <v>0</v>
      </c>
      <c r="S61" s="232">
        <v>0</v>
      </c>
      <c r="T61" s="227" t="s">
        <v>526</v>
      </c>
      <c r="U61" s="232">
        <v>0</v>
      </c>
      <c r="V61" s="232">
        <v>0</v>
      </c>
      <c r="W61" s="232">
        <v>0</v>
      </c>
      <c r="X61" s="227" t="s">
        <v>526</v>
      </c>
      <c r="Y61" s="250">
        <v>0</v>
      </c>
      <c r="Z61" s="250">
        <v>0</v>
      </c>
      <c r="AA61" s="250">
        <v>0</v>
      </c>
      <c r="AB61" s="227" t="s">
        <v>526</v>
      </c>
      <c r="AC61" s="228">
        <f t="shared" si="4"/>
        <v>0</v>
      </c>
    </row>
    <row r="62" spans="1:29" x14ac:dyDescent="0.25">
      <c r="A62" s="229" t="s">
        <v>220</v>
      </c>
      <c r="B62" s="67" t="s">
        <v>142</v>
      </c>
      <c r="C62" s="227" t="s">
        <v>526</v>
      </c>
      <c r="D62" s="227">
        <v>0</v>
      </c>
      <c r="E62" s="232" t="str">
        <f t="shared" si="5"/>
        <v>нд</v>
      </c>
      <c r="F62" s="227">
        <f t="shared" si="2"/>
        <v>0</v>
      </c>
      <c r="G62" s="232">
        <v>0</v>
      </c>
      <c r="H62" s="227" t="s">
        <v>526</v>
      </c>
      <c r="I62" s="250">
        <v>0</v>
      </c>
      <c r="J62" s="250">
        <v>0</v>
      </c>
      <c r="K62" s="250">
        <v>0</v>
      </c>
      <c r="L62" s="227" t="s">
        <v>526</v>
      </c>
      <c r="M62" s="232">
        <v>0</v>
      </c>
      <c r="N62" s="232">
        <v>0</v>
      </c>
      <c r="O62" s="232">
        <v>0</v>
      </c>
      <c r="P62" s="227" t="s">
        <v>526</v>
      </c>
      <c r="Q62" s="232">
        <v>0</v>
      </c>
      <c r="R62" s="227">
        <f t="shared" si="3"/>
        <v>0</v>
      </c>
      <c r="S62" s="232">
        <v>0</v>
      </c>
      <c r="T62" s="227" t="s">
        <v>526</v>
      </c>
      <c r="U62" s="232">
        <v>0</v>
      </c>
      <c r="V62" s="232">
        <v>0</v>
      </c>
      <c r="W62" s="232">
        <v>0</v>
      </c>
      <c r="X62" s="227" t="s">
        <v>526</v>
      </c>
      <c r="Y62" s="250">
        <v>0</v>
      </c>
      <c r="Z62" s="250">
        <v>0</v>
      </c>
      <c r="AA62" s="250">
        <v>0</v>
      </c>
      <c r="AB62" s="227" t="s">
        <v>526</v>
      </c>
      <c r="AC62" s="228">
        <f t="shared" si="4"/>
        <v>0</v>
      </c>
    </row>
    <row r="63" spans="1:29" x14ac:dyDescent="0.25">
      <c r="A63" s="229" t="s">
        <v>221</v>
      </c>
      <c r="B63" s="67" t="s">
        <v>223</v>
      </c>
      <c r="C63" s="227" t="s">
        <v>526</v>
      </c>
      <c r="D63" s="227">
        <v>0</v>
      </c>
      <c r="E63" s="232" t="str">
        <f t="shared" si="5"/>
        <v>нд</v>
      </c>
      <c r="F63" s="227">
        <f t="shared" si="2"/>
        <v>0</v>
      </c>
      <c r="G63" s="232">
        <v>0</v>
      </c>
      <c r="H63" s="227" t="s">
        <v>526</v>
      </c>
      <c r="I63" s="250">
        <v>0</v>
      </c>
      <c r="J63" s="250">
        <v>0</v>
      </c>
      <c r="K63" s="250">
        <v>0</v>
      </c>
      <c r="L63" s="227" t="s">
        <v>526</v>
      </c>
      <c r="M63" s="232">
        <v>0</v>
      </c>
      <c r="N63" s="232">
        <v>0</v>
      </c>
      <c r="O63" s="232">
        <v>0</v>
      </c>
      <c r="P63" s="227" t="s">
        <v>526</v>
      </c>
      <c r="Q63" s="232">
        <v>0</v>
      </c>
      <c r="R63" s="227">
        <f t="shared" si="3"/>
        <v>0</v>
      </c>
      <c r="S63" s="232">
        <v>0</v>
      </c>
      <c r="T63" s="227" t="s">
        <v>526</v>
      </c>
      <c r="U63" s="232">
        <v>0</v>
      </c>
      <c r="V63" s="232">
        <v>0</v>
      </c>
      <c r="W63" s="232">
        <v>0</v>
      </c>
      <c r="X63" s="227" t="s">
        <v>526</v>
      </c>
      <c r="Y63" s="250">
        <v>0</v>
      </c>
      <c r="Z63" s="250">
        <v>0</v>
      </c>
      <c r="AA63" s="250">
        <v>0</v>
      </c>
      <c r="AB63" s="227" t="s">
        <v>526</v>
      </c>
      <c r="AC63" s="228">
        <f t="shared" si="4"/>
        <v>0</v>
      </c>
    </row>
    <row r="64" spans="1:29" ht="18.75" x14ac:dyDescent="0.25">
      <c r="A64" s="229" t="s">
        <v>222</v>
      </c>
      <c r="B64" s="234" t="s">
        <v>544</v>
      </c>
      <c r="C64" s="227" t="s">
        <v>526</v>
      </c>
      <c r="D64" s="227">
        <v>0</v>
      </c>
      <c r="E64" s="232" t="str">
        <f t="shared" si="5"/>
        <v>нд</v>
      </c>
      <c r="F64" s="227">
        <f t="shared" si="2"/>
        <v>0</v>
      </c>
      <c r="G64" s="232">
        <v>0</v>
      </c>
      <c r="H64" s="250">
        <v>0</v>
      </c>
      <c r="I64" s="250">
        <v>0</v>
      </c>
      <c r="J64" s="250">
        <v>0</v>
      </c>
      <c r="K64" s="250">
        <v>0</v>
      </c>
      <c r="L64" s="232">
        <v>0</v>
      </c>
      <c r="M64" s="232">
        <v>0</v>
      </c>
      <c r="N64" s="232">
        <v>0</v>
      </c>
      <c r="O64" s="232">
        <v>0</v>
      </c>
      <c r="P64" s="232">
        <v>0</v>
      </c>
      <c r="Q64" s="232">
        <v>0</v>
      </c>
      <c r="R64" s="227">
        <f t="shared" si="3"/>
        <v>0</v>
      </c>
      <c r="S64" s="232">
        <v>0</v>
      </c>
      <c r="T64" s="232" t="str">
        <f>C64</f>
        <v>нд</v>
      </c>
      <c r="U64" s="232">
        <v>0</v>
      </c>
      <c r="V64" s="232">
        <v>0</v>
      </c>
      <c r="W64" s="232">
        <v>0</v>
      </c>
      <c r="X64" s="227" t="s">
        <v>526</v>
      </c>
      <c r="Y64" s="250">
        <v>0</v>
      </c>
      <c r="Z64" s="250">
        <v>0</v>
      </c>
      <c r="AA64" s="250">
        <v>0</v>
      </c>
      <c r="AB64" s="227" t="s">
        <v>526</v>
      </c>
      <c r="AC64" s="228">
        <f t="shared" si="4"/>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93"/>
      <c r="C66" s="493"/>
      <c r="D66" s="493"/>
      <c r="E66" s="493"/>
      <c r="F66" s="493"/>
      <c r="G66" s="493"/>
      <c r="H66" s="493"/>
      <c r="I66" s="493"/>
      <c r="J66" s="493"/>
      <c r="K66" s="493"/>
      <c r="L66" s="493"/>
      <c r="M66" s="493"/>
      <c r="N66" s="211"/>
      <c r="O66" s="211"/>
      <c r="P66" s="211"/>
      <c r="Q66" s="211"/>
      <c r="R66" s="211"/>
      <c r="S66" s="211"/>
      <c r="T66" s="211"/>
      <c r="U66" s="211"/>
      <c r="V66" s="211"/>
      <c r="W66" s="211"/>
      <c r="X66" s="252"/>
      <c r="Y66" s="252"/>
      <c r="Z66" s="252"/>
      <c r="AA66" s="252"/>
      <c r="AB66" s="63"/>
    </row>
    <row r="67" spans="1:28" x14ac:dyDescent="0.25">
      <c r="A67" s="59"/>
      <c r="B67" s="59"/>
      <c r="C67" s="59"/>
      <c r="D67" s="59"/>
      <c r="E67" s="59"/>
      <c r="F67" s="59"/>
      <c r="AB67" s="59"/>
    </row>
    <row r="68" spans="1:28" ht="50.25" customHeight="1" x14ac:dyDescent="0.25">
      <c r="A68" s="59"/>
      <c r="B68" s="494"/>
      <c r="C68" s="494"/>
      <c r="D68" s="494"/>
      <c r="E68" s="494"/>
      <c r="F68" s="494"/>
      <c r="G68" s="494"/>
      <c r="H68" s="494"/>
      <c r="I68" s="494"/>
      <c r="J68" s="494"/>
      <c r="K68" s="494"/>
      <c r="L68" s="494"/>
      <c r="M68" s="494"/>
      <c r="N68" s="212"/>
      <c r="O68" s="212"/>
      <c r="P68" s="212"/>
      <c r="Q68" s="212"/>
      <c r="R68" s="212"/>
      <c r="S68" s="212"/>
      <c r="T68" s="212"/>
      <c r="U68" s="212"/>
      <c r="V68" s="212"/>
      <c r="W68" s="212"/>
      <c r="X68" s="253"/>
      <c r="Y68" s="253"/>
      <c r="Z68" s="253"/>
      <c r="AA68" s="253"/>
      <c r="AB68" s="59"/>
    </row>
    <row r="69" spans="1:28" x14ac:dyDescent="0.25">
      <c r="A69" s="59"/>
      <c r="B69" s="59"/>
      <c r="C69" s="59"/>
      <c r="D69" s="59"/>
      <c r="E69" s="59"/>
      <c r="F69" s="59"/>
      <c r="AB69" s="59"/>
    </row>
    <row r="70" spans="1:28" ht="36.75" customHeight="1" x14ac:dyDescent="0.25">
      <c r="A70" s="59"/>
      <c r="B70" s="493"/>
      <c r="C70" s="493"/>
      <c r="D70" s="493"/>
      <c r="E70" s="493"/>
      <c r="F70" s="493"/>
      <c r="G70" s="493"/>
      <c r="H70" s="493"/>
      <c r="I70" s="493"/>
      <c r="J70" s="493"/>
      <c r="K70" s="493"/>
      <c r="L70" s="493"/>
      <c r="M70" s="493"/>
      <c r="N70" s="211"/>
      <c r="O70" s="211"/>
      <c r="P70" s="211"/>
      <c r="Q70" s="211"/>
      <c r="R70" s="211"/>
      <c r="S70" s="211"/>
      <c r="T70" s="211"/>
      <c r="U70" s="211"/>
      <c r="V70" s="211"/>
      <c r="W70" s="211"/>
      <c r="X70" s="252"/>
      <c r="Y70" s="252"/>
      <c r="Z70" s="252"/>
      <c r="AA70" s="252"/>
      <c r="AB70" s="59"/>
    </row>
    <row r="71" spans="1:28" x14ac:dyDescent="0.25">
      <c r="A71" s="59"/>
      <c r="B71" s="62"/>
      <c r="C71" s="62"/>
      <c r="D71" s="62"/>
      <c r="E71" s="62"/>
      <c r="F71" s="62"/>
      <c r="AB71" s="59"/>
    </row>
    <row r="72" spans="1:28" ht="51" customHeight="1" x14ac:dyDescent="0.25">
      <c r="A72" s="59"/>
      <c r="B72" s="493"/>
      <c r="C72" s="493"/>
      <c r="D72" s="493"/>
      <c r="E72" s="493"/>
      <c r="F72" s="493"/>
      <c r="G72" s="493"/>
      <c r="H72" s="493"/>
      <c r="I72" s="493"/>
      <c r="J72" s="493"/>
      <c r="K72" s="493"/>
      <c r="L72" s="493"/>
      <c r="M72" s="493"/>
      <c r="N72" s="211"/>
      <c r="O72" s="211"/>
      <c r="P72" s="211"/>
      <c r="Q72" s="211"/>
      <c r="R72" s="211"/>
      <c r="S72" s="211"/>
      <c r="T72" s="211"/>
      <c r="U72" s="211"/>
      <c r="V72" s="211"/>
      <c r="W72" s="211"/>
      <c r="X72" s="252"/>
      <c r="Y72" s="252"/>
      <c r="Z72" s="252"/>
      <c r="AA72" s="252"/>
      <c r="AB72" s="59"/>
    </row>
    <row r="73" spans="1:28" ht="32.25" customHeight="1" x14ac:dyDescent="0.25">
      <c r="A73" s="59"/>
      <c r="B73" s="494"/>
      <c r="C73" s="494"/>
      <c r="D73" s="494"/>
      <c r="E73" s="494"/>
      <c r="F73" s="494"/>
      <c r="G73" s="494"/>
      <c r="H73" s="494"/>
      <c r="I73" s="494"/>
      <c r="J73" s="494"/>
      <c r="K73" s="494"/>
      <c r="L73" s="494"/>
      <c r="M73" s="494"/>
      <c r="N73" s="212"/>
      <c r="O73" s="212"/>
      <c r="P73" s="212"/>
      <c r="Q73" s="212"/>
      <c r="R73" s="212"/>
      <c r="S73" s="212"/>
      <c r="T73" s="212"/>
      <c r="U73" s="212"/>
      <c r="V73" s="212"/>
      <c r="W73" s="212"/>
      <c r="X73" s="253"/>
      <c r="Y73" s="253"/>
      <c r="Z73" s="253"/>
      <c r="AA73" s="253"/>
      <c r="AB73" s="59"/>
    </row>
    <row r="74" spans="1:28" ht="51.75" customHeight="1" x14ac:dyDescent="0.25">
      <c r="A74" s="59"/>
      <c r="B74" s="493"/>
      <c r="C74" s="493"/>
      <c r="D74" s="493"/>
      <c r="E74" s="493"/>
      <c r="F74" s="493"/>
      <c r="G74" s="493"/>
      <c r="H74" s="493"/>
      <c r="I74" s="493"/>
      <c r="J74" s="493"/>
      <c r="K74" s="493"/>
      <c r="L74" s="493"/>
      <c r="M74" s="493"/>
      <c r="N74" s="211"/>
      <c r="O74" s="211"/>
      <c r="P74" s="211"/>
      <c r="Q74" s="211"/>
      <c r="R74" s="211"/>
      <c r="S74" s="211"/>
      <c r="T74" s="211"/>
      <c r="U74" s="211"/>
      <c r="V74" s="211"/>
      <c r="W74" s="211"/>
      <c r="X74" s="252"/>
      <c r="Y74" s="252"/>
      <c r="Z74" s="252"/>
      <c r="AA74" s="252"/>
      <c r="AB74" s="59"/>
    </row>
    <row r="75" spans="1:28" ht="21.75" customHeight="1" x14ac:dyDescent="0.25">
      <c r="A75" s="59"/>
      <c r="B75" s="495"/>
      <c r="C75" s="495"/>
      <c r="D75" s="495"/>
      <c r="E75" s="495"/>
      <c r="F75" s="495"/>
      <c r="G75" s="495"/>
      <c r="H75" s="495"/>
      <c r="I75" s="495"/>
      <c r="J75" s="495"/>
      <c r="K75" s="495"/>
      <c r="L75" s="495"/>
      <c r="M75" s="495"/>
      <c r="N75" s="209"/>
      <c r="O75" s="209"/>
      <c r="P75" s="209"/>
      <c r="Q75" s="209"/>
      <c r="R75" s="209"/>
      <c r="S75" s="209"/>
      <c r="T75" s="209"/>
      <c r="U75" s="209"/>
      <c r="V75" s="209"/>
      <c r="W75" s="209"/>
      <c r="X75" s="254"/>
      <c r="Y75" s="254"/>
      <c r="Z75" s="254"/>
      <c r="AA75" s="254"/>
      <c r="AB75" s="59"/>
    </row>
    <row r="76" spans="1:28" ht="23.25" customHeight="1" x14ac:dyDescent="0.25">
      <c r="A76" s="59"/>
      <c r="B76" s="60"/>
      <c r="C76" s="60"/>
      <c r="D76" s="60"/>
      <c r="E76" s="60"/>
      <c r="F76" s="60"/>
      <c r="AB76" s="59"/>
    </row>
    <row r="77" spans="1:28" ht="18.75" customHeight="1" x14ac:dyDescent="0.25">
      <c r="A77" s="59"/>
      <c r="B77" s="492"/>
      <c r="C77" s="492"/>
      <c r="D77" s="492"/>
      <c r="E77" s="492"/>
      <c r="F77" s="492"/>
      <c r="G77" s="492"/>
      <c r="H77" s="492"/>
      <c r="I77" s="492"/>
      <c r="J77" s="492"/>
      <c r="K77" s="492"/>
      <c r="L77" s="492"/>
      <c r="M77" s="492"/>
      <c r="N77" s="210"/>
      <c r="O77" s="210"/>
      <c r="P77" s="210"/>
      <c r="Q77" s="210"/>
      <c r="R77" s="210"/>
      <c r="S77" s="210"/>
      <c r="T77" s="210"/>
      <c r="U77" s="210"/>
      <c r="V77" s="210"/>
      <c r="W77" s="210"/>
      <c r="X77" s="251"/>
      <c r="Y77" s="251"/>
      <c r="Z77" s="251"/>
      <c r="AA77" s="251"/>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G24 C25:D64 F25:G64 M24:O63 Q24:S63 U24:W63 L64:W64">
    <cfRule type="cellIs" dxfId="12" priority="14" operator="notEqual">
      <formula>0</formula>
    </cfRule>
  </conditionalFormatting>
  <conditionalFormatting sqref="AC24:AC64">
    <cfRule type="cellIs" dxfId="11" priority="13" operator="notEqual">
      <formula>0</formula>
    </cfRule>
  </conditionalFormatting>
  <conditionalFormatting sqref="E25:E64">
    <cfRule type="cellIs" dxfId="10" priority="12" operator="notEqual">
      <formula>0</formula>
    </cfRule>
  </conditionalFormatting>
  <conditionalFormatting sqref="L24:L63">
    <cfRule type="cellIs" dxfId="9" priority="10" operator="notEqual">
      <formula>0</formula>
    </cfRule>
  </conditionalFormatting>
  <conditionalFormatting sqref="P24:P63">
    <cfRule type="cellIs" dxfId="8" priority="9" operator="notEqual">
      <formula>0</formula>
    </cfRule>
  </conditionalFormatting>
  <conditionalFormatting sqref="T24:T63">
    <cfRule type="cellIs" dxfId="7" priority="8" operator="notEqual">
      <formula>0</formula>
    </cfRule>
  </conditionalFormatting>
  <conditionalFormatting sqref="H64:K64 I24:K63">
    <cfRule type="cellIs" dxfId="6" priority="7" operator="notEqual">
      <formula>0</formula>
    </cfRule>
  </conditionalFormatting>
  <conditionalFormatting sqref="H24:H63">
    <cfRule type="cellIs" dxfId="5" priority="6" operator="notEqual">
      <formula>0</formula>
    </cfRule>
  </conditionalFormatting>
  <conditionalFormatting sqref="Y24:Y64">
    <cfRule type="cellIs" dxfId="4" priority="5" operator="notEqual">
      <formula>0</formula>
    </cfRule>
  </conditionalFormatting>
  <conditionalFormatting sqref="X24:X64">
    <cfRule type="cellIs" dxfId="3" priority="4" operator="notEqual">
      <formula>0</formula>
    </cfRule>
  </conditionalFormatting>
  <conditionalFormatting sqref="Z25:AA64 AA24">
    <cfRule type="cellIs" dxfId="2" priority="3" operator="notEqual">
      <formula>0</formula>
    </cfRule>
  </conditionalFormatting>
  <conditionalFormatting sqref="AB24:AB64">
    <cfRule type="cellIs" dxfId="1" priority="2" operator="notEqual">
      <formula>0</formula>
    </cfRule>
  </conditionalFormatting>
  <conditionalFormatting sqref="Z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2" t="s">
        <v>7</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13" t="str">
        <f>'1. паспорт местоположение'!A9:C9</f>
        <v>Акционерное общество "Западная энергетическая компания"</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13" t="str">
        <f>'1. паспорт местоположение'!A12:C12</f>
        <v>M 22-08</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ht="43.5" customHeight="1" x14ac:dyDescent="0.25">
      <c r="A15" s="419" t="str">
        <f>'1. паспорт местоположение'!A15</f>
        <v>Приобретение автокрана на базе КАМАЗ 43118</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5"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5" customFormat="1" x14ac:dyDescent="0.25">
      <c r="A21" s="510" t="s">
        <v>492</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5" customFormat="1" ht="58.5" customHeight="1" x14ac:dyDescent="0.25">
      <c r="A22" s="501" t="s">
        <v>50</v>
      </c>
      <c r="B22" s="512" t="s">
        <v>22</v>
      </c>
      <c r="C22" s="501" t="s">
        <v>49</v>
      </c>
      <c r="D22" s="501" t="s">
        <v>48</v>
      </c>
      <c r="E22" s="515" t="s">
        <v>503</v>
      </c>
      <c r="F22" s="516"/>
      <c r="G22" s="516"/>
      <c r="H22" s="516"/>
      <c r="I22" s="516"/>
      <c r="J22" s="516"/>
      <c r="K22" s="516"/>
      <c r="L22" s="517"/>
      <c r="M22" s="501" t="s">
        <v>47</v>
      </c>
      <c r="N22" s="501" t="s">
        <v>46</v>
      </c>
      <c r="O22" s="501" t="s">
        <v>45</v>
      </c>
      <c r="P22" s="496" t="s">
        <v>253</v>
      </c>
      <c r="Q22" s="496" t="s">
        <v>44</v>
      </c>
      <c r="R22" s="496" t="s">
        <v>43</v>
      </c>
      <c r="S22" s="496" t="s">
        <v>42</v>
      </c>
      <c r="T22" s="496"/>
      <c r="U22" s="518" t="s">
        <v>41</v>
      </c>
      <c r="V22" s="518" t="s">
        <v>40</v>
      </c>
      <c r="W22" s="496" t="s">
        <v>39</v>
      </c>
      <c r="X22" s="496" t="s">
        <v>38</v>
      </c>
      <c r="Y22" s="496" t="s">
        <v>37</v>
      </c>
      <c r="Z22" s="503" t="s">
        <v>36</v>
      </c>
      <c r="AA22" s="496" t="s">
        <v>35</v>
      </c>
      <c r="AB22" s="496" t="s">
        <v>34</v>
      </c>
      <c r="AC22" s="496" t="s">
        <v>33</v>
      </c>
      <c r="AD22" s="496" t="s">
        <v>32</v>
      </c>
      <c r="AE22" s="496" t="s">
        <v>31</v>
      </c>
      <c r="AF22" s="496" t="s">
        <v>30</v>
      </c>
      <c r="AG22" s="496"/>
      <c r="AH22" s="496"/>
      <c r="AI22" s="496"/>
      <c r="AJ22" s="496"/>
      <c r="AK22" s="496"/>
      <c r="AL22" s="496" t="s">
        <v>29</v>
      </c>
      <c r="AM22" s="496"/>
      <c r="AN22" s="496"/>
      <c r="AO22" s="496"/>
      <c r="AP22" s="496" t="s">
        <v>28</v>
      </c>
      <c r="AQ22" s="496"/>
      <c r="AR22" s="496" t="s">
        <v>27</v>
      </c>
      <c r="AS22" s="496" t="s">
        <v>26</v>
      </c>
      <c r="AT22" s="496" t="s">
        <v>25</v>
      </c>
      <c r="AU22" s="496" t="s">
        <v>24</v>
      </c>
      <c r="AV22" s="504" t="s">
        <v>23</v>
      </c>
    </row>
    <row r="23" spans="1:48" s="25" customFormat="1" ht="64.5" customHeight="1" x14ac:dyDescent="0.25">
      <c r="A23" s="511"/>
      <c r="B23" s="513"/>
      <c r="C23" s="511"/>
      <c r="D23" s="511"/>
      <c r="E23" s="506" t="s">
        <v>21</v>
      </c>
      <c r="F23" s="497" t="s">
        <v>125</v>
      </c>
      <c r="G23" s="497" t="s">
        <v>124</v>
      </c>
      <c r="H23" s="497" t="s">
        <v>123</v>
      </c>
      <c r="I23" s="499" t="s">
        <v>413</v>
      </c>
      <c r="J23" s="499" t="s">
        <v>414</v>
      </c>
      <c r="K23" s="499" t="s">
        <v>415</v>
      </c>
      <c r="L23" s="497" t="s">
        <v>536</v>
      </c>
      <c r="M23" s="511"/>
      <c r="N23" s="511"/>
      <c r="O23" s="511"/>
      <c r="P23" s="496"/>
      <c r="Q23" s="496"/>
      <c r="R23" s="496"/>
      <c r="S23" s="508" t="s">
        <v>2</v>
      </c>
      <c r="T23" s="508" t="s">
        <v>9</v>
      </c>
      <c r="U23" s="518"/>
      <c r="V23" s="518"/>
      <c r="W23" s="496"/>
      <c r="X23" s="496"/>
      <c r="Y23" s="496"/>
      <c r="Z23" s="496"/>
      <c r="AA23" s="496"/>
      <c r="AB23" s="496"/>
      <c r="AC23" s="496"/>
      <c r="AD23" s="496"/>
      <c r="AE23" s="496"/>
      <c r="AF23" s="496" t="s">
        <v>20</v>
      </c>
      <c r="AG23" s="496"/>
      <c r="AH23" s="496" t="s">
        <v>19</v>
      </c>
      <c r="AI23" s="496"/>
      <c r="AJ23" s="501" t="s">
        <v>18</v>
      </c>
      <c r="AK23" s="501" t="s">
        <v>17</v>
      </c>
      <c r="AL23" s="501" t="s">
        <v>16</v>
      </c>
      <c r="AM23" s="501" t="s">
        <v>15</v>
      </c>
      <c r="AN23" s="501" t="s">
        <v>14</v>
      </c>
      <c r="AO23" s="501" t="s">
        <v>13</v>
      </c>
      <c r="AP23" s="501" t="s">
        <v>12</v>
      </c>
      <c r="AQ23" s="519" t="s">
        <v>9</v>
      </c>
      <c r="AR23" s="496"/>
      <c r="AS23" s="496"/>
      <c r="AT23" s="496"/>
      <c r="AU23" s="496"/>
      <c r="AV23" s="505"/>
    </row>
    <row r="24" spans="1:48" s="25" customFormat="1" ht="96.75" customHeight="1" x14ac:dyDescent="0.25">
      <c r="A24" s="502"/>
      <c r="B24" s="514"/>
      <c r="C24" s="502"/>
      <c r="D24" s="502"/>
      <c r="E24" s="507"/>
      <c r="F24" s="498"/>
      <c r="G24" s="498"/>
      <c r="H24" s="498"/>
      <c r="I24" s="500"/>
      <c r="J24" s="500"/>
      <c r="K24" s="500"/>
      <c r="L24" s="498"/>
      <c r="M24" s="502"/>
      <c r="N24" s="502"/>
      <c r="O24" s="502"/>
      <c r="P24" s="496"/>
      <c r="Q24" s="496"/>
      <c r="R24" s="496"/>
      <c r="S24" s="509"/>
      <c r="T24" s="509"/>
      <c r="U24" s="518"/>
      <c r="V24" s="518"/>
      <c r="W24" s="496"/>
      <c r="X24" s="496"/>
      <c r="Y24" s="496"/>
      <c r="Z24" s="496"/>
      <c r="AA24" s="496"/>
      <c r="AB24" s="496"/>
      <c r="AC24" s="496"/>
      <c r="AD24" s="496"/>
      <c r="AE24" s="496"/>
      <c r="AF24" s="135" t="s">
        <v>11</v>
      </c>
      <c r="AG24" s="135" t="s">
        <v>10</v>
      </c>
      <c r="AH24" s="136" t="s">
        <v>2</v>
      </c>
      <c r="AI24" s="136" t="s">
        <v>9</v>
      </c>
      <c r="AJ24" s="502"/>
      <c r="AK24" s="502"/>
      <c r="AL24" s="502"/>
      <c r="AM24" s="502"/>
      <c r="AN24" s="502"/>
      <c r="AO24" s="502"/>
      <c r="AP24" s="502"/>
      <c r="AQ24" s="520"/>
      <c r="AR24" s="496"/>
      <c r="AS24" s="496"/>
      <c r="AT24" s="496"/>
      <c r="AU24" s="496"/>
      <c r="AV24" s="50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46" zoomScale="90" zoomScaleNormal="90" zoomScaleSheetLayoutView="90" workbookViewId="0">
      <selection activeCell="B27" sqref="B27"/>
    </sheetView>
  </sheetViews>
  <sheetFormatPr defaultRowHeight="15.75" x14ac:dyDescent="0.25"/>
  <cols>
    <col min="1" max="1" width="66.140625" style="113" customWidth="1"/>
    <col min="2" max="2" width="54.2851562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26" t="str">
        <f>'7. Паспорт отчет о закупке'!A5:AV5</f>
        <v>Год раскрытия информации: 2022 год</v>
      </c>
      <c r="B5" s="526"/>
      <c r="C5" s="72"/>
      <c r="D5" s="72"/>
      <c r="E5" s="72"/>
      <c r="F5" s="72"/>
      <c r="G5" s="72"/>
      <c r="H5" s="72"/>
    </row>
    <row r="6" spans="1:8" ht="18.75" x14ac:dyDescent="0.3">
      <c r="A6" s="214"/>
      <c r="B6" s="214"/>
      <c r="C6" s="214"/>
      <c r="D6" s="214"/>
      <c r="E6" s="214"/>
      <c r="F6" s="214"/>
      <c r="G6" s="214"/>
      <c r="H6" s="214"/>
    </row>
    <row r="7" spans="1:8" ht="18.75" x14ac:dyDescent="0.25">
      <c r="A7" s="412" t="s">
        <v>7</v>
      </c>
      <c r="B7" s="412"/>
      <c r="C7" s="140"/>
      <c r="D7" s="140"/>
      <c r="E7" s="140"/>
      <c r="F7" s="140"/>
      <c r="G7" s="140"/>
      <c r="H7" s="140"/>
    </row>
    <row r="8" spans="1:8" ht="18.75" x14ac:dyDescent="0.25">
      <c r="A8" s="140"/>
      <c r="B8" s="140"/>
      <c r="C8" s="140"/>
      <c r="D8" s="140"/>
      <c r="E8" s="140"/>
      <c r="F8" s="140"/>
      <c r="G8" s="140"/>
      <c r="H8" s="140"/>
    </row>
    <row r="9" spans="1:8" x14ac:dyDescent="0.25">
      <c r="A9" s="413" t="str">
        <f>'7. Паспорт отчет о закупке'!A9:AV9</f>
        <v>Акционерное общество "Западная энергетическая компания"</v>
      </c>
      <c r="B9" s="413"/>
      <c r="C9" s="155"/>
      <c r="D9" s="155"/>
      <c r="E9" s="155"/>
      <c r="F9" s="155"/>
      <c r="G9" s="155"/>
      <c r="H9" s="155"/>
    </row>
    <row r="10" spans="1:8" x14ac:dyDescent="0.25">
      <c r="A10" s="417" t="s">
        <v>6</v>
      </c>
      <c r="B10" s="417"/>
      <c r="C10" s="142"/>
      <c r="D10" s="142"/>
      <c r="E10" s="142"/>
      <c r="F10" s="142"/>
      <c r="G10" s="142"/>
      <c r="H10" s="142"/>
    </row>
    <row r="11" spans="1:8" ht="18.75" x14ac:dyDescent="0.25">
      <c r="A11" s="140"/>
      <c r="B11" s="140"/>
      <c r="C11" s="140"/>
      <c r="D11" s="140"/>
      <c r="E11" s="140"/>
      <c r="F11" s="140"/>
      <c r="G11" s="140"/>
      <c r="H11" s="140"/>
    </row>
    <row r="12" spans="1:8" x14ac:dyDescent="0.25">
      <c r="A12" s="413" t="str">
        <f>'7. Паспорт отчет о закупке'!A12:AV12</f>
        <v>M 22-08</v>
      </c>
      <c r="B12" s="413"/>
      <c r="C12" s="155"/>
      <c r="D12" s="155"/>
      <c r="E12" s="155"/>
      <c r="F12" s="155"/>
      <c r="G12" s="155"/>
      <c r="H12" s="155"/>
    </row>
    <row r="13" spans="1:8" x14ac:dyDescent="0.25">
      <c r="A13" s="417" t="s">
        <v>5</v>
      </c>
      <c r="B13" s="417"/>
      <c r="C13" s="142"/>
      <c r="D13" s="142"/>
      <c r="E13" s="142"/>
      <c r="F13" s="142"/>
      <c r="G13" s="142"/>
      <c r="H13" s="142"/>
    </row>
    <row r="14" spans="1:8" ht="18.75" x14ac:dyDescent="0.25">
      <c r="A14" s="10"/>
      <c r="B14" s="10"/>
      <c r="C14" s="10"/>
      <c r="D14" s="10"/>
      <c r="E14" s="10"/>
      <c r="F14" s="10"/>
      <c r="G14" s="10"/>
      <c r="H14" s="10"/>
    </row>
    <row r="15" spans="1:8" ht="53.25" customHeight="1" x14ac:dyDescent="0.25">
      <c r="A15" s="458" t="str">
        <f>'7. Паспорт отчет о закупке'!A15:AV15</f>
        <v>Приобретение автокрана на базе КАМАЗ 43118</v>
      </c>
      <c r="B15" s="458"/>
      <c r="C15" s="155"/>
      <c r="D15" s="155"/>
      <c r="E15" s="155"/>
      <c r="F15" s="155"/>
      <c r="G15" s="155"/>
      <c r="H15" s="155"/>
    </row>
    <row r="16" spans="1:8" x14ac:dyDescent="0.25">
      <c r="A16" s="417" t="s">
        <v>4</v>
      </c>
      <c r="B16" s="417"/>
      <c r="C16" s="142"/>
      <c r="D16" s="142"/>
      <c r="E16" s="142"/>
      <c r="F16" s="142"/>
      <c r="G16" s="142"/>
      <c r="H16" s="142"/>
    </row>
    <row r="17" spans="1:4" x14ac:dyDescent="0.25">
      <c r="B17" s="114"/>
    </row>
    <row r="18" spans="1:4" x14ac:dyDescent="0.25">
      <c r="A18" s="521" t="s">
        <v>493</v>
      </c>
      <c r="B18" s="522"/>
    </row>
    <row r="19" spans="1:4" x14ac:dyDescent="0.25">
      <c r="B19" s="41"/>
    </row>
    <row r="20" spans="1:4" ht="16.5" thickBot="1" x14ac:dyDescent="0.3">
      <c r="B20" s="115"/>
    </row>
    <row r="21" spans="1:4" ht="83.25" customHeight="1" thickBot="1" x14ac:dyDescent="0.3">
      <c r="A21" s="116" t="s">
        <v>363</v>
      </c>
      <c r="B21" s="400" t="str">
        <f>A15</f>
        <v>Приобретение автокрана на базе КАМАЗ 43118</v>
      </c>
    </row>
    <row r="22" spans="1:4" ht="30.75" thickBot="1" x14ac:dyDescent="0.3">
      <c r="A22" s="116" t="s">
        <v>364</v>
      </c>
      <c r="B22" s="117"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6" t="s">
        <v>329</v>
      </c>
      <c r="B23" s="118" t="s">
        <v>545</v>
      </c>
    </row>
    <row r="24" spans="1:4" ht="16.5" thickBot="1" x14ac:dyDescent="0.3">
      <c r="A24" s="116" t="s">
        <v>365</v>
      </c>
      <c r="B24" s="118" t="s">
        <v>546</v>
      </c>
    </row>
    <row r="25" spans="1:4" ht="16.5" thickBot="1" x14ac:dyDescent="0.3">
      <c r="A25" s="119" t="s">
        <v>366</v>
      </c>
      <c r="B25" s="117">
        <v>2022</v>
      </c>
    </row>
    <row r="26" spans="1:4" ht="16.5" thickBot="1" x14ac:dyDescent="0.3">
      <c r="A26" s="120" t="s">
        <v>367</v>
      </c>
      <c r="B26" s="121" t="s">
        <v>540</v>
      </c>
    </row>
    <row r="27" spans="1:4" ht="29.25" thickBot="1" x14ac:dyDescent="0.3">
      <c r="A27" s="127" t="s">
        <v>554</v>
      </c>
      <c r="B27" s="189">
        <f>'6.2. Паспорт фин осв ввод'!D24</f>
        <v>5.1599999999999993</v>
      </c>
    </row>
    <row r="28" spans="1:4" ht="16.5" thickBot="1" x14ac:dyDescent="0.3">
      <c r="A28" s="188" t="s">
        <v>368</v>
      </c>
      <c r="B28" s="188" t="s">
        <v>610</v>
      </c>
    </row>
    <row r="29" spans="1:4" ht="29.25" thickBot="1" x14ac:dyDescent="0.3">
      <c r="A29" s="128" t="s">
        <v>369</v>
      </c>
      <c r="B29" s="236">
        <f>'7. Паспорт отчет о закупке'!AD27/1000</f>
        <v>0</v>
      </c>
    </row>
    <row r="30" spans="1:4" ht="29.25" thickBot="1" x14ac:dyDescent="0.3">
      <c r="A30" s="128" t="s">
        <v>370</v>
      </c>
      <c r="B30" s="236">
        <f>B32+B49+B66</f>
        <v>0</v>
      </c>
      <c r="C30" s="59"/>
      <c r="D30" s="59"/>
    </row>
    <row r="31" spans="1:4" ht="16.5" thickBot="1" x14ac:dyDescent="0.3">
      <c r="A31" s="188" t="s">
        <v>371</v>
      </c>
      <c r="B31" s="237"/>
      <c r="C31" s="59"/>
      <c r="D31" s="59"/>
    </row>
    <row r="32" spans="1:4" ht="29.25" thickBot="1" x14ac:dyDescent="0.3">
      <c r="A32" s="128" t="s">
        <v>372</v>
      </c>
      <c r="B32" s="236">
        <f>SUMIF(C33:C48,10,B33:B48)</f>
        <v>0</v>
      </c>
      <c r="C32" s="59"/>
      <c r="D32" s="59"/>
    </row>
    <row r="33" spans="1:4" ht="16.5" thickBot="1" x14ac:dyDescent="0.3">
      <c r="A33" s="238" t="s">
        <v>373</v>
      </c>
      <c r="B33" s="239"/>
      <c r="C33" s="59">
        <v>10</v>
      </c>
      <c r="D33" s="59"/>
    </row>
    <row r="34" spans="1:4" ht="16.5" thickBot="1" x14ac:dyDescent="0.3">
      <c r="A34" s="188" t="s">
        <v>374</v>
      </c>
      <c r="B34" s="240">
        <f>B33/$B$27</f>
        <v>0</v>
      </c>
      <c r="C34" s="59"/>
      <c r="D34" s="59"/>
    </row>
    <row r="35" spans="1:4" ht="16.5" thickBot="1" x14ac:dyDescent="0.3">
      <c r="A35" s="188" t="s">
        <v>375</v>
      </c>
      <c r="B35" s="236"/>
      <c r="C35" s="59">
        <v>1</v>
      </c>
      <c r="D35" s="59"/>
    </row>
    <row r="36" spans="1:4" ht="16.5" thickBot="1" x14ac:dyDescent="0.3">
      <c r="A36" s="188" t="s">
        <v>376</v>
      </c>
      <c r="B36" s="236"/>
      <c r="C36" s="59">
        <v>2</v>
      </c>
      <c r="D36" s="59"/>
    </row>
    <row r="37" spans="1:4" ht="16.5" thickBot="1" x14ac:dyDescent="0.3">
      <c r="A37" s="238" t="s">
        <v>373</v>
      </c>
      <c r="B37" s="239"/>
      <c r="C37" s="59">
        <v>10</v>
      </c>
      <c r="D37" s="59"/>
    </row>
    <row r="38" spans="1:4" ht="16.5" thickBot="1" x14ac:dyDescent="0.3">
      <c r="A38" s="188" t="s">
        <v>374</v>
      </c>
      <c r="B38" s="240">
        <f t="shared" ref="B38" si="0">B37/$B$27</f>
        <v>0</v>
      </c>
      <c r="C38" s="59"/>
      <c r="D38" s="59"/>
    </row>
    <row r="39" spans="1:4" ht="16.5" thickBot="1" x14ac:dyDescent="0.3">
      <c r="A39" s="188" t="s">
        <v>375</v>
      </c>
      <c r="B39" s="236"/>
      <c r="C39" s="59">
        <v>1</v>
      </c>
      <c r="D39" s="59"/>
    </row>
    <row r="40" spans="1:4" ht="16.5" thickBot="1" x14ac:dyDescent="0.3">
      <c r="A40" s="188" t="s">
        <v>376</v>
      </c>
      <c r="B40" s="236"/>
      <c r="C40" s="59">
        <v>2</v>
      </c>
      <c r="D40" s="59"/>
    </row>
    <row r="41" spans="1:4" ht="16.5" thickBot="1" x14ac:dyDescent="0.3">
      <c r="A41" s="238" t="s">
        <v>373</v>
      </c>
      <c r="B41" s="239"/>
      <c r="C41" s="59">
        <v>10</v>
      </c>
      <c r="D41" s="59"/>
    </row>
    <row r="42" spans="1:4" ht="16.5" thickBot="1" x14ac:dyDescent="0.3">
      <c r="A42" s="188" t="s">
        <v>374</v>
      </c>
      <c r="B42" s="240">
        <f t="shared" ref="B42" si="1">B41/$B$27</f>
        <v>0</v>
      </c>
      <c r="C42" s="59"/>
      <c r="D42" s="59"/>
    </row>
    <row r="43" spans="1:4" ht="16.5" thickBot="1" x14ac:dyDescent="0.3">
      <c r="A43" s="188" t="s">
        <v>375</v>
      </c>
      <c r="B43" s="236"/>
      <c r="C43" s="59">
        <v>1</v>
      </c>
      <c r="D43" s="59"/>
    </row>
    <row r="44" spans="1:4" ht="16.5" thickBot="1" x14ac:dyDescent="0.3">
      <c r="A44" s="188" t="s">
        <v>376</v>
      </c>
      <c r="B44" s="236"/>
      <c r="C44" s="59">
        <v>2</v>
      </c>
      <c r="D44" s="59"/>
    </row>
    <row r="45" spans="1:4" ht="16.5" thickBot="1" x14ac:dyDescent="0.3">
      <c r="A45" s="238" t="s">
        <v>373</v>
      </c>
      <c r="B45" s="239"/>
      <c r="C45" s="59">
        <v>10</v>
      </c>
      <c r="D45" s="59"/>
    </row>
    <row r="46" spans="1:4" ht="16.5" thickBot="1" x14ac:dyDescent="0.3">
      <c r="A46" s="188" t="s">
        <v>374</v>
      </c>
      <c r="B46" s="240">
        <f t="shared" ref="B46" si="2">B45/$B$27</f>
        <v>0</v>
      </c>
      <c r="C46" s="59"/>
      <c r="D46" s="59"/>
    </row>
    <row r="47" spans="1:4" ht="16.5" thickBot="1" x14ac:dyDescent="0.3">
      <c r="A47" s="188" t="s">
        <v>375</v>
      </c>
      <c r="B47" s="236"/>
      <c r="C47" s="59">
        <v>1</v>
      </c>
      <c r="D47" s="59"/>
    </row>
    <row r="48" spans="1:4" ht="16.5" thickBot="1" x14ac:dyDescent="0.3">
      <c r="A48" s="188" t="s">
        <v>376</v>
      </c>
      <c r="B48" s="236"/>
      <c r="C48" s="59">
        <v>2</v>
      </c>
      <c r="D48" s="59"/>
    </row>
    <row r="49" spans="1:4" ht="29.25" thickBot="1" x14ac:dyDescent="0.3">
      <c r="A49" s="128" t="s">
        <v>377</v>
      </c>
      <c r="B49" s="236">
        <f>SUMIF(C50:C65,20,B50:B65)</f>
        <v>0</v>
      </c>
      <c r="C49" s="59"/>
      <c r="D49" s="59"/>
    </row>
    <row r="50" spans="1:4" ht="16.5" thickBot="1" x14ac:dyDescent="0.3">
      <c r="A50" s="238" t="s">
        <v>373</v>
      </c>
      <c r="B50" s="239"/>
      <c r="C50" s="59">
        <v>20</v>
      </c>
      <c r="D50" s="59"/>
    </row>
    <row r="51" spans="1:4" ht="16.5" thickBot="1" x14ac:dyDescent="0.3">
      <c r="A51" s="188" t="s">
        <v>374</v>
      </c>
      <c r="B51" s="240">
        <f>B50/$B$27</f>
        <v>0</v>
      </c>
      <c r="C51" s="59"/>
      <c r="D51" s="59"/>
    </row>
    <row r="52" spans="1:4" ht="16.5" thickBot="1" x14ac:dyDescent="0.3">
      <c r="A52" s="188" t="s">
        <v>375</v>
      </c>
      <c r="B52" s="236"/>
      <c r="C52" s="59">
        <v>1</v>
      </c>
      <c r="D52" s="59"/>
    </row>
    <row r="53" spans="1:4" ht="16.5" thickBot="1" x14ac:dyDescent="0.3">
      <c r="A53" s="188" t="s">
        <v>376</v>
      </c>
      <c r="B53" s="236"/>
      <c r="C53" s="59">
        <v>2</v>
      </c>
      <c r="D53" s="59"/>
    </row>
    <row r="54" spans="1:4" ht="16.5" thickBot="1" x14ac:dyDescent="0.3">
      <c r="A54" s="238" t="s">
        <v>373</v>
      </c>
      <c r="B54" s="239"/>
      <c r="C54" s="59">
        <v>20</v>
      </c>
      <c r="D54" s="59"/>
    </row>
    <row r="55" spans="1:4" ht="16.5" thickBot="1" x14ac:dyDescent="0.3">
      <c r="A55" s="188" t="s">
        <v>374</v>
      </c>
      <c r="B55" s="240">
        <f t="shared" ref="B55" si="3">B54/$B$27</f>
        <v>0</v>
      </c>
      <c r="C55" s="59"/>
      <c r="D55" s="59"/>
    </row>
    <row r="56" spans="1:4" ht="16.5" thickBot="1" x14ac:dyDescent="0.3">
      <c r="A56" s="188" t="s">
        <v>375</v>
      </c>
      <c r="B56" s="236"/>
      <c r="C56" s="59">
        <v>1</v>
      </c>
      <c r="D56" s="59"/>
    </row>
    <row r="57" spans="1:4" ht="16.5" thickBot="1" x14ac:dyDescent="0.3">
      <c r="A57" s="188" t="s">
        <v>376</v>
      </c>
      <c r="B57" s="236"/>
      <c r="C57" s="59">
        <v>2</v>
      </c>
      <c r="D57" s="59"/>
    </row>
    <row r="58" spans="1:4" ht="16.5" thickBot="1" x14ac:dyDescent="0.3">
      <c r="A58" s="238" t="s">
        <v>373</v>
      </c>
      <c r="B58" s="239"/>
      <c r="C58" s="59">
        <v>20</v>
      </c>
      <c r="D58" s="59"/>
    </row>
    <row r="59" spans="1:4" ht="16.5" thickBot="1" x14ac:dyDescent="0.3">
      <c r="A59" s="188" t="s">
        <v>374</v>
      </c>
      <c r="B59" s="240">
        <f t="shared" ref="B59" si="4">B58/$B$27</f>
        <v>0</v>
      </c>
      <c r="C59" s="59"/>
      <c r="D59" s="59"/>
    </row>
    <row r="60" spans="1:4" ht="16.5" thickBot="1" x14ac:dyDescent="0.3">
      <c r="A60" s="188" t="s">
        <v>375</v>
      </c>
      <c r="B60" s="236"/>
      <c r="C60" s="59">
        <v>1</v>
      </c>
      <c r="D60" s="59"/>
    </row>
    <row r="61" spans="1:4" ht="16.5" thickBot="1" x14ac:dyDescent="0.3">
      <c r="A61" s="188" t="s">
        <v>376</v>
      </c>
      <c r="B61" s="236"/>
      <c r="C61" s="59">
        <v>2</v>
      </c>
      <c r="D61" s="59"/>
    </row>
    <row r="62" spans="1:4" ht="16.5" thickBot="1" x14ac:dyDescent="0.3">
      <c r="A62" s="238" t="s">
        <v>373</v>
      </c>
      <c r="B62" s="239"/>
      <c r="C62" s="59">
        <v>20</v>
      </c>
      <c r="D62" s="59"/>
    </row>
    <row r="63" spans="1:4" ht="16.5" thickBot="1" x14ac:dyDescent="0.3">
      <c r="A63" s="188" t="s">
        <v>374</v>
      </c>
      <c r="B63" s="240">
        <f t="shared" ref="B63" si="5">B62/$B$27</f>
        <v>0</v>
      </c>
      <c r="C63" s="59"/>
      <c r="D63" s="59"/>
    </row>
    <row r="64" spans="1:4" ht="16.5" thickBot="1" x14ac:dyDescent="0.3">
      <c r="A64" s="188" t="s">
        <v>375</v>
      </c>
      <c r="B64" s="236"/>
      <c r="C64" s="59">
        <v>1</v>
      </c>
      <c r="D64" s="59"/>
    </row>
    <row r="65" spans="1:4" ht="16.5" thickBot="1" x14ac:dyDescent="0.3">
      <c r="A65" s="188" t="s">
        <v>376</v>
      </c>
      <c r="B65" s="236"/>
      <c r="C65" s="59">
        <v>2</v>
      </c>
      <c r="D65" s="59"/>
    </row>
    <row r="66" spans="1:4" ht="29.25" thickBot="1" x14ac:dyDescent="0.3">
      <c r="A66" s="128" t="s">
        <v>378</v>
      </c>
      <c r="B66" s="236">
        <f>SUMIF(C67:C82,30,B67:B82)</f>
        <v>0</v>
      </c>
      <c r="C66" s="59"/>
      <c r="D66" s="59"/>
    </row>
    <row r="67" spans="1:4" ht="16.5" thickBot="1" x14ac:dyDescent="0.3">
      <c r="A67" s="238" t="s">
        <v>373</v>
      </c>
      <c r="B67" s="239"/>
      <c r="C67" s="59">
        <v>30</v>
      </c>
      <c r="D67" s="59"/>
    </row>
    <row r="68" spans="1:4" ht="16.5" thickBot="1" x14ac:dyDescent="0.3">
      <c r="A68" s="188" t="s">
        <v>374</v>
      </c>
      <c r="B68" s="240">
        <f t="shared" ref="B68" si="6">B67/$B$27</f>
        <v>0</v>
      </c>
      <c r="C68" s="59"/>
      <c r="D68" s="59"/>
    </row>
    <row r="69" spans="1:4" ht="16.5" thickBot="1" x14ac:dyDescent="0.3">
      <c r="A69" s="188" t="s">
        <v>375</v>
      </c>
      <c r="B69" s="236"/>
      <c r="C69" s="59">
        <v>1</v>
      </c>
      <c r="D69" s="59"/>
    </row>
    <row r="70" spans="1:4" ht="16.5" thickBot="1" x14ac:dyDescent="0.3">
      <c r="A70" s="188" t="s">
        <v>376</v>
      </c>
      <c r="B70" s="236"/>
      <c r="C70" s="59">
        <v>2</v>
      </c>
      <c r="D70" s="59"/>
    </row>
    <row r="71" spans="1:4" ht="16.5" thickBot="1" x14ac:dyDescent="0.3">
      <c r="A71" s="238" t="s">
        <v>373</v>
      </c>
      <c r="B71" s="239"/>
      <c r="C71" s="59">
        <v>30</v>
      </c>
      <c r="D71" s="59"/>
    </row>
    <row r="72" spans="1:4" ht="16.5" thickBot="1" x14ac:dyDescent="0.3">
      <c r="A72" s="188" t="s">
        <v>374</v>
      </c>
      <c r="B72" s="240">
        <f t="shared" ref="B72" si="7">B71/$B$27</f>
        <v>0</v>
      </c>
      <c r="C72" s="59"/>
      <c r="D72" s="59"/>
    </row>
    <row r="73" spans="1:4" ht="16.5" thickBot="1" x14ac:dyDescent="0.3">
      <c r="A73" s="188" t="s">
        <v>375</v>
      </c>
      <c r="B73" s="236"/>
      <c r="C73" s="59">
        <v>1</v>
      </c>
      <c r="D73" s="59"/>
    </row>
    <row r="74" spans="1:4" ht="16.5" thickBot="1" x14ac:dyDescent="0.3">
      <c r="A74" s="188" t="s">
        <v>376</v>
      </c>
      <c r="B74" s="236"/>
      <c r="C74" s="59">
        <v>2</v>
      </c>
      <c r="D74" s="59"/>
    </row>
    <row r="75" spans="1:4" ht="16.5" thickBot="1" x14ac:dyDescent="0.3">
      <c r="A75" s="238" t="s">
        <v>373</v>
      </c>
      <c r="B75" s="239"/>
      <c r="C75" s="59">
        <v>30</v>
      </c>
      <c r="D75" s="59"/>
    </row>
    <row r="76" spans="1:4" ht="16.5" thickBot="1" x14ac:dyDescent="0.3">
      <c r="A76" s="188" t="s">
        <v>374</v>
      </c>
      <c r="B76" s="240">
        <f t="shared" ref="B76" si="8">B75/$B$27</f>
        <v>0</v>
      </c>
      <c r="C76" s="59"/>
      <c r="D76" s="59"/>
    </row>
    <row r="77" spans="1:4" ht="16.5" thickBot="1" x14ac:dyDescent="0.3">
      <c r="A77" s="188" t="s">
        <v>375</v>
      </c>
      <c r="B77" s="236"/>
      <c r="C77" s="59">
        <v>1</v>
      </c>
      <c r="D77" s="59"/>
    </row>
    <row r="78" spans="1:4" ht="16.5" thickBot="1" x14ac:dyDescent="0.3">
      <c r="A78" s="188" t="s">
        <v>376</v>
      </c>
      <c r="B78" s="236"/>
      <c r="C78" s="59">
        <v>2</v>
      </c>
      <c r="D78" s="59"/>
    </row>
    <row r="79" spans="1:4" ht="16.5" thickBot="1" x14ac:dyDescent="0.3">
      <c r="A79" s="238" t="s">
        <v>373</v>
      </c>
      <c r="B79" s="239"/>
      <c r="C79" s="59">
        <v>30</v>
      </c>
      <c r="D79" s="59"/>
    </row>
    <row r="80" spans="1:4" ht="16.5" thickBot="1" x14ac:dyDescent="0.3">
      <c r="A80" s="188" t="s">
        <v>374</v>
      </c>
      <c r="B80" s="240">
        <f t="shared" ref="B80" si="9">B79/$B$27</f>
        <v>0</v>
      </c>
      <c r="C80" s="59"/>
      <c r="D80" s="59"/>
    </row>
    <row r="81" spans="1:4" ht="16.5" thickBot="1" x14ac:dyDescent="0.3">
      <c r="A81" s="188" t="s">
        <v>375</v>
      </c>
      <c r="B81" s="236"/>
      <c r="C81" s="59">
        <v>1</v>
      </c>
      <c r="D81" s="59"/>
    </row>
    <row r="82" spans="1:4" ht="16.5" thickBot="1" x14ac:dyDescent="0.3">
      <c r="A82" s="188" t="s">
        <v>376</v>
      </c>
      <c r="B82" s="236"/>
      <c r="C82" s="59">
        <v>2</v>
      </c>
      <c r="D82" s="59"/>
    </row>
    <row r="83" spans="1:4" ht="29.25" thickBot="1" x14ac:dyDescent="0.3">
      <c r="A83" s="122" t="s">
        <v>379</v>
      </c>
      <c r="B83" s="241">
        <f>B30/B27</f>
        <v>0</v>
      </c>
      <c r="C83" s="59"/>
      <c r="D83" s="59"/>
    </row>
    <row r="84" spans="1:4" ht="16.5" thickBot="1" x14ac:dyDescent="0.3">
      <c r="A84" s="123" t="s">
        <v>371</v>
      </c>
      <c r="B84" s="242"/>
      <c r="C84" s="59"/>
      <c r="D84" s="59"/>
    </row>
    <row r="85" spans="1:4" ht="16.5" thickBot="1" x14ac:dyDescent="0.3">
      <c r="A85" s="123" t="s">
        <v>380</v>
      </c>
      <c r="B85" s="241"/>
      <c r="C85" s="59"/>
      <c r="D85" s="59"/>
    </row>
    <row r="86" spans="1:4" ht="16.5" thickBot="1" x14ac:dyDescent="0.3">
      <c r="A86" s="123" t="s">
        <v>381</v>
      </c>
      <c r="B86" s="241"/>
      <c r="C86" s="59"/>
      <c r="D86" s="59"/>
    </row>
    <row r="87" spans="1:4" ht="16.5" thickBot="1" x14ac:dyDescent="0.3">
      <c r="A87" s="123" t="s">
        <v>382</v>
      </c>
      <c r="B87" s="241"/>
      <c r="C87" s="59"/>
      <c r="D87" s="59"/>
    </row>
    <row r="88" spans="1:4" ht="16.5" thickBot="1" x14ac:dyDescent="0.3">
      <c r="A88" s="119" t="s">
        <v>383</v>
      </c>
      <c r="B88" s="243">
        <f>B89/$B$27</f>
        <v>0</v>
      </c>
      <c r="C88" s="59"/>
      <c r="D88" s="59"/>
    </row>
    <row r="89" spans="1:4" ht="16.5" thickBot="1" x14ac:dyDescent="0.3">
      <c r="A89" s="119" t="s">
        <v>384</v>
      </c>
      <c r="B89" s="244">
        <f xml:space="preserve"> SUMIF(C33:C82, 1,B33:B82)</f>
        <v>0</v>
      </c>
      <c r="C89" s="59"/>
      <c r="D89" s="59"/>
    </row>
    <row r="90" spans="1:4" ht="16.5" thickBot="1" x14ac:dyDescent="0.3">
      <c r="A90" s="119" t="s">
        <v>385</v>
      </c>
      <c r="B90" s="243">
        <f>B91/$B$27</f>
        <v>0</v>
      </c>
      <c r="C90" s="59"/>
      <c r="D90" s="59"/>
    </row>
    <row r="91" spans="1:4" ht="16.5" thickBot="1" x14ac:dyDescent="0.3">
      <c r="A91" s="120" t="s">
        <v>386</v>
      </c>
      <c r="B91" s="244">
        <f xml:space="preserve"> SUMIF(C33:C82, 2,B33:B82)</f>
        <v>0</v>
      </c>
      <c r="C91" s="59"/>
      <c r="D91" s="59"/>
    </row>
    <row r="92" spans="1:4" ht="45" x14ac:dyDescent="0.25">
      <c r="A92" s="122" t="s">
        <v>387</v>
      </c>
      <c r="B92" s="123" t="s">
        <v>388</v>
      </c>
      <c r="C92" s="59"/>
      <c r="D92" s="59"/>
    </row>
    <row r="93" spans="1:4" x14ac:dyDescent="0.25">
      <c r="A93" s="125" t="s">
        <v>389</v>
      </c>
      <c r="B93" s="125" t="s">
        <v>555</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5">
        <v>0</v>
      </c>
      <c r="C99" s="59"/>
      <c r="D99" s="59"/>
    </row>
    <row r="100" spans="1:4" ht="16.5" thickBot="1" x14ac:dyDescent="0.3">
      <c r="A100" s="123" t="s">
        <v>371</v>
      </c>
      <c r="B100" s="246"/>
      <c r="C100" s="59"/>
      <c r="D100" s="59"/>
    </row>
    <row r="101" spans="1:4" ht="16.5" thickBot="1" x14ac:dyDescent="0.3">
      <c r="A101" s="123" t="s">
        <v>396</v>
      </c>
      <c r="B101" s="245">
        <v>0</v>
      </c>
      <c r="C101" s="59"/>
      <c r="D101" s="59"/>
    </row>
    <row r="102" spans="1:4" ht="16.5" thickBot="1" x14ac:dyDescent="0.3">
      <c r="A102" s="123" t="s">
        <v>397</v>
      </c>
      <c r="B102" s="245">
        <v>0</v>
      </c>
      <c r="C102" s="59"/>
      <c r="D102" s="59"/>
    </row>
    <row r="103" spans="1:4" ht="16.5" thickBot="1" x14ac:dyDescent="0.3">
      <c r="A103" s="131" t="s">
        <v>398</v>
      </c>
      <c r="B103" s="249" t="str">
        <f>'3.3 паспорт описание'!C24</f>
        <v>Приобретение автокрана на базе КАМАЗ 43118</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29.25" thickBot="1" x14ac:dyDescent="0.3">
      <c r="A108" s="133" t="s">
        <v>403</v>
      </c>
      <c r="B108" s="130" t="s">
        <v>535</v>
      </c>
      <c r="C108" s="59"/>
      <c r="D108" s="59"/>
    </row>
    <row r="109" spans="1:4" ht="28.5" x14ac:dyDescent="0.25">
      <c r="A109" s="122" t="s">
        <v>404</v>
      </c>
      <c r="B109" s="523" t="s">
        <v>534</v>
      </c>
      <c r="C109" s="59"/>
      <c r="D109" s="59"/>
    </row>
    <row r="110" spans="1:4" x14ac:dyDescent="0.25">
      <c r="A110" s="125" t="s">
        <v>405</v>
      </c>
      <c r="B110" s="524"/>
      <c r="C110" s="59"/>
      <c r="D110" s="59"/>
    </row>
    <row r="111" spans="1:4" x14ac:dyDescent="0.25">
      <c r="A111" s="125" t="s">
        <v>406</v>
      </c>
      <c r="B111" s="524"/>
      <c r="C111" s="59"/>
      <c r="D111" s="59"/>
    </row>
    <row r="112" spans="1:4" x14ac:dyDescent="0.25">
      <c r="A112" s="125" t="s">
        <v>407</v>
      </c>
      <c r="B112" s="524"/>
      <c r="C112" s="59"/>
      <c r="D112" s="59"/>
    </row>
    <row r="113" spans="1:4" x14ac:dyDescent="0.25">
      <c r="A113" s="125" t="s">
        <v>408</v>
      </c>
      <c r="B113" s="524"/>
      <c r="C113" s="59"/>
      <c r="D113" s="59"/>
    </row>
    <row r="114" spans="1:4" ht="16.5" thickBot="1" x14ac:dyDescent="0.3">
      <c r="A114" s="134" t="s">
        <v>409</v>
      </c>
      <c r="B114" s="525"/>
      <c r="C114" s="59"/>
      <c r="D114" s="59"/>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5"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2" t="s">
        <v>7</v>
      </c>
      <c r="B6" s="412"/>
      <c r="C6" s="412"/>
      <c r="D6" s="412"/>
      <c r="E6" s="412"/>
      <c r="F6" s="412"/>
      <c r="G6" s="412"/>
      <c r="H6" s="412"/>
      <c r="I6" s="412"/>
      <c r="J6" s="412"/>
      <c r="K6" s="412"/>
      <c r="L6" s="412"/>
      <c r="M6" s="412"/>
      <c r="N6" s="412"/>
      <c r="O6" s="412"/>
      <c r="P6" s="412"/>
      <c r="Q6" s="412"/>
      <c r="R6" s="412"/>
      <c r="S6" s="412"/>
      <c r="T6" s="12"/>
      <c r="U6" s="12"/>
      <c r="V6" s="12"/>
      <c r="W6" s="12"/>
      <c r="X6" s="12"/>
      <c r="Y6" s="12"/>
      <c r="Z6" s="12"/>
      <c r="AA6" s="12"/>
      <c r="AB6" s="12"/>
    </row>
    <row r="7" spans="1:28" s="11" customFormat="1" ht="18.75" x14ac:dyDescent="0.2">
      <c r="A7" s="412"/>
      <c r="B7" s="412"/>
      <c r="C7" s="412"/>
      <c r="D7" s="412"/>
      <c r="E7" s="412"/>
      <c r="F7" s="412"/>
      <c r="G7" s="412"/>
      <c r="H7" s="412"/>
      <c r="I7" s="412"/>
      <c r="J7" s="412"/>
      <c r="K7" s="412"/>
      <c r="L7" s="412"/>
      <c r="M7" s="412"/>
      <c r="N7" s="412"/>
      <c r="O7" s="412"/>
      <c r="P7" s="412"/>
      <c r="Q7" s="412"/>
      <c r="R7" s="412"/>
      <c r="S7" s="412"/>
      <c r="T7" s="12"/>
      <c r="U7" s="12"/>
      <c r="V7" s="12"/>
      <c r="W7" s="12"/>
      <c r="X7" s="12"/>
      <c r="Y7" s="12"/>
      <c r="Z7" s="12"/>
      <c r="AA7" s="12"/>
      <c r="AB7" s="12"/>
    </row>
    <row r="8" spans="1:28" s="11" customFormat="1" ht="18.75" x14ac:dyDescent="0.2">
      <c r="A8" s="413" t="str">
        <f>'1. паспорт местоположение'!A9:C9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12"/>
      <c r="U8" s="12"/>
      <c r="V8" s="12"/>
      <c r="W8" s="12"/>
      <c r="X8" s="12"/>
      <c r="Y8" s="12"/>
      <c r="Z8" s="12"/>
      <c r="AA8" s="12"/>
      <c r="AB8" s="12"/>
    </row>
    <row r="9" spans="1:28" s="11" customFormat="1" ht="18.75" x14ac:dyDescent="0.2">
      <c r="A9" s="417" t="s">
        <v>6</v>
      </c>
      <c r="B9" s="417"/>
      <c r="C9" s="417"/>
      <c r="D9" s="417"/>
      <c r="E9" s="417"/>
      <c r="F9" s="417"/>
      <c r="G9" s="417"/>
      <c r="H9" s="417"/>
      <c r="I9" s="417"/>
      <c r="J9" s="417"/>
      <c r="K9" s="417"/>
      <c r="L9" s="417"/>
      <c r="M9" s="417"/>
      <c r="N9" s="417"/>
      <c r="O9" s="417"/>
      <c r="P9" s="417"/>
      <c r="Q9" s="417"/>
      <c r="R9" s="417"/>
      <c r="S9" s="417"/>
      <c r="T9" s="12"/>
      <c r="U9" s="12"/>
      <c r="V9" s="12"/>
      <c r="W9" s="12"/>
      <c r="X9" s="12"/>
      <c r="Y9" s="12"/>
      <c r="Z9" s="12"/>
      <c r="AA9" s="12"/>
      <c r="AB9" s="12"/>
    </row>
    <row r="10" spans="1:28" s="11" customFormat="1" ht="18.75" x14ac:dyDescent="0.2">
      <c r="A10" s="412"/>
      <c r="B10" s="412"/>
      <c r="C10" s="412"/>
      <c r="D10" s="412"/>
      <c r="E10" s="412"/>
      <c r="F10" s="412"/>
      <c r="G10" s="412"/>
      <c r="H10" s="412"/>
      <c r="I10" s="412"/>
      <c r="J10" s="412"/>
      <c r="K10" s="412"/>
      <c r="L10" s="412"/>
      <c r="M10" s="412"/>
      <c r="N10" s="412"/>
      <c r="O10" s="412"/>
      <c r="P10" s="412"/>
      <c r="Q10" s="412"/>
      <c r="R10" s="412"/>
      <c r="S10" s="412"/>
      <c r="T10" s="12"/>
      <c r="U10" s="12"/>
      <c r="V10" s="12"/>
      <c r="W10" s="12"/>
      <c r="X10" s="12"/>
      <c r="Y10" s="12"/>
      <c r="Z10" s="12"/>
      <c r="AA10" s="12"/>
      <c r="AB10" s="12"/>
    </row>
    <row r="11" spans="1:28" s="11" customFormat="1" ht="18.75" x14ac:dyDescent="0.2">
      <c r="A11" s="413" t="str">
        <f>'1. паспорт местоположение'!A12:C12</f>
        <v>M 22-08</v>
      </c>
      <c r="B11" s="413"/>
      <c r="C11" s="413"/>
      <c r="D11" s="413"/>
      <c r="E11" s="413"/>
      <c r="F11" s="413"/>
      <c r="G11" s="413"/>
      <c r="H11" s="413"/>
      <c r="I11" s="413"/>
      <c r="J11" s="413"/>
      <c r="K11" s="413"/>
      <c r="L11" s="413"/>
      <c r="M11" s="413"/>
      <c r="N11" s="413"/>
      <c r="O11" s="413"/>
      <c r="P11" s="413"/>
      <c r="Q11" s="413"/>
      <c r="R11" s="413"/>
      <c r="S11" s="413"/>
      <c r="T11" s="12"/>
      <c r="U11" s="12"/>
      <c r="V11" s="12"/>
      <c r="W11" s="12"/>
      <c r="X11" s="12"/>
      <c r="Y11" s="12"/>
      <c r="Z11" s="12"/>
      <c r="AA11" s="12"/>
      <c r="AB11" s="12"/>
    </row>
    <row r="12" spans="1:28" s="11"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3" customFormat="1" ht="36.75" customHeight="1" x14ac:dyDescent="0.2">
      <c r="A14" s="419" t="str">
        <f>'1. паспорт местоположение'!A15:C15</f>
        <v>Приобретение автокрана на базе КАМАЗ 43118</v>
      </c>
      <c r="B14" s="419"/>
      <c r="C14" s="419"/>
      <c r="D14" s="419"/>
      <c r="E14" s="419"/>
      <c r="F14" s="419"/>
      <c r="G14" s="419"/>
      <c r="H14" s="419"/>
      <c r="I14" s="419"/>
      <c r="J14" s="419"/>
      <c r="K14" s="419"/>
      <c r="L14" s="419"/>
      <c r="M14" s="419"/>
      <c r="N14" s="419"/>
      <c r="O14" s="419"/>
      <c r="P14" s="419"/>
      <c r="Q14" s="419"/>
      <c r="R14" s="419"/>
      <c r="S14" s="419"/>
      <c r="T14" s="7"/>
      <c r="U14" s="7"/>
      <c r="V14" s="7"/>
      <c r="W14" s="7"/>
      <c r="X14" s="7"/>
      <c r="Y14" s="7"/>
      <c r="Z14" s="7"/>
      <c r="AA14" s="7"/>
      <c r="AB14" s="7"/>
    </row>
    <row r="15" spans="1:28" s="3"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5"/>
      <c r="U15" s="5"/>
      <c r="V15" s="5"/>
      <c r="W15" s="5"/>
      <c r="X15" s="5"/>
      <c r="Y15" s="5"/>
      <c r="Z15" s="5"/>
      <c r="AA15" s="5"/>
      <c r="AB15" s="5"/>
    </row>
    <row r="16" spans="1:28" s="3"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4"/>
      <c r="U16" s="4"/>
      <c r="V16" s="4"/>
      <c r="W16" s="4"/>
      <c r="X16" s="4"/>
      <c r="Y16" s="4"/>
    </row>
    <row r="17" spans="1:28" s="3" customFormat="1" ht="45.75" customHeight="1" x14ac:dyDescent="0.2">
      <c r="A17" s="421" t="s">
        <v>468</v>
      </c>
      <c r="B17" s="421"/>
      <c r="C17" s="421"/>
      <c r="D17" s="421"/>
      <c r="E17" s="421"/>
      <c r="F17" s="421"/>
      <c r="G17" s="421"/>
      <c r="H17" s="421"/>
      <c r="I17" s="421"/>
      <c r="J17" s="421"/>
      <c r="K17" s="421"/>
      <c r="L17" s="421"/>
      <c r="M17" s="421"/>
      <c r="N17" s="421"/>
      <c r="O17" s="421"/>
      <c r="P17" s="421"/>
      <c r="Q17" s="421"/>
      <c r="R17" s="421"/>
      <c r="S17" s="421"/>
      <c r="T17" s="6"/>
      <c r="U17" s="6"/>
      <c r="V17" s="6"/>
      <c r="W17" s="6"/>
      <c r="X17" s="6"/>
      <c r="Y17" s="6"/>
      <c r="Z17" s="6"/>
      <c r="AA17" s="6"/>
      <c r="AB17" s="6"/>
    </row>
    <row r="18" spans="1:28"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
      <c r="U18" s="4"/>
      <c r="V18" s="4"/>
      <c r="W18" s="4"/>
      <c r="X18" s="4"/>
      <c r="Y18" s="4"/>
    </row>
    <row r="19" spans="1:28" s="3" customFormat="1" ht="54" customHeight="1" x14ac:dyDescent="0.2">
      <c r="A19" s="411" t="s">
        <v>3</v>
      </c>
      <c r="B19" s="411" t="s">
        <v>94</v>
      </c>
      <c r="C19" s="414" t="s">
        <v>362</v>
      </c>
      <c r="D19" s="411" t="s">
        <v>361</v>
      </c>
      <c r="E19" s="411" t="s">
        <v>93</v>
      </c>
      <c r="F19" s="411" t="s">
        <v>92</v>
      </c>
      <c r="G19" s="411" t="s">
        <v>357</v>
      </c>
      <c r="H19" s="411" t="s">
        <v>91</v>
      </c>
      <c r="I19" s="411" t="s">
        <v>90</v>
      </c>
      <c r="J19" s="411" t="s">
        <v>89</v>
      </c>
      <c r="K19" s="411" t="s">
        <v>88</v>
      </c>
      <c r="L19" s="411" t="s">
        <v>87</v>
      </c>
      <c r="M19" s="411" t="s">
        <v>86</v>
      </c>
      <c r="N19" s="411" t="s">
        <v>85</v>
      </c>
      <c r="O19" s="411" t="s">
        <v>84</v>
      </c>
      <c r="P19" s="411" t="s">
        <v>83</v>
      </c>
      <c r="Q19" s="411" t="s">
        <v>360</v>
      </c>
      <c r="R19" s="411"/>
      <c r="S19" s="416" t="s">
        <v>462</v>
      </c>
      <c r="T19" s="4"/>
      <c r="U19" s="4"/>
      <c r="V19" s="4"/>
      <c r="W19" s="4"/>
      <c r="X19" s="4"/>
      <c r="Y19" s="4"/>
    </row>
    <row r="20" spans="1:28" s="3" customFormat="1" ht="180.75" customHeight="1" x14ac:dyDescent="0.2">
      <c r="A20" s="411"/>
      <c r="B20" s="411"/>
      <c r="C20" s="415"/>
      <c r="D20" s="411"/>
      <c r="E20" s="411"/>
      <c r="F20" s="411"/>
      <c r="G20" s="411"/>
      <c r="H20" s="411"/>
      <c r="I20" s="411"/>
      <c r="J20" s="411"/>
      <c r="K20" s="411"/>
      <c r="L20" s="411"/>
      <c r="M20" s="411"/>
      <c r="N20" s="411"/>
      <c r="O20" s="411"/>
      <c r="P20" s="411"/>
      <c r="Q20" s="39" t="s">
        <v>358</v>
      </c>
      <c r="R20" s="40" t="s">
        <v>359</v>
      </c>
      <c r="S20" s="416"/>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2022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2" t="s">
        <v>7</v>
      </c>
      <c r="B8" s="412"/>
      <c r="C8" s="412"/>
      <c r="D8" s="412"/>
      <c r="E8" s="412"/>
      <c r="F8" s="412"/>
      <c r="G8" s="412"/>
      <c r="H8" s="412"/>
      <c r="I8" s="412"/>
      <c r="J8" s="412"/>
      <c r="K8" s="412"/>
      <c r="L8" s="412"/>
      <c r="M8" s="412"/>
      <c r="N8" s="412"/>
      <c r="O8" s="412"/>
      <c r="P8" s="412"/>
      <c r="Q8" s="412"/>
      <c r="R8" s="412"/>
      <c r="S8" s="412"/>
      <c r="T8" s="412"/>
    </row>
    <row r="9" spans="1:20" s="11"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1" customFormat="1" ht="18.75" customHeight="1" x14ac:dyDescent="0.2">
      <c r="A10" s="413" t="str">
        <f>'1. паспорт местоположение'!A9:C9</f>
        <v>Акционерное общество "Западная энергетическая компания"</v>
      </c>
      <c r="B10" s="413"/>
      <c r="C10" s="413"/>
      <c r="D10" s="413"/>
      <c r="E10" s="413"/>
      <c r="F10" s="413"/>
      <c r="G10" s="413"/>
      <c r="H10" s="413"/>
      <c r="I10" s="413"/>
      <c r="J10" s="413"/>
      <c r="K10" s="413"/>
      <c r="L10" s="413"/>
      <c r="M10" s="413"/>
      <c r="N10" s="413"/>
      <c r="O10" s="413"/>
      <c r="P10" s="413"/>
      <c r="Q10" s="413"/>
      <c r="R10" s="413"/>
      <c r="S10" s="413"/>
      <c r="T10" s="413"/>
    </row>
    <row r="11" spans="1:20" s="11"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1"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1" customFormat="1" ht="18.75" customHeight="1" x14ac:dyDescent="0.2">
      <c r="A13" s="413" t="str">
        <f>'1. паспорт местоположение'!A12:C12</f>
        <v>M 22-08</v>
      </c>
      <c r="B13" s="413"/>
      <c r="C13" s="413"/>
      <c r="D13" s="413"/>
      <c r="E13" s="413"/>
      <c r="F13" s="413"/>
      <c r="G13" s="413"/>
      <c r="H13" s="413"/>
      <c r="I13" s="413"/>
      <c r="J13" s="413"/>
      <c r="K13" s="413"/>
      <c r="L13" s="413"/>
      <c r="M13" s="413"/>
      <c r="N13" s="413"/>
      <c r="O13" s="413"/>
      <c r="P13" s="413"/>
      <c r="Q13" s="413"/>
      <c r="R13" s="413"/>
      <c r="S13" s="413"/>
      <c r="T13" s="413"/>
    </row>
    <row r="14" spans="1:20" s="11"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66" customHeight="1" x14ac:dyDescent="0.2">
      <c r="A16" s="419" t="str">
        <f>'1. паспорт местоположение'!A15</f>
        <v>Приобретение автокрана на базе КАМАЗ 43118</v>
      </c>
      <c r="B16" s="419"/>
      <c r="C16" s="419"/>
      <c r="D16" s="419"/>
      <c r="E16" s="419"/>
      <c r="F16" s="419"/>
      <c r="G16" s="419"/>
      <c r="H16" s="419"/>
      <c r="I16" s="419"/>
      <c r="J16" s="419"/>
      <c r="K16" s="419"/>
      <c r="L16" s="419"/>
      <c r="M16" s="419"/>
      <c r="N16" s="419"/>
      <c r="O16" s="419"/>
      <c r="P16" s="419"/>
      <c r="Q16" s="419"/>
      <c r="R16" s="419"/>
      <c r="S16" s="419"/>
      <c r="T16" s="419"/>
    </row>
    <row r="17" spans="1:113" s="3"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3"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113" s="3" customFormat="1" ht="15" customHeight="1" x14ac:dyDescent="0.2">
      <c r="A19" s="437" t="s">
        <v>473</v>
      </c>
      <c r="B19" s="437"/>
      <c r="C19" s="437"/>
      <c r="D19" s="437"/>
      <c r="E19" s="437"/>
      <c r="F19" s="437"/>
      <c r="G19" s="437"/>
      <c r="H19" s="437"/>
      <c r="I19" s="437"/>
      <c r="J19" s="437"/>
      <c r="K19" s="437"/>
      <c r="L19" s="437"/>
      <c r="M19" s="437"/>
      <c r="N19" s="437"/>
      <c r="O19" s="437"/>
      <c r="P19" s="437"/>
      <c r="Q19" s="437"/>
      <c r="R19" s="437"/>
      <c r="S19" s="437"/>
      <c r="T19" s="437"/>
    </row>
    <row r="20" spans="1:113" s="52"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113" ht="46.5" customHeight="1" x14ac:dyDescent="0.25">
      <c r="A21" s="431" t="s">
        <v>3</v>
      </c>
      <c r="B21" s="424" t="s">
        <v>217</v>
      </c>
      <c r="C21" s="425"/>
      <c r="D21" s="428" t="s">
        <v>116</v>
      </c>
      <c r="E21" s="424" t="s">
        <v>502</v>
      </c>
      <c r="F21" s="425"/>
      <c r="G21" s="424" t="s">
        <v>267</v>
      </c>
      <c r="H21" s="425"/>
      <c r="I21" s="424" t="s">
        <v>115</v>
      </c>
      <c r="J21" s="425"/>
      <c r="K21" s="428" t="s">
        <v>114</v>
      </c>
      <c r="L21" s="424" t="s">
        <v>113</v>
      </c>
      <c r="M21" s="425"/>
      <c r="N21" s="424" t="s">
        <v>498</v>
      </c>
      <c r="O21" s="425"/>
      <c r="P21" s="428" t="s">
        <v>112</v>
      </c>
      <c r="Q21" s="434" t="s">
        <v>111</v>
      </c>
      <c r="R21" s="435"/>
      <c r="S21" s="434" t="s">
        <v>110</v>
      </c>
      <c r="T21" s="436"/>
    </row>
    <row r="22" spans="1:113" ht="204.75" customHeight="1" x14ac:dyDescent="0.25">
      <c r="A22" s="432"/>
      <c r="B22" s="426"/>
      <c r="C22" s="427"/>
      <c r="D22" s="430"/>
      <c r="E22" s="426"/>
      <c r="F22" s="427"/>
      <c r="G22" s="426"/>
      <c r="H22" s="427"/>
      <c r="I22" s="426"/>
      <c r="J22" s="427"/>
      <c r="K22" s="429"/>
      <c r="L22" s="426"/>
      <c r="M22" s="427"/>
      <c r="N22" s="426"/>
      <c r="O22" s="427"/>
      <c r="P22" s="429"/>
      <c r="Q22" s="96" t="s">
        <v>109</v>
      </c>
      <c r="R22" s="96" t="s">
        <v>472</v>
      </c>
      <c r="S22" s="96" t="s">
        <v>108</v>
      </c>
      <c r="T22" s="96" t="s">
        <v>107</v>
      </c>
    </row>
    <row r="23" spans="1:113" ht="51.75" customHeight="1" x14ac:dyDescent="0.25">
      <c r="A23" s="433"/>
      <c r="B23" s="145" t="s">
        <v>105</v>
      </c>
      <c r="C23" s="145" t="s">
        <v>106</v>
      </c>
      <c r="D23" s="429"/>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23" t="s">
        <v>508</v>
      </c>
      <c r="C29" s="423"/>
      <c r="D29" s="423"/>
      <c r="E29" s="423"/>
      <c r="F29" s="423"/>
      <c r="G29" s="423"/>
      <c r="H29" s="423"/>
      <c r="I29" s="423"/>
      <c r="J29" s="423"/>
      <c r="K29" s="423"/>
      <c r="L29" s="423"/>
      <c r="M29" s="423"/>
      <c r="N29" s="423"/>
      <c r="O29" s="423"/>
      <c r="P29" s="423"/>
      <c r="Q29" s="423"/>
      <c r="R29" s="423"/>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2" t="s">
        <v>7</v>
      </c>
      <c r="F7" s="412"/>
      <c r="G7" s="412"/>
      <c r="H7" s="412"/>
      <c r="I7" s="412"/>
      <c r="J7" s="412"/>
      <c r="K7" s="412"/>
      <c r="L7" s="412"/>
      <c r="M7" s="412"/>
      <c r="N7" s="412"/>
      <c r="O7" s="412"/>
      <c r="P7" s="412"/>
      <c r="Q7" s="412"/>
      <c r="R7" s="412"/>
      <c r="S7" s="412"/>
      <c r="T7" s="412"/>
      <c r="U7" s="412"/>
      <c r="V7" s="412"/>
      <c r="W7" s="412"/>
      <c r="X7" s="412"/>
      <c r="Y7" s="41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3" t="str">
        <f>'1. паспорт местоположение'!A9</f>
        <v>Акционерное общество "Западная энергетическая компания"</v>
      </c>
      <c r="F9" s="413"/>
      <c r="G9" s="413"/>
      <c r="H9" s="413"/>
      <c r="I9" s="413"/>
      <c r="J9" s="413"/>
      <c r="K9" s="413"/>
      <c r="L9" s="413"/>
      <c r="M9" s="413"/>
      <c r="N9" s="413"/>
      <c r="O9" s="413"/>
      <c r="P9" s="413"/>
      <c r="Q9" s="413"/>
      <c r="R9" s="413"/>
      <c r="S9" s="413"/>
      <c r="T9" s="413"/>
      <c r="U9" s="413"/>
      <c r="V9" s="413"/>
      <c r="W9" s="413"/>
      <c r="X9" s="413"/>
      <c r="Y9" s="413"/>
    </row>
    <row r="10" spans="1:27" s="11"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3" t="str">
        <f>'1. паспорт местоположение'!A12</f>
        <v>M 22-08</v>
      </c>
      <c r="F12" s="413"/>
      <c r="G12" s="413"/>
      <c r="H12" s="413"/>
      <c r="I12" s="413"/>
      <c r="J12" s="413"/>
      <c r="K12" s="413"/>
      <c r="L12" s="413"/>
      <c r="M12" s="413"/>
      <c r="N12" s="413"/>
      <c r="O12" s="413"/>
      <c r="P12" s="413"/>
      <c r="Q12" s="413"/>
      <c r="R12" s="413"/>
      <c r="S12" s="413"/>
      <c r="T12" s="413"/>
      <c r="U12" s="413"/>
      <c r="V12" s="413"/>
      <c r="W12" s="413"/>
      <c r="X12" s="413"/>
      <c r="Y12" s="413"/>
    </row>
    <row r="13" spans="1:27" s="11"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19" t="str">
        <f>'1. паспорт местоположение'!A15</f>
        <v>Приобретение автокрана на базе КАМАЗ 43118</v>
      </c>
      <c r="F15" s="419"/>
      <c r="G15" s="419"/>
      <c r="H15" s="419"/>
      <c r="I15" s="419"/>
      <c r="J15" s="419"/>
      <c r="K15" s="419"/>
      <c r="L15" s="419"/>
      <c r="M15" s="419"/>
      <c r="N15" s="419"/>
      <c r="O15" s="419"/>
      <c r="P15" s="419"/>
      <c r="Q15" s="419"/>
      <c r="R15" s="419"/>
      <c r="S15" s="419"/>
      <c r="T15" s="419"/>
      <c r="U15" s="419"/>
      <c r="V15" s="419"/>
      <c r="W15" s="419"/>
      <c r="X15" s="419"/>
      <c r="Y15" s="419"/>
    </row>
    <row r="16" spans="1:27" s="3"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475</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52" customFormat="1" ht="21" customHeight="1" x14ac:dyDescent="0.25"/>
    <row r="21" spans="1:27" ht="15.75" customHeight="1" x14ac:dyDescent="0.25">
      <c r="A21" s="439" t="s">
        <v>3</v>
      </c>
      <c r="B21" s="442" t="s">
        <v>482</v>
      </c>
      <c r="C21" s="443"/>
      <c r="D21" s="442" t="s">
        <v>484</v>
      </c>
      <c r="E21" s="443"/>
      <c r="F21" s="434" t="s">
        <v>88</v>
      </c>
      <c r="G21" s="436"/>
      <c r="H21" s="436"/>
      <c r="I21" s="435"/>
      <c r="J21" s="439" t="s">
        <v>485</v>
      </c>
      <c r="K21" s="442" t="s">
        <v>486</v>
      </c>
      <c r="L21" s="443"/>
      <c r="M21" s="442" t="s">
        <v>487</v>
      </c>
      <c r="N21" s="443"/>
      <c r="O21" s="442" t="s">
        <v>474</v>
      </c>
      <c r="P21" s="443"/>
      <c r="Q21" s="442" t="s">
        <v>121</v>
      </c>
      <c r="R21" s="443"/>
      <c r="S21" s="439" t="s">
        <v>120</v>
      </c>
      <c r="T21" s="439" t="s">
        <v>488</v>
      </c>
      <c r="U21" s="439" t="s">
        <v>483</v>
      </c>
      <c r="V21" s="442" t="s">
        <v>119</v>
      </c>
      <c r="W21" s="443"/>
      <c r="X21" s="434" t="s">
        <v>111</v>
      </c>
      <c r="Y21" s="436"/>
      <c r="Z21" s="434" t="s">
        <v>110</v>
      </c>
      <c r="AA21" s="436"/>
    </row>
    <row r="22" spans="1:27" ht="216" customHeight="1" x14ac:dyDescent="0.25">
      <c r="A22" s="440"/>
      <c r="B22" s="444"/>
      <c r="C22" s="445"/>
      <c r="D22" s="444"/>
      <c r="E22" s="445"/>
      <c r="F22" s="434" t="s">
        <v>118</v>
      </c>
      <c r="G22" s="435"/>
      <c r="H22" s="434" t="s">
        <v>117</v>
      </c>
      <c r="I22" s="435"/>
      <c r="J22" s="441"/>
      <c r="K22" s="444"/>
      <c r="L22" s="445"/>
      <c r="M22" s="444"/>
      <c r="N22" s="445"/>
      <c r="O22" s="444"/>
      <c r="P22" s="445"/>
      <c r="Q22" s="444"/>
      <c r="R22" s="445"/>
      <c r="S22" s="441"/>
      <c r="T22" s="441"/>
      <c r="U22" s="441"/>
      <c r="V22" s="444"/>
      <c r="W22" s="445"/>
      <c r="X22" s="96" t="s">
        <v>109</v>
      </c>
      <c r="Y22" s="96" t="s">
        <v>472</v>
      </c>
      <c r="Z22" s="96" t="s">
        <v>108</v>
      </c>
      <c r="AA22" s="96" t="s">
        <v>107</v>
      </c>
    </row>
    <row r="23" spans="1:27" ht="60" customHeight="1" x14ac:dyDescent="0.25">
      <c r="A23" s="441"/>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2022 год</v>
      </c>
      <c r="B5" s="404"/>
      <c r="C5" s="404"/>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2" t="s">
        <v>7</v>
      </c>
      <c r="B7" s="412"/>
      <c r="C7" s="412"/>
      <c r="D7" s="12"/>
      <c r="E7" s="12"/>
      <c r="F7" s="12"/>
      <c r="G7" s="12"/>
      <c r="H7" s="12"/>
      <c r="I7" s="12"/>
      <c r="J7" s="12"/>
      <c r="K7" s="12"/>
      <c r="L7" s="12"/>
      <c r="M7" s="12"/>
      <c r="N7" s="12"/>
      <c r="O7" s="12"/>
      <c r="P7" s="12"/>
      <c r="Q7" s="12"/>
      <c r="R7" s="12"/>
      <c r="S7" s="12"/>
      <c r="T7" s="12"/>
      <c r="U7" s="12"/>
    </row>
    <row r="8" spans="1:29" s="11" customFormat="1" ht="18.75" x14ac:dyDescent="0.2">
      <c r="A8" s="412"/>
      <c r="B8" s="412"/>
      <c r="C8" s="412"/>
      <c r="D8" s="13"/>
      <c r="E8" s="13"/>
      <c r="F8" s="13"/>
      <c r="G8" s="13"/>
      <c r="H8" s="12"/>
      <c r="I8" s="12"/>
      <c r="J8" s="12"/>
      <c r="K8" s="12"/>
      <c r="L8" s="12"/>
      <c r="M8" s="12"/>
      <c r="N8" s="12"/>
      <c r="O8" s="12"/>
      <c r="P8" s="12"/>
      <c r="Q8" s="12"/>
      <c r="R8" s="12"/>
      <c r="S8" s="12"/>
      <c r="T8" s="12"/>
      <c r="U8" s="12"/>
    </row>
    <row r="9" spans="1:29" s="11" customFormat="1" ht="18.75" x14ac:dyDescent="0.2">
      <c r="A9" s="413" t="str">
        <f>'1. паспорт местоположение'!A9:C9</f>
        <v>Акционерное общество "Западная энергетическая компания"</v>
      </c>
      <c r="B9" s="413"/>
      <c r="C9" s="413"/>
      <c r="D9" s="7"/>
      <c r="E9" s="7"/>
      <c r="F9" s="7"/>
      <c r="G9" s="7"/>
      <c r="H9" s="12"/>
      <c r="I9" s="12"/>
      <c r="J9" s="12"/>
      <c r="K9" s="12"/>
      <c r="L9" s="12"/>
      <c r="M9" s="12"/>
      <c r="N9" s="12"/>
      <c r="O9" s="12"/>
      <c r="P9" s="12"/>
      <c r="Q9" s="12"/>
      <c r="R9" s="12"/>
      <c r="S9" s="12"/>
      <c r="T9" s="12"/>
      <c r="U9" s="12"/>
    </row>
    <row r="10" spans="1:29" s="11" customFormat="1" ht="18.75" x14ac:dyDescent="0.2">
      <c r="A10" s="417" t="s">
        <v>6</v>
      </c>
      <c r="B10" s="417"/>
      <c r="C10" s="417"/>
      <c r="D10" s="5"/>
      <c r="E10" s="5"/>
      <c r="F10" s="5"/>
      <c r="G10" s="5"/>
      <c r="H10" s="12"/>
      <c r="I10" s="12"/>
      <c r="J10" s="12"/>
      <c r="K10" s="12"/>
      <c r="L10" s="12"/>
      <c r="M10" s="12"/>
      <c r="N10" s="12"/>
      <c r="O10" s="12"/>
      <c r="P10" s="12"/>
      <c r="Q10" s="12"/>
      <c r="R10" s="12"/>
      <c r="S10" s="12"/>
      <c r="T10" s="12"/>
      <c r="U10" s="12"/>
    </row>
    <row r="11" spans="1:29" s="11" customFormat="1" ht="18.75" x14ac:dyDescent="0.2">
      <c r="A11" s="412"/>
      <c r="B11" s="412"/>
      <c r="C11" s="412"/>
      <c r="D11" s="13"/>
      <c r="E11" s="13"/>
      <c r="F11" s="13"/>
      <c r="G11" s="13"/>
      <c r="H11" s="12"/>
      <c r="I11" s="12"/>
      <c r="J11" s="12"/>
      <c r="K11" s="12"/>
      <c r="L11" s="12"/>
      <c r="M11" s="12"/>
      <c r="N11" s="12"/>
      <c r="O11" s="12"/>
      <c r="P11" s="12"/>
      <c r="Q11" s="12"/>
      <c r="R11" s="12"/>
      <c r="S11" s="12"/>
      <c r="T11" s="12"/>
      <c r="U11" s="12"/>
    </row>
    <row r="12" spans="1:29" s="11" customFormat="1" ht="18.75" x14ac:dyDescent="0.2">
      <c r="A12" s="413" t="str">
        <f>'1. паспорт местоположение'!A12:C12</f>
        <v>M 22-08</v>
      </c>
      <c r="B12" s="413"/>
      <c r="C12" s="413"/>
      <c r="D12" s="7"/>
      <c r="E12" s="7"/>
      <c r="F12" s="7"/>
      <c r="G12" s="7"/>
      <c r="H12" s="12"/>
      <c r="I12" s="12"/>
      <c r="J12" s="12"/>
      <c r="K12" s="12"/>
      <c r="L12" s="12"/>
      <c r="M12" s="12"/>
      <c r="N12" s="12"/>
      <c r="O12" s="12"/>
      <c r="P12" s="12"/>
      <c r="Q12" s="12"/>
      <c r="R12" s="12"/>
      <c r="S12" s="12"/>
      <c r="T12" s="12"/>
      <c r="U12" s="12"/>
    </row>
    <row r="13" spans="1:29" s="11" customFormat="1" ht="18.75" x14ac:dyDescent="0.2">
      <c r="A13" s="417" t="s">
        <v>5</v>
      </c>
      <c r="B13" s="417"/>
      <c r="C13" s="41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3" customFormat="1" ht="78.75" customHeight="1" x14ac:dyDescent="0.2">
      <c r="A15" s="419" t="str">
        <f>'1. паспорт местоположение'!A15</f>
        <v>Приобретение автокрана на базе КАМАЗ 43118</v>
      </c>
      <c r="B15" s="419"/>
      <c r="C15" s="419"/>
      <c r="D15" s="7"/>
      <c r="E15" s="7"/>
      <c r="F15" s="7"/>
      <c r="G15" s="7"/>
      <c r="H15" s="7"/>
      <c r="I15" s="7"/>
      <c r="J15" s="7"/>
      <c r="K15" s="7"/>
      <c r="L15" s="7"/>
      <c r="M15" s="7"/>
      <c r="N15" s="7"/>
      <c r="O15" s="7"/>
      <c r="P15" s="7"/>
      <c r="Q15" s="7"/>
      <c r="R15" s="7"/>
      <c r="S15" s="7"/>
      <c r="T15" s="7"/>
      <c r="U15" s="7"/>
    </row>
    <row r="16" spans="1:29" s="3" customFormat="1" ht="15" customHeight="1" x14ac:dyDescent="0.2">
      <c r="A16" s="417" t="s">
        <v>4</v>
      </c>
      <c r="B16" s="417"/>
      <c r="C16" s="417"/>
      <c r="D16" s="5"/>
      <c r="E16" s="5"/>
      <c r="F16" s="5"/>
      <c r="G16" s="5"/>
      <c r="H16" s="5"/>
      <c r="I16" s="5"/>
      <c r="J16" s="5"/>
      <c r="K16" s="5"/>
      <c r="L16" s="5"/>
      <c r="M16" s="5"/>
      <c r="N16" s="5"/>
      <c r="O16" s="5"/>
      <c r="P16" s="5"/>
      <c r="Q16" s="5"/>
      <c r="R16" s="5"/>
      <c r="S16" s="5"/>
      <c r="T16" s="5"/>
      <c r="U16" s="5"/>
    </row>
    <row r="17" spans="1:21" s="3" customFormat="1" ht="15" customHeight="1" x14ac:dyDescent="0.2">
      <c r="A17" s="420"/>
      <c r="B17" s="420"/>
      <c r="C17" s="420"/>
      <c r="D17" s="4"/>
      <c r="E17" s="4"/>
      <c r="F17" s="4"/>
      <c r="G17" s="4"/>
      <c r="H17" s="4"/>
      <c r="I17" s="4"/>
      <c r="J17" s="4"/>
      <c r="K17" s="4"/>
      <c r="L17" s="4"/>
      <c r="M17" s="4"/>
      <c r="N17" s="4"/>
      <c r="O17" s="4"/>
      <c r="P17" s="4"/>
      <c r="Q17" s="4"/>
      <c r="R17" s="4"/>
    </row>
    <row r="18" spans="1:21" s="3" customFormat="1" ht="27.75" customHeight="1" x14ac:dyDescent="0.2">
      <c r="A18" s="421" t="s">
        <v>467</v>
      </c>
      <c r="B18" s="421"/>
      <c r="C18" s="42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5" t="s">
        <v>602</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5" t="s">
        <v>606</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6" t="str">
        <f>A15</f>
        <v>Приобретение автокрана на базе КАМАЗ 43118</v>
      </c>
      <c r="D24" s="26"/>
      <c r="E24" s="184"/>
      <c r="F24" s="26"/>
      <c r="G24" s="26"/>
      <c r="H24" s="26"/>
      <c r="I24" s="26"/>
      <c r="J24" s="26"/>
      <c r="K24" s="26"/>
      <c r="L24" s="26"/>
      <c r="M24" s="26"/>
      <c r="N24" s="26"/>
      <c r="O24" s="26"/>
      <c r="P24" s="26"/>
      <c r="Q24" s="26"/>
      <c r="R24" s="26"/>
      <c r="S24" s="26"/>
      <c r="T24" s="26"/>
      <c r="U24" s="26"/>
    </row>
    <row r="25" spans="1:21" ht="31.5" x14ac:dyDescent="0.25">
      <c r="A25" s="27" t="s">
        <v>59</v>
      </c>
      <c r="B25" s="29" t="s">
        <v>501</v>
      </c>
      <c r="C25" s="256" t="s">
        <v>609</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534</v>
      </c>
      <c r="D26" s="26"/>
      <c r="E26" s="26"/>
      <c r="F26" s="26"/>
      <c r="G26" s="26"/>
      <c r="H26" s="26"/>
      <c r="I26" s="26"/>
      <c r="J26" s="26"/>
      <c r="K26" s="26"/>
      <c r="L26" s="26"/>
      <c r="M26" s="26"/>
      <c r="N26" s="26"/>
      <c r="O26" s="26"/>
      <c r="P26" s="26"/>
      <c r="Q26" s="26"/>
      <c r="R26" s="26"/>
      <c r="S26" s="26"/>
      <c r="T26" s="26"/>
      <c r="U26" s="26"/>
    </row>
    <row r="27" spans="1:21" ht="31.5" x14ac:dyDescent="0.25">
      <c r="A27" s="27" t="s">
        <v>56</v>
      </c>
      <c r="B27" s="247" t="s">
        <v>481</v>
      </c>
      <c r="C27" s="248" t="s">
        <v>603</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540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40"/>
      <c r="AB6" s="140"/>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40"/>
      <c r="AB7" s="140"/>
    </row>
    <row r="8" spans="1:28" x14ac:dyDescent="0.25">
      <c r="A8" s="413" t="str">
        <f>'1. паспорт местоположение'!A9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41"/>
      <c r="AB8" s="141"/>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42"/>
      <c r="AB9" s="142"/>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40"/>
      <c r="AB10" s="140"/>
    </row>
    <row r="11" spans="1:28" x14ac:dyDescent="0.25">
      <c r="A11" s="413" t="str">
        <f>'1. паспорт местоположение'!A12:C12</f>
        <v>M 22-08</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41"/>
      <c r="AB11" s="141"/>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42"/>
      <c r="AB12" s="142"/>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ht="57" customHeight="1" x14ac:dyDescent="0.25">
      <c r="A14" s="419" t="str">
        <f>'1. паспорт местоположение'!A15</f>
        <v>Приобретение автокрана на базе КАМАЗ 43118</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41"/>
      <c r="AB14" s="141"/>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42"/>
      <c r="AB15" s="142"/>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51"/>
      <c r="AB16" s="151"/>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51"/>
      <c r="AB17" s="151"/>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51"/>
      <c r="AB18" s="151"/>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51"/>
      <c r="AB19" s="151"/>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52"/>
      <c r="AB20" s="152"/>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52"/>
      <c r="AB21" s="152"/>
    </row>
    <row r="22" spans="1:28" x14ac:dyDescent="0.25">
      <c r="A22" s="447" t="s">
        <v>499</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53"/>
      <c r="AB22" s="153"/>
    </row>
    <row r="23" spans="1:28" ht="32.25" customHeight="1" x14ac:dyDescent="0.25">
      <c r="A23" s="449" t="s">
        <v>353</v>
      </c>
      <c r="B23" s="450"/>
      <c r="C23" s="450"/>
      <c r="D23" s="450"/>
      <c r="E23" s="450"/>
      <c r="F23" s="450"/>
      <c r="G23" s="450"/>
      <c r="H23" s="450"/>
      <c r="I23" s="450"/>
      <c r="J23" s="450"/>
      <c r="K23" s="450"/>
      <c r="L23" s="451"/>
      <c r="M23" s="448" t="s">
        <v>354</v>
      </c>
      <c r="N23" s="448"/>
      <c r="O23" s="448"/>
      <c r="P23" s="448"/>
      <c r="Q23" s="448"/>
      <c r="R23" s="448"/>
      <c r="S23" s="448"/>
      <c r="T23" s="448"/>
      <c r="U23" s="448"/>
      <c r="V23" s="448"/>
      <c r="W23" s="448"/>
      <c r="X23" s="448"/>
      <c r="Y23" s="448"/>
      <c r="Z23" s="448"/>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2" t="s">
        <v>7</v>
      </c>
      <c r="B7" s="412"/>
      <c r="C7" s="412"/>
      <c r="D7" s="412"/>
      <c r="E7" s="412"/>
      <c r="F7" s="412"/>
      <c r="G7" s="412"/>
      <c r="H7" s="412"/>
      <c r="I7" s="412"/>
      <c r="J7" s="412"/>
      <c r="K7" s="412"/>
      <c r="L7" s="412"/>
      <c r="M7" s="412"/>
      <c r="N7" s="140"/>
      <c r="O7" s="140"/>
      <c r="P7" s="140"/>
      <c r="Q7" s="140"/>
      <c r="R7" s="140"/>
      <c r="S7" s="140"/>
      <c r="T7" s="140"/>
      <c r="U7" s="140"/>
      <c r="V7" s="140"/>
      <c r="W7" s="140"/>
      <c r="X7" s="140"/>
    </row>
    <row r="8" spans="1:26" s="11" customFormat="1" ht="18.75" x14ac:dyDescent="0.2">
      <c r="A8" s="412"/>
      <c r="B8" s="412"/>
      <c r="C8" s="412"/>
      <c r="D8" s="412"/>
      <c r="E8" s="412"/>
      <c r="F8" s="412"/>
      <c r="G8" s="412"/>
      <c r="H8" s="412"/>
      <c r="I8" s="412"/>
      <c r="J8" s="412"/>
      <c r="K8" s="412"/>
      <c r="L8" s="412"/>
      <c r="M8" s="412"/>
      <c r="N8" s="140"/>
      <c r="O8" s="140"/>
      <c r="P8" s="140"/>
      <c r="Q8" s="140"/>
      <c r="R8" s="140"/>
      <c r="S8" s="140"/>
      <c r="T8" s="140"/>
      <c r="U8" s="140"/>
      <c r="V8" s="140"/>
      <c r="W8" s="140"/>
      <c r="X8" s="140"/>
    </row>
    <row r="9" spans="1:26" s="11" customFormat="1" ht="18.75" x14ac:dyDescent="0.2">
      <c r="A9" s="413" t="str">
        <f>'1. паспорт местоположение'!A9:C9</f>
        <v>Акционерное общество "Западная энергетическая компания"</v>
      </c>
      <c r="B9" s="413"/>
      <c r="C9" s="413"/>
      <c r="D9" s="413"/>
      <c r="E9" s="413"/>
      <c r="F9" s="413"/>
      <c r="G9" s="413"/>
      <c r="H9" s="413"/>
      <c r="I9" s="413"/>
      <c r="J9" s="413"/>
      <c r="K9" s="413"/>
      <c r="L9" s="413"/>
      <c r="M9" s="413"/>
      <c r="N9" s="140"/>
      <c r="O9" s="140"/>
      <c r="P9" s="140"/>
      <c r="Q9" s="140"/>
      <c r="R9" s="140"/>
      <c r="S9" s="140"/>
      <c r="T9" s="140"/>
      <c r="U9" s="140"/>
      <c r="V9" s="140"/>
      <c r="W9" s="140"/>
      <c r="X9" s="140"/>
    </row>
    <row r="10" spans="1:26" s="11" customFormat="1" ht="18.75" x14ac:dyDescent="0.2">
      <c r="A10" s="417" t="s">
        <v>6</v>
      </c>
      <c r="B10" s="417"/>
      <c r="C10" s="417"/>
      <c r="D10" s="417"/>
      <c r="E10" s="417"/>
      <c r="F10" s="417"/>
      <c r="G10" s="417"/>
      <c r="H10" s="417"/>
      <c r="I10" s="417"/>
      <c r="J10" s="417"/>
      <c r="K10" s="417"/>
      <c r="L10" s="417"/>
      <c r="M10" s="417"/>
      <c r="N10" s="140"/>
      <c r="O10" s="140"/>
      <c r="P10" s="140"/>
      <c r="Q10" s="140"/>
      <c r="R10" s="140"/>
      <c r="S10" s="140"/>
      <c r="T10" s="140"/>
      <c r="U10" s="140"/>
      <c r="V10" s="140"/>
      <c r="W10" s="140"/>
      <c r="X10" s="140"/>
    </row>
    <row r="11" spans="1:26" s="11" customFormat="1" ht="18.75" x14ac:dyDescent="0.2">
      <c r="A11" s="412"/>
      <c r="B11" s="412"/>
      <c r="C11" s="412"/>
      <c r="D11" s="412"/>
      <c r="E11" s="412"/>
      <c r="F11" s="412"/>
      <c r="G11" s="412"/>
      <c r="H11" s="412"/>
      <c r="I11" s="412"/>
      <c r="J11" s="412"/>
      <c r="K11" s="412"/>
      <c r="L11" s="412"/>
      <c r="M11" s="412"/>
      <c r="N11" s="140"/>
      <c r="O11" s="140"/>
      <c r="P11" s="140"/>
      <c r="Q11" s="140"/>
      <c r="R11" s="140"/>
      <c r="S11" s="140"/>
      <c r="T11" s="140"/>
      <c r="U11" s="140"/>
      <c r="V11" s="140"/>
      <c r="W11" s="140"/>
      <c r="X11" s="140"/>
    </row>
    <row r="12" spans="1:26" s="11" customFormat="1" ht="18.75" x14ac:dyDescent="0.2">
      <c r="A12" s="413" t="str">
        <f>'1. паспорт местоположение'!A12:C12</f>
        <v>M 22-08</v>
      </c>
      <c r="B12" s="413"/>
      <c r="C12" s="413"/>
      <c r="D12" s="413"/>
      <c r="E12" s="413"/>
      <c r="F12" s="413"/>
      <c r="G12" s="413"/>
      <c r="H12" s="413"/>
      <c r="I12" s="413"/>
      <c r="J12" s="413"/>
      <c r="K12" s="413"/>
      <c r="L12" s="413"/>
      <c r="M12" s="413"/>
      <c r="N12" s="140"/>
      <c r="O12" s="140"/>
      <c r="P12" s="140"/>
      <c r="Q12" s="140"/>
      <c r="R12" s="140"/>
      <c r="S12" s="140"/>
      <c r="T12" s="140"/>
      <c r="U12" s="140"/>
      <c r="V12" s="140"/>
      <c r="W12" s="140"/>
      <c r="X12" s="140"/>
    </row>
    <row r="13" spans="1:26" s="11" customFormat="1" ht="18.75" x14ac:dyDescent="0.2">
      <c r="A13" s="417" t="s">
        <v>5</v>
      </c>
      <c r="B13" s="417"/>
      <c r="C13" s="417"/>
      <c r="D13" s="417"/>
      <c r="E13" s="417"/>
      <c r="F13" s="417"/>
      <c r="G13" s="417"/>
      <c r="H13" s="417"/>
      <c r="I13" s="417"/>
      <c r="J13" s="417"/>
      <c r="K13" s="417"/>
      <c r="L13" s="417"/>
      <c r="M13" s="417"/>
      <c r="N13" s="140"/>
      <c r="O13" s="140"/>
      <c r="P13" s="140"/>
      <c r="Q13" s="140"/>
      <c r="R13" s="140"/>
      <c r="S13" s="140"/>
      <c r="T13" s="140"/>
      <c r="U13" s="140"/>
      <c r="V13" s="140"/>
      <c r="W13" s="140"/>
      <c r="X13" s="140"/>
    </row>
    <row r="14" spans="1:26" s="8" customFormat="1" ht="15.75" customHeight="1" x14ac:dyDescent="0.2">
      <c r="A14" s="418"/>
      <c r="B14" s="418"/>
      <c r="C14" s="418"/>
      <c r="D14" s="418"/>
      <c r="E14" s="418"/>
      <c r="F14" s="418"/>
      <c r="G14" s="418"/>
      <c r="H14" s="418"/>
      <c r="I14" s="418"/>
      <c r="J14" s="418"/>
      <c r="K14" s="418"/>
      <c r="L14" s="418"/>
      <c r="M14" s="418"/>
      <c r="N14" s="207"/>
      <c r="O14" s="207"/>
      <c r="P14" s="207"/>
      <c r="Q14" s="207"/>
      <c r="R14" s="207"/>
      <c r="S14" s="207"/>
      <c r="T14" s="207"/>
      <c r="U14" s="207"/>
      <c r="V14" s="207"/>
      <c r="W14" s="207"/>
      <c r="X14" s="207"/>
    </row>
    <row r="15" spans="1:26" s="3" customFormat="1" ht="54.75" customHeight="1" x14ac:dyDescent="0.2">
      <c r="A15" s="458" t="str">
        <f>'1. паспорт местоположение'!A15</f>
        <v>Приобретение автокрана на базе КАМАЗ 43118</v>
      </c>
      <c r="B15" s="458"/>
      <c r="C15" s="458"/>
      <c r="D15" s="458"/>
      <c r="E15" s="458"/>
      <c r="F15" s="458"/>
      <c r="G15" s="458"/>
      <c r="H15" s="458"/>
      <c r="I15" s="458"/>
      <c r="J15" s="458"/>
      <c r="K15" s="458"/>
      <c r="L15" s="458"/>
      <c r="M15" s="458"/>
      <c r="N15" s="155"/>
      <c r="O15" s="155"/>
      <c r="P15" s="155"/>
      <c r="Q15" s="155"/>
      <c r="R15" s="155"/>
      <c r="S15" s="155"/>
      <c r="T15" s="155"/>
      <c r="U15" s="155"/>
      <c r="V15" s="155"/>
      <c r="W15" s="155"/>
      <c r="X15" s="155"/>
    </row>
    <row r="16" spans="1:26" s="3" customFormat="1" ht="15" customHeight="1" x14ac:dyDescent="0.2">
      <c r="A16" s="417" t="s">
        <v>4</v>
      </c>
      <c r="B16" s="417"/>
      <c r="C16" s="417"/>
      <c r="D16" s="417"/>
      <c r="E16" s="417"/>
      <c r="F16" s="417"/>
      <c r="G16" s="417"/>
      <c r="H16" s="417"/>
      <c r="I16" s="417"/>
      <c r="J16" s="417"/>
      <c r="K16" s="417"/>
      <c r="L16" s="417"/>
      <c r="M16" s="417"/>
      <c r="N16" s="142"/>
      <c r="O16" s="142"/>
      <c r="P16" s="142"/>
      <c r="Q16" s="142"/>
      <c r="R16" s="142"/>
      <c r="S16" s="142"/>
      <c r="T16" s="142"/>
      <c r="U16" s="142"/>
      <c r="V16" s="142"/>
      <c r="W16" s="142"/>
      <c r="X16" s="142"/>
    </row>
    <row r="17" spans="1:24" s="3" customFormat="1" ht="15" customHeight="1" x14ac:dyDescent="0.2">
      <c r="A17" s="420"/>
      <c r="B17" s="420"/>
      <c r="C17" s="420"/>
      <c r="D17" s="420"/>
      <c r="E17" s="420"/>
      <c r="F17" s="420"/>
      <c r="G17" s="420"/>
      <c r="H17" s="420"/>
      <c r="I17" s="420"/>
      <c r="J17" s="420"/>
      <c r="K17" s="420"/>
      <c r="L17" s="420"/>
      <c r="M17" s="420"/>
      <c r="N17" s="208"/>
      <c r="O17" s="208"/>
      <c r="P17" s="208"/>
      <c r="Q17" s="208"/>
      <c r="R17" s="208"/>
      <c r="S17" s="208"/>
      <c r="T17" s="208"/>
      <c r="U17" s="208"/>
    </row>
    <row r="18" spans="1:24" s="3" customFormat="1" ht="91.5" customHeight="1" x14ac:dyDescent="0.2">
      <c r="A18" s="453" t="s">
        <v>476</v>
      </c>
      <c r="B18" s="453"/>
      <c r="C18" s="453"/>
      <c r="D18" s="453"/>
      <c r="E18" s="453"/>
      <c r="F18" s="453"/>
      <c r="G18" s="453"/>
      <c r="H18" s="453"/>
      <c r="I18" s="453"/>
      <c r="J18" s="453"/>
      <c r="K18" s="453"/>
      <c r="L18" s="453"/>
      <c r="M18" s="453"/>
      <c r="N18" s="6"/>
      <c r="O18" s="6"/>
      <c r="P18" s="6"/>
      <c r="Q18" s="6"/>
      <c r="R18" s="6"/>
      <c r="S18" s="6"/>
      <c r="T18" s="6"/>
      <c r="U18" s="6"/>
      <c r="V18" s="6"/>
      <c r="W18" s="6"/>
      <c r="X18" s="6"/>
    </row>
    <row r="19" spans="1:24" s="3" customFormat="1" ht="78" customHeight="1" x14ac:dyDescent="0.2">
      <c r="A19" s="454" t="s">
        <v>3</v>
      </c>
      <c r="B19" s="454" t="s">
        <v>82</v>
      </c>
      <c r="C19" s="454" t="s">
        <v>81</v>
      </c>
      <c r="D19" s="454" t="s">
        <v>73</v>
      </c>
      <c r="E19" s="455" t="s">
        <v>80</v>
      </c>
      <c r="F19" s="456"/>
      <c r="G19" s="456"/>
      <c r="H19" s="456"/>
      <c r="I19" s="457"/>
      <c r="J19" s="454" t="s">
        <v>79</v>
      </c>
      <c r="K19" s="454"/>
      <c r="L19" s="454"/>
      <c r="M19" s="454"/>
      <c r="N19" s="208"/>
      <c r="O19" s="208"/>
      <c r="P19" s="208"/>
      <c r="Q19" s="208"/>
      <c r="R19" s="208"/>
      <c r="S19" s="208"/>
      <c r="T19" s="208"/>
      <c r="U19" s="208"/>
    </row>
    <row r="20" spans="1:24" s="3" customFormat="1" ht="51" customHeight="1" x14ac:dyDescent="0.2">
      <c r="A20" s="454"/>
      <c r="B20" s="454"/>
      <c r="C20" s="454"/>
      <c r="D20" s="454"/>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541</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55" workbookViewId="0">
      <selection activeCell="E79" sqref="E79"/>
    </sheetView>
  </sheetViews>
  <sheetFormatPr defaultRowHeight="15" x14ac:dyDescent="0.25"/>
  <cols>
    <col min="1" max="1" width="35.42578125" style="399" customWidth="1"/>
    <col min="2" max="2" width="22" style="399" customWidth="1"/>
    <col min="3" max="5" width="17.140625" style="399" customWidth="1"/>
    <col min="6" max="12" width="13.5703125" style="399" customWidth="1"/>
    <col min="13" max="13" width="13.5703125" style="399" hidden="1" customWidth="1"/>
    <col min="14" max="32" width="15.7109375" style="399" hidden="1" customWidth="1"/>
    <col min="33" max="33" width="15.7109375" style="399" customWidth="1"/>
    <col min="34" max="16384" width="9.140625" style="399"/>
  </cols>
  <sheetData>
    <row r="1" spans="1:45" s="262" customFormat="1" ht="12.75" x14ac:dyDescent="0.2">
      <c r="A1" s="259"/>
      <c r="B1" s="260"/>
      <c r="C1" s="260"/>
      <c r="D1" s="260"/>
      <c r="E1" s="260"/>
      <c r="F1" s="260"/>
      <c r="G1" s="260"/>
      <c r="H1" s="260"/>
      <c r="I1" s="260"/>
      <c r="J1" s="260"/>
      <c r="K1" s="261"/>
      <c r="L1" s="260"/>
      <c r="M1" s="260"/>
      <c r="N1" s="260"/>
      <c r="O1" s="260"/>
      <c r="P1" s="261" t="s">
        <v>66</v>
      </c>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P1" s="263"/>
      <c r="AQ1" s="263"/>
      <c r="AR1" s="264"/>
      <c r="AS1" s="264"/>
    </row>
    <row r="2" spans="1:45" s="262" customFormat="1" ht="12.75" x14ac:dyDescent="0.2">
      <c r="A2" s="259"/>
      <c r="B2" s="260"/>
      <c r="C2" s="260"/>
      <c r="D2" s="260"/>
      <c r="E2" s="260"/>
      <c r="F2" s="260"/>
      <c r="G2" s="260"/>
      <c r="H2" s="260"/>
      <c r="I2" s="260"/>
      <c r="J2" s="260"/>
      <c r="K2" s="265"/>
      <c r="L2" s="260"/>
      <c r="M2" s="260"/>
      <c r="N2" s="260"/>
      <c r="O2" s="260"/>
      <c r="P2" s="265" t="s">
        <v>8</v>
      </c>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P2" s="263"/>
      <c r="AQ2" s="263"/>
      <c r="AR2" s="264"/>
      <c r="AS2" s="264"/>
    </row>
    <row r="3" spans="1:45" s="262" customFormat="1" ht="12.75" x14ac:dyDescent="0.2">
      <c r="A3" s="266"/>
      <c r="B3" s="260"/>
      <c r="C3" s="260"/>
      <c r="D3" s="260"/>
      <c r="E3" s="260"/>
      <c r="F3" s="260"/>
      <c r="G3" s="260"/>
      <c r="H3" s="260"/>
      <c r="I3" s="260"/>
      <c r="J3" s="260"/>
      <c r="K3" s="265"/>
      <c r="L3" s="260"/>
      <c r="M3" s="260"/>
      <c r="N3" s="260"/>
      <c r="O3" s="260"/>
      <c r="P3" s="265" t="s">
        <v>328</v>
      </c>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P3" s="263"/>
      <c r="AQ3" s="263"/>
      <c r="AR3" s="264"/>
      <c r="AS3" s="264"/>
    </row>
    <row r="4" spans="1:45" s="262" customFormat="1" ht="12.75" x14ac:dyDescent="0.2">
      <c r="A4" s="267"/>
      <c r="B4" s="259"/>
      <c r="C4" s="259"/>
      <c r="D4" s="259"/>
      <c r="E4" s="259"/>
      <c r="F4" s="259"/>
      <c r="G4" s="259"/>
      <c r="H4" s="259"/>
      <c r="I4" s="259"/>
      <c r="J4" s="259"/>
      <c r="K4" s="265"/>
      <c r="L4" s="259"/>
      <c r="M4" s="259"/>
      <c r="N4" s="259"/>
      <c r="O4" s="259"/>
      <c r="P4" s="259"/>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3"/>
      <c r="AQ4" s="263"/>
      <c r="AR4" s="264"/>
      <c r="AS4" s="264"/>
    </row>
    <row r="5" spans="1:45" s="262" customFormat="1" ht="12.75" x14ac:dyDescent="0.2">
      <c r="A5" s="471" t="str">
        <f>'[1]1. паспорт местоположение'!A5:C5</f>
        <v>Год раскрытия информации: 2022 год</v>
      </c>
      <c r="B5" s="471"/>
      <c r="C5" s="471"/>
      <c r="D5" s="471"/>
      <c r="E5" s="471"/>
      <c r="F5" s="471"/>
      <c r="G5" s="471"/>
      <c r="H5" s="471"/>
      <c r="I5" s="471"/>
      <c r="J5" s="471"/>
      <c r="K5" s="471"/>
      <c r="L5" s="471"/>
      <c r="M5" s="471"/>
      <c r="N5" s="471"/>
      <c r="O5" s="471"/>
      <c r="P5" s="471"/>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3"/>
      <c r="AQ5" s="263"/>
      <c r="AR5" s="264"/>
      <c r="AS5" s="264"/>
    </row>
    <row r="6" spans="1:45" s="262" customFormat="1" ht="12.75" x14ac:dyDescent="0.2">
      <c r="A6" s="267"/>
      <c r="B6" s="259"/>
      <c r="C6" s="259"/>
      <c r="D6" s="259"/>
      <c r="E6" s="259"/>
      <c r="F6" s="259"/>
      <c r="G6" s="259"/>
      <c r="H6" s="259"/>
      <c r="I6" s="259"/>
      <c r="J6" s="259"/>
      <c r="K6" s="265"/>
      <c r="L6" s="259"/>
      <c r="M6" s="259"/>
      <c r="N6" s="259"/>
      <c r="O6" s="259"/>
      <c r="P6" s="259"/>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3"/>
      <c r="AQ6" s="263"/>
      <c r="AR6" s="264"/>
      <c r="AS6" s="264"/>
    </row>
    <row r="7" spans="1:45" s="262" customFormat="1" ht="12.75" x14ac:dyDescent="0.2">
      <c r="A7" s="471" t="s">
        <v>7</v>
      </c>
      <c r="B7" s="471"/>
      <c r="C7" s="471"/>
      <c r="D7" s="471"/>
      <c r="E7" s="471"/>
      <c r="F7" s="471"/>
      <c r="G7" s="471"/>
      <c r="H7" s="471"/>
      <c r="I7" s="471"/>
      <c r="J7" s="471"/>
      <c r="K7" s="471"/>
      <c r="L7" s="471"/>
      <c r="M7" s="471"/>
      <c r="N7" s="471"/>
      <c r="O7" s="471"/>
      <c r="P7" s="471"/>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3"/>
      <c r="AQ7" s="263"/>
      <c r="AR7" s="264"/>
      <c r="AS7" s="264"/>
    </row>
    <row r="8" spans="1:45" s="262" customFormat="1" ht="12.75" x14ac:dyDescent="0.2">
      <c r="A8" s="270"/>
      <c r="B8" s="270"/>
      <c r="C8" s="270"/>
      <c r="D8" s="270"/>
      <c r="E8" s="270"/>
      <c r="F8" s="270"/>
      <c r="G8" s="270"/>
      <c r="H8" s="270"/>
      <c r="I8" s="270"/>
      <c r="J8" s="270"/>
      <c r="K8" s="270"/>
      <c r="L8" s="268"/>
      <c r="M8" s="268"/>
      <c r="N8" s="268"/>
      <c r="O8" s="268"/>
      <c r="P8" s="268"/>
      <c r="Q8" s="269"/>
      <c r="R8" s="269"/>
      <c r="S8" s="269"/>
      <c r="T8" s="269"/>
      <c r="U8" s="269"/>
      <c r="V8" s="269"/>
      <c r="W8" s="269"/>
      <c r="X8" s="269"/>
      <c r="Y8" s="269"/>
      <c r="Z8" s="260"/>
      <c r="AA8" s="260"/>
      <c r="AB8" s="260"/>
      <c r="AC8" s="260"/>
      <c r="AD8" s="260"/>
      <c r="AE8" s="260"/>
      <c r="AF8" s="260"/>
      <c r="AG8" s="260"/>
      <c r="AH8" s="260"/>
      <c r="AI8" s="260"/>
      <c r="AJ8" s="260"/>
      <c r="AK8" s="260"/>
      <c r="AL8" s="260"/>
      <c r="AM8" s="260"/>
      <c r="AN8" s="260"/>
      <c r="AO8" s="260"/>
      <c r="AP8" s="263"/>
      <c r="AQ8" s="263"/>
      <c r="AR8" s="264"/>
      <c r="AS8" s="264"/>
    </row>
    <row r="9" spans="1:45" s="262" customFormat="1" ht="12.75" x14ac:dyDescent="0.2">
      <c r="A9" s="472" t="str">
        <f>'[1]1. паспорт местоположение'!A9:C9</f>
        <v xml:space="preserve">Акционерное общество "Западная энергетическая компания" </v>
      </c>
      <c r="B9" s="472"/>
      <c r="C9" s="472"/>
      <c r="D9" s="472"/>
      <c r="E9" s="472"/>
      <c r="F9" s="472"/>
      <c r="G9" s="472"/>
      <c r="H9" s="472"/>
      <c r="I9" s="472"/>
      <c r="J9" s="472"/>
      <c r="K9" s="472"/>
      <c r="L9" s="472"/>
      <c r="M9" s="472"/>
      <c r="N9" s="472"/>
      <c r="O9" s="472"/>
      <c r="P9" s="472"/>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63"/>
      <c r="AQ9" s="263"/>
      <c r="AR9" s="264"/>
      <c r="AS9" s="264"/>
    </row>
    <row r="10" spans="1:45" s="262" customFormat="1" ht="12.75" x14ac:dyDescent="0.2">
      <c r="A10" s="470" t="s">
        <v>6</v>
      </c>
      <c r="B10" s="470"/>
      <c r="C10" s="470"/>
      <c r="D10" s="470"/>
      <c r="E10" s="470"/>
      <c r="F10" s="470"/>
      <c r="G10" s="470"/>
      <c r="H10" s="470"/>
      <c r="I10" s="470"/>
      <c r="J10" s="470"/>
      <c r="K10" s="470"/>
      <c r="L10" s="470"/>
      <c r="M10" s="470"/>
      <c r="N10" s="470"/>
      <c r="O10" s="470"/>
      <c r="P10" s="470"/>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63"/>
      <c r="AQ10" s="263"/>
      <c r="AR10" s="264"/>
      <c r="AS10" s="264"/>
    </row>
    <row r="11" spans="1:45" s="262" customFormat="1" ht="12.75" x14ac:dyDescent="0.2">
      <c r="A11" s="270"/>
      <c r="B11" s="270"/>
      <c r="C11" s="270"/>
      <c r="D11" s="270"/>
      <c r="E11" s="270"/>
      <c r="F11" s="270"/>
      <c r="G11" s="270"/>
      <c r="H11" s="270"/>
      <c r="I11" s="270"/>
      <c r="J11" s="270"/>
      <c r="K11" s="270"/>
      <c r="L11" s="268"/>
      <c r="M11" s="268"/>
      <c r="N11" s="268"/>
      <c r="O11" s="268"/>
      <c r="P11" s="268"/>
      <c r="Q11" s="269"/>
      <c r="R11" s="269"/>
      <c r="S11" s="269"/>
      <c r="T11" s="269"/>
      <c r="U11" s="269"/>
      <c r="V11" s="269"/>
      <c r="W11" s="269"/>
      <c r="X11" s="269"/>
      <c r="Y11" s="269"/>
      <c r="Z11" s="260"/>
      <c r="AA11" s="260"/>
      <c r="AB11" s="260"/>
      <c r="AC11" s="260"/>
      <c r="AD11" s="260"/>
      <c r="AE11" s="260"/>
      <c r="AF11" s="260"/>
      <c r="AG11" s="260"/>
      <c r="AH11" s="260"/>
      <c r="AI11" s="260"/>
      <c r="AJ11" s="260"/>
      <c r="AK11" s="260"/>
      <c r="AL11" s="260"/>
      <c r="AM11" s="260"/>
      <c r="AN11" s="260"/>
      <c r="AO11" s="260"/>
      <c r="AP11" s="263"/>
      <c r="AQ11" s="263"/>
      <c r="AR11" s="264"/>
      <c r="AS11" s="264"/>
    </row>
    <row r="12" spans="1:45" s="262" customFormat="1" ht="12.75" x14ac:dyDescent="0.2">
      <c r="A12" s="472" t="str">
        <f>'1. паспорт местоположение'!A12:C12</f>
        <v>M 22-08</v>
      </c>
      <c r="B12" s="472"/>
      <c r="C12" s="472"/>
      <c r="D12" s="472"/>
      <c r="E12" s="472"/>
      <c r="F12" s="472"/>
      <c r="G12" s="472"/>
      <c r="H12" s="472"/>
      <c r="I12" s="472"/>
      <c r="J12" s="472"/>
      <c r="K12" s="472"/>
      <c r="L12" s="472"/>
      <c r="M12" s="472"/>
      <c r="N12" s="472"/>
      <c r="O12" s="472"/>
      <c r="P12" s="472"/>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63"/>
      <c r="AQ12" s="263"/>
      <c r="AR12" s="264"/>
      <c r="AS12" s="264"/>
    </row>
    <row r="13" spans="1:45" s="262" customFormat="1" ht="12.75" x14ac:dyDescent="0.2">
      <c r="A13" s="470" t="s">
        <v>5</v>
      </c>
      <c r="B13" s="470"/>
      <c r="C13" s="470"/>
      <c r="D13" s="470"/>
      <c r="E13" s="470"/>
      <c r="F13" s="470"/>
      <c r="G13" s="470"/>
      <c r="H13" s="470"/>
      <c r="I13" s="470"/>
      <c r="J13" s="470"/>
      <c r="K13" s="470"/>
      <c r="L13" s="470"/>
      <c r="M13" s="470"/>
      <c r="N13" s="470"/>
      <c r="O13" s="470"/>
      <c r="P13" s="470"/>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63"/>
      <c r="AQ13" s="263"/>
      <c r="AR13" s="264"/>
      <c r="AS13" s="264"/>
    </row>
    <row r="14" spans="1:45" s="262" customFormat="1" ht="12.75" x14ac:dyDescent="0.2">
      <c r="A14" s="273"/>
      <c r="B14" s="273"/>
      <c r="C14" s="273"/>
      <c r="D14" s="273"/>
      <c r="E14" s="273"/>
      <c r="F14" s="273"/>
      <c r="G14" s="273"/>
      <c r="H14" s="273"/>
      <c r="I14" s="273"/>
      <c r="J14" s="273"/>
      <c r="K14" s="273"/>
      <c r="L14" s="273"/>
      <c r="M14" s="273"/>
      <c r="N14" s="273"/>
      <c r="O14" s="273"/>
      <c r="P14" s="273"/>
      <c r="Q14" s="274"/>
      <c r="R14" s="274"/>
      <c r="S14" s="274"/>
      <c r="T14" s="274"/>
      <c r="U14" s="274"/>
      <c r="V14" s="274"/>
      <c r="W14" s="274"/>
      <c r="X14" s="274"/>
      <c r="Y14" s="274"/>
      <c r="Z14" s="260"/>
      <c r="AA14" s="260"/>
      <c r="AB14" s="260"/>
      <c r="AC14" s="260"/>
      <c r="AD14" s="260"/>
      <c r="AE14" s="260"/>
      <c r="AF14" s="260"/>
      <c r="AG14" s="260"/>
      <c r="AH14" s="260"/>
      <c r="AI14" s="260"/>
      <c r="AJ14" s="260"/>
      <c r="AK14" s="260"/>
      <c r="AL14" s="260"/>
      <c r="AM14" s="260"/>
      <c r="AN14" s="260"/>
      <c r="AO14" s="260"/>
      <c r="AP14" s="263"/>
      <c r="AQ14" s="263"/>
      <c r="AR14" s="264"/>
      <c r="AS14" s="264"/>
    </row>
    <row r="15" spans="1:45" s="262" customFormat="1" ht="12.75" x14ac:dyDescent="0.2">
      <c r="A15" s="461" t="str">
        <f>'1. паспорт местоположение'!A15:C15</f>
        <v>Приобретение автокрана на базе КАМАЗ 43118</v>
      </c>
      <c r="B15" s="461"/>
      <c r="C15" s="461"/>
      <c r="D15" s="461"/>
      <c r="E15" s="461"/>
      <c r="F15" s="461"/>
      <c r="G15" s="461"/>
      <c r="H15" s="461"/>
      <c r="I15" s="461"/>
      <c r="J15" s="461"/>
      <c r="K15" s="461"/>
      <c r="L15" s="461"/>
      <c r="M15" s="461"/>
      <c r="N15" s="461"/>
      <c r="O15" s="461"/>
      <c r="P15" s="461"/>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63"/>
      <c r="AQ15" s="263"/>
      <c r="AR15" s="264"/>
      <c r="AS15" s="264"/>
    </row>
    <row r="16" spans="1:45" s="262" customFormat="1" ht="12.75" x14ac:dyDescent="0.2">
      <c r="A16" s="462" t="s">
        <v>4</v>
      </c>
      <c r="B16" s="462"/>
      <c r="C16" s="462"/>
      <c r="D16" s="462"/>
      <c r="E16" s="462"/>
      <c r="F16" s="462"/>
      <c r="G16" s="462"/>
      <c r="H16" s="462"/>
      <c r="I16" s="462"/>
      <c r="J16" s="462"/>
      <c r="K16" s="462"/>
      <c r="L16" s="462"/>
      <c r="M16" s="462"/>
      <c r="N16" s="462"/>
      <c r="O16" s="462"/>
      <c r="P16" s="46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63"/>
      <c r="AQ16" s="263"/>
      <c r="AR16" s="264"/>
      <c r="AS16" s="264"/>
    </row>
    <row r="17" spans="1:45" s="262" customFormat="1" ht="12.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276"/>
      <c r="X17" s="276"/>
      <c r="Y17" s="276"/>
      <c r="Z17" s="276"/>
      <c r="AA17" s="276"/>
      <c r="AB17" s="276"/>
      <c r="AC17" s="276"/>
      <c r="AD17" s="276"/>
      <c r="AE17" s="276"/>
      <c r="AF17" s="276"/>
      <c r="AG17" s="276"/>
      <c r="AH17" s="276"/>
      <c r="AI17" s="276"/>
      <c r="AJ17" s="276"/>
      <c r="AK17" s="276"/>
      <c r="AL17" s="276"/>
      <c r="AM17" s="276"/>
      <c r="AN17" s="276"/>
      <c r="AO17" s="276"/>
      <c r="AP17" s="263"/>
      <c r="AQ17" s="263"/>
      <c r="AR17" s="264"/>
      <c r="AS17" s="264"/>
    </row>
    <row r="18" spans="1:45" s="262" customFormat="1" ht="12.75" x14ac:dyDescent="0.2">
      <c r="A18" s="463" t="s">
        <v>477</v>
      </c>
      <c r="B18" s="463"/>
      <c r="C18" s="463"/>
      <c r="D18" s="463"/>
      <c r="E18" s="463"/>
      <c r="F18" s="463"/>
      <c r="G18" s="463"/>
      <c r="H18" s="463"/>
      <c r="I18" s="463"/>
      <c r="J18" s="463"/>
      <c r="K18" s="463"/>
      <c r="L18" s="463"/>
      <c r="M18" s="463"/>
      <c r="N18" s="463"/>
      <c r="O18" s="463"/>
      <c r="P18" s="463"/>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63"/>
      <c r="AQ18" s="263"/>
      <c r="AR18" s="264"/>
      <c r="AS18" s="264"/>
    </row>
    <row r="19" spans="1:45" s="262" customFormat="1" ht="12.75" x14ac:dyDescent="0.2">
      <c r="A19" s="277"/>
      <c r="B19" s="277"/>
      <c r="C19" s="277"/>
      <c r="D19" s="277"/>
      <c r="E19" s="277"/>
      <c r="F19" s="277"/>
      <c r="G19" s="277"/>
      <c r="H19" s="277"/>
      <c r="I19" s="277"/>
      <c r="J19" s="277"/>
      <c r="K19" s="277"/>
      <c r="L19" s="277"/>
      <c r="M19" s="277"/>
      <c r="N19" s="277"/>
      <c r="O19" s="277"/>
      <c r="P19" s="277"/>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63"/>
      <c r="AQ19" s="263"/>
      <c r="AR19" s="264"/>
      <c r="AS19" s="264"/>
    </row>
    <row r="20" spans="1:45" s="262" customFormat="1" ht="12.75" x14ac:dyDescent="0.2">
      <c r="A20" s="277"/>
      <c r="B20" s="277"/>
      <c r="C20" s="277"/>
      <c r="D20" s="277"/>
      <c r="E20" s="277"/>
      <c r="F20" s="277"/>
      <c r="G20" s="277"/>
      <c r="H20" s="277"/>
      <c r="I20" s="277"/>
      <c r="J20" s="277"/>
      <c r="K20" s="277"/>
      <c r="L20" s="277"/>
      <c r="M20" s="277"/>
      <c r="N20" s="277"/>
      <c r="O20" s="277"/>
      <c r="P20" s="277"/>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63"/>
      <c r="AQ20" s="263"/>
      <c r="AR20" s="264"/>
      <c r="AS20" s="264"/>
    </row>
    <row r="21" spans="1:45" s="262" customFormat="1" ht="12.75" x14ac:dyDescent="0.2">
      <c r="A21" s="278"/>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P21" s="263"/>
      <c r="AQ21" s="263"/>
      <c r="AR21" s="264"/>
      <c r="AS21" s="264"/>
    </row>
    <row r="22" spans="1:45" s="262" customFormat="1" ht="12.75" x14ac:dyDescent="0.2">
      <c r="A22" s="269"/>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P22" s="263"/>
      <c r="AQ22" s="263"/>
      <c r="AR22" s="264"/>
      <c r="AS22" s="264"/>
    </row>
    <row r="23" spans="1:45" s="262" customFormat="1" ht="13.5" thickBot="1" x14ac:dyDescent="0.25">
      <c r="A23" s="279" t="s">
        <v>327</v>
      </c>
      <c r="B23" s="279" t="s">
        <v>1</v>
      </c>
      <c r="C23" s="272"/>
      <c r="D23" s="280"/>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row>
    <row r="24" spans="1:45" s="262" customFormat="1" x14ac:dyDescent="0.2">
      <c r="A24" s="281" t="s">
        <v>515</v>
      </c>
      <c r="B24" s="282">
        <f>'6.2. Паспорт фин осв ввод'!D30*1000000</f>
        <v>4300000</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row>
    <row r="25" spans="1:45" s="262" customFormat="1" ht="12.75" x14ac:dyDescent="0.2">
      <c r="A25" s="283" t="s">
        <v>325</v>
      </c>
      <c r="B25" s="284">
        <v>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row>
    <row r="26" spans="1:45" s="262" customFormat="1" ht="12.75" x14ac:dyDescent="0.2">
      <c r="A26" s="283" t="s">
        <v>323</v>
      </c>
      <c r="B26" s="284">
        <v>30</v>
      </c>
      <c r="C26" s="272"/>
      <c r="D26" s="269" t="s">
        <v>326</v>
      </c>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row>
    <row r="27" spans="1:45" s="262" customFormat="1" ht="13.5" thickBot="1" x14ac:dyDescent="0.25">
      <c r="A27" s="285" t="s">
        <v>321</v>
      </c>
      <c r="B27" s="286">
        <v>1</v>
      </c>
      <c r="C27" s="272"/>
      <c r="D27" s="464" t="s">
        <v>324</v>
      </c>
      <c r="E27" s="465"/>
      <c r="F27" s="466"/>
      <c r="G27" s="287" t="str">
        <f>IF(SUM(B89:AG89)=0,"не окупается",SUM(B89:AG89))</f>
        <v>не окупается</v>
      </c>
      <c r="H27" s="288"/>
      <c r="I27" s="272"/>
      <c r="J27" s="272"/>
      <c r="K27" s="272"/>
      <c r="L27" s="272"/>
      <c r="M27" s="272"/>
      <c r="N27" s="272"/>
      <c r="O27" s="272"/>
      <c r="P27" s="272"/>
      <c r="Q27" s="272"/>
      <c r="R27" s="272"/>
      <c r="S27" s="272"/>
      <c r="T27" s="272"/>
      <c r="U27" s="272"/>
      <c r="V27" s="272"/>
      <c r="W27" s="272"/>
      <c r="X27" s="272"/>
      <c r="Y27" s="272"/>
      <c r="Z27" s="272"/>
      <c r="AA27" s="272"/>
      <c r="AB27" s="272"/>
      <c r="AC27" s="272"/>
    </row>
    <row r="28" spans="1:45" s="262" customFormat="1" x14ac:dyDescent="0.2">
      <c r="A28" s="281" t="s">
        <v>320</v>
      </c>
      <c r="B28" s="282">
        <f>B24*0.0001</f>
        <v>430</v>
      </c>
      <c r="C28" s="272"/>
      <c r="D28" s="464" t="s">
        <v>322</v>
      </c>
      <c r="E28" s="465"/>
      <c r="F28" s="466"/>
      <c r="G28" s="287" t="str">
        <f>IF(SUM(B90:AG90)=0,"не окупается",SUM(B90:AG90))</f>
        <v>не окупается</v>
      </c>
      <c r="H28" s="288"/>
      <c r="I28" s="272"/>
      <c r="J28" s="272"/>
      <c r="K28" s="272"/>
      <c r="L28" s="272"/>
      <c r="M28" s="272"/>
      <c r="N28" s="272"/>
      <c r="O28" s="272"/>
      <c r="P28" s="272"/>
      <c r="Q28" s="272"/>
      <c r="R28" s="272"/>
      <c r="S28" s="272"/>
      <c r="T28" s="272"/>
      <c r="U28" s="272"/>
      <c r="V28" s="272"/>
      <c r="W28" s="272"/>
      <c r="X28" s="272"/>
      <c r="Y28" s="272"/>
      <c r="Z28" s="272"/>
      <c r="AA28" s="272"/>
      <c r="AB28" s="272"/>
      <c r="AC28" s="272"/>
    </row>
    <row r="29" spans="1:45" s="262" customFormat="1" ht="12.75" x14ac:dyDescent="0.2">
      <c r="A29" s="283" t="s">
        <v>516</v>
      </c>
      <c r="B29" s="284">
        <v>6</v>
      </c>
      <c r="C29" s="272"/>
      <c r="D29" s="464" t="s">
        <v>556</v>
      </c>
      <c r="E29" s="465"/>
      <c r="F29" s="466"/>
      <c r="G29" s="289">
        <f>L87</f>
        <v>-5708614.6933762804</v>
      </c>
      <c r="H29" s="290"/>
      <c r="I29" s="272"/>
      <c r="J29" s="272"/>
      <c r="K29" s="272"/>
      <c r="L29" s="272"/>
      <c r="M29" s="272"/>
      <c r="N29" s="272"/>
      <c r="O29" s="272"/>
      <c r="P29" s="272"/>
      <c r="Q29" s="272"/>
      <c r="R29" s="272"/>
      <c r="S29" s="272"/>
      <c r="T29" s="272"/>
      <c r="U29" s="272"/>
      <c r="V29" s="272"/>
      <c r="W29" s="272"/>
      <c r="X29" s="272"/>
      <c r="Y29" s="272"/>
      <c r="Z29" s="272"/>
      <c r="AA29" s="272"/>
      <c r="AB29" s="272"/>
      <c r="AC29" s="272"/>
    </row>
    <row r="30" spans="1:45" s="262" customFormat="1" ht="12.75" x14ac:dyDescent="0.2">
      <c r="A30" s="283" t="s">
        <v>319</v>
      </c>
      <c r="B30" s="284">
        <v>6</v>
      </c>
      <c r="C30" s="272"/>
      <c r="D30" s="464"/>
      <c r="E30" s="465"/>
      <c r="F30" s="466"/>
      <c r="G30" s="291"/>
      <c r="H30" s="292"/>
      <c r="I30" s="272"/>
      <c r="J30" s="272"/>
      <c r="K30" s="272"/>
      <c r="L30" s="272"/>
      <c r="M30" s="272"/>
      <c r="N30" s="272"/>
      <c r="O30" s="272"/>
      <c r="P30" s="272"/>
      <c r="Q30" s="272"/>
      <c r="R30" s="272"/>
      <c r="S30" s="272"/>
      <c r="T30" s="272"/>
      <c r="U30" s="272"/>
      <c r="V30" s="272"/>
      <c r="W30" s="272"/>
      <c r="X30" s="272"/>
      <c r="Y30" s="272"/>
      <c r="Z30" s="272"/>
      <c r="AA30" s="272"/>
      <c r="AB30" s="272"/>
      <c r="AC30" s="272"/>
    </row>
    <row r="31" spans="1:45" s="262" customFormat="1" ht="12.75" x14ac:dyDescent="0.2">
      <c r="A31" s="283" t="s">
        <v>298</v>
      </c>
      <c r="B31" s="284">
        <v>0</v>
      </c>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row>
    <row r="32" spans="1:45" s="262" customFormat="1" ht="12.75" x14ac:dyDescent="0.2">
      <c r="A32" s="283" t="s">
        <v>318</v>
      </c>
      <c r="B32" s="284">
        <v>1</v>
      </c>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row>
    <row r="33" spans="1:31" s="262" customFormat="1" ht="12.75" x14ac:dyDescent="0.2">
      <c r="A33" s="283" t="s">
        <v>317</v>
      </c>
      <c r="B33" s="284">
        <v>1</v>
      </c>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row>
    <row r="34" spans="1:31" s="262" customFormat="1" ht="12.75" x14ac:dyDescent="0.2">
      <c r="A34" s="293" t="s">
        <v>557</v>
      </c>
      <c r="B34" s="284">
        <f>B24*0.0003</f>
        <v>1290</v>
      </c>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row>
    <row r="35" spans="1:31" s="262" customFormat="1" ht="13.5" thickBot="1" x14ac:dyDescent="0.25">
      <c r="A35" s="285" t="s">
        <v>292</v>
      </c>
      <c r="B35" s="294">
        <v>0.2</v>
      </c>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row>
    <row r="36" spans="1:31" s="262" customFormat="1" ht="12.75" x14ac:dyDescent="0.2">
      <c r="A36" s="281" t="s">
        <v>517</v>
      </c>
      <c r="B36" s="295">
        <v>0</v>
      </c>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row>
    <row r="37" spans="1:31" s="262" customFormat="1" ht="12.75" x14ac:dyDescent="0.2">
      <c r="A37" s="283" t="s">
        <v>316</v>
      </c>
      <c r="B37" s="284"/>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row>
    <row r="38" spans="1:31" s="262" customFormat="1" ht="13.5" thickBot="1" x14ac:dyDescent="0.25">
      <c r="A38" s="293" t="s">
        <v>315</v>
      </c>
      <c r="B38" s="296"/>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row>
    <row r="39" spans="1:31" s="262" customFormat="1" ht="12.75" x14ac:dyDescent="0.2">
      <c r="A39" s="297" t="s">
        <v>518</v>
      </c>
      <c r="B39" s="298">
        <v>1</v>
      </c>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row>
    <row r="40" spans="1:31" s="262" customFormat="1" ht="12.75" x14ac:dyDescent="0.2">
      <c r="A40" s="299" t="s">
        <v>314</v>
      </c>
      <c r="B40" s="300"/>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row>
    <row r="41" spans="1:31" s="262" customFormat="1" ht="12.75" x14ac:dyDescent="0.2">
      <c r="A41" s="299" t="s">
        <v>313</v>
      </c>
      <c r="B41" s="301"/>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row>
    <row r="42" spans="1:31" s="262" customFormat="1" ht="12.75" x14ac:dyDescent="0.2">
      <c r="A42" s="299" t="s">
        <v>312</v>
      </c>
      <c r="B42" s="301">
        <v>0</v>
      </c>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row>
    <row r="43" spans="1:31" s="262" customFormat="1" ht="12.75" x14ac:dyDescent="0.2">
      <c r="A43" s="299" t="s">
        <v>311</v>
      </c>
      <c r="B43" s="302">
        <v>9.8699999999999996E-2</v>
      </c>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row>
    <row r="44" spans="1:31" s="262" customFormat="1" ht="12.75" x14ac:dyDescent="0.2">
      <c r="A44" s="299" t="s">
        <v>310</v>
      </c>
      <c r="B44" s="303">
        <v>1</v>
      </c>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row>
    <row r="45" spans="1:31" s="262" customFormat="1" ht="13.5" thickBot="1" x14ac:dyDescent="0.25">
      <c r="A45" s="304" t="s">
        <v>558</v>
      </c>
      <c r="B45" s="303">
        <f>B44*B43+B42*B41*(1-B35)</f>
        <v>9.8699999999999996E-2</v>
      </c>
      <c r="C45" s="305"/>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row>
    <row r="46" spans="1:31" s="262" customFormat="1" ht="12.75" x14ac:dyDescent="0.2">
      <c r="A46" s="306" t="s">
        <v>309</v>
      </c>
      <c r="B46" s="307">
        <v>1</v>
      </c>
      <c r="C46" s="307">
        <v>2</v>
      </c>
      <c r="D46" s="307">
        <v>3</v>
      </c>
      <c r="E46" s="307">
        <v>4</v>
      </c>
      <c r="F46" s="307">
        <v>5</v>
      </c>
      <c r="G46" s="307">
        <v>6</v>
      </c>
      <c r="H46" s="307">
        <v>7</v>
      </c>
      <c r="I46" s="307">
        <v>8</v>
      </c>
      <c r="J46" s="307">
        <v>9</v>
      </c>
      <c r="K46" s="307">
        <v>10</v>
      </c>
      <c r="L46" s="307">
        <v>11</v>
      </c>
      <c r="M46" s="307">
        <v>12</v>
      </c>
      <c r="N46" s="307">
        <v>13</v>
      </c>
      <c r="O46" s="307">
        <v>14</v>
      </c>
      <c r="P46" s="307">
        <v>15</v>
      </c>
      <c r="Q46" s="307">
        <v>16</v>
      </c>
      <c r="R46" s="307">
        <v>17</v>
      </c>
      <c r="S46" s="307">
        <v>18</v>
      </c>
      <c r="T46" s="307">
        <v>19</v>
      </c>
      <c r="U46" s="307">
        <v>20</v>
      </c>
      <c r="V46" s="307">
        <v>21</v>
      </c>
      <c r="W46" s="307">
        <v>22</v>
      </c>
      <c r="X46" s="307">
        <v>23</v>
      </c>
      <c r="Y46" s="307">
        <v>24</v>
      </c>
      <c r="Z46" s="307">
        <v>25</v>
      </c>
      <c r="AA46" s="307">
        <v>26</v>
      </c>
      <c r="AB46" s="307">
        <v>27</v>
      </c>
      <c r="AC46" s="308">
        <v>28</v>
      </c>
      <c r="AD46" s="308">
        <v>29</v>
      </c>
      <c r="AE46" s="308">
        <v>30</v>
      </c>
    </row>
    <row r="47" spans="1:31" s="262" customFormat="1" ht="12.75" x14ac:dyDescent="0.2">
      <c r="A47" s="309" t="s">
        <v>308</v>
      </c>
      <c r="B47" s="310">
        <v>5.0999999999999997E-2</v>
      </c>
      <c r="C47" s="310">
        <v>4.9000000000000002E-2</v>
      </c>
      <c r="D47" s="310">
        <v>4.7E-2</v>
      </c>
      <c r="E47" s="310">
        <v>4.7E-2</v>
      </c>
      <c r="F47" s="311">
        <v>4.7E-2</v>
      </c>
      <c r="G47" s="311">
        <v>4.7E-2</v>
      </c>
      <c r="H47" s="311">
        <v>4.7E-2</v>
      </c>
      <c r="I47" s="311">
        <v>4.7E-2</v>
      </c>
      <c r="J47" s="311">
        <v>4.7E-2</v>
      </c>
      <c r="K47" s="311">
        <v>4.7E-2</v>
      </c>
      <c r="L47" s="311">
        <v>4.7E-2</v>
      </c>
      <c r="M47" s="311">
        <v>4.7E-2</v>
      </c>
      <c r="N47" s="311">
        <v>4.7E-2</v>
      </c>
      <c r="O47" s="311">
        <v>4.7E-2</v>
      </c>
      <c r="P47" s="311">
        <v>4.7E-2</v>
      </c>
      <c r="Q47" s="311">
        <v>4.7E-2</v>
      </c>
      <c r="R47" s="311">
        <v>4.7E-2</v>
      </c>
      <c r="S47" s="311">
        <v>4.7E-2</v>
      </c>
      <c r="T47" s="311">
        <v>4.7E-2</v>
      </c>
      <c r="U47" s="311">
        <v>4.7E-2</v>
      </c>
      <c r="V47" s="311">
        <v>4.7E-2</v>
      </c>
      <c r="W47" s="311">
        <v>4.7E-2</v>
      </c>
      <c r="X47" s="311">
        <v>4.7E-2</v>
      </c>
      <c r="Y47" s="311">
        <v>4.7E-2</v>
      </c>
      <c r="Z47" s="311">
        <v>4.7E-2</v>
      </c>
      <c r="AA47" s="311">
        <v>4.7E-2</v>
      </c>
      <c r="AB47" s="311">
        <v>4.7E-2</v>
      </c>
      <c r="AC47" s="311">
        <v>4.7E-2</v>
      </c>
      <c r="AD47" s="311">
        <v>4.7E-2</v>
      </c>
      <c r="AE47" s="311">
        <v>4.7E-2</v>
      </c>
    </row>
    <row r="48" spans="1:31" s="262" customFormat="1" ht="12.75" x14ac:dyDescent="0.2">
      <c r="A48" s="309" t="s">
        <v>307</v>
      </c>
      <c r="B48" s="311">
        <f>B47</f>
        <v>5.0999999999999997E-2</v>
      </c>
      <c r="C48" s="311">
        <f t="shared" ref="C48:AE48" si="0">(1+B48)*(1+C47)-1</f>
        <v>0.1024989999999999</v>
      </c>
      <c r="D48" s="311">
        <f t="shared" si="0"/>
        <v>0.15431645299999985</v>
      </c>
      <c r="E48" s="311">
        <f t="shared" si="0"/>
        <v>0.20856932629099978</v>
      </c>
      <c r="F48" s="311">
        <f>(1+E48)*(1+F47)-1</f>
        <v>0.26537208462667672</v>
      </c>
      <c r="G48" s="311">
        <f t="shared" si="0"/>
        <v>0.32484457260413047</v>
      </c>
      <c r="H48" s="311">
        <f t="shared" si="0"/>
        <v>0.38711226751652461</v>
      </c>
      <c r="I48" s="311">
        <f t="shared" si="0"/>
        <v>0.45230654408980109</v>
      </c>
      <c r="J48" s="311">
        <f t="shared" si="0"/>
        <v>0.52056495166202166</v>
      </c>
      <c r="K48" s="311">
        <f t="shared" si="0"/>
        <v>0.59203150439013652</v>
      </c>
      <c r="L48" s="311">
        <f t="shared" si="0"/>
        <v>0.66685698509647273</v>
      </c>
      <c r="M48" s="311">
        <f t="shared" si="0"/>
        <v>0.74519926339600673</v>
      </c>
      <c r="N48" s="311">
        <f t="shared" si="0"/>
        <v>0.82722362877561895</v>
      </c>
      <c r="O48" s="311">
        <f t="shared" si="0"/>
        <v>0.91310313932807285</v>
      </c>
      <c r="P48" s="311">
        <f t="shared" si="0"/>
        <v>1.003018986876492</v>
      </c>
      <c r="Q48" s="311">
        <f t="shared" si="0"/>
        <v>1.097160879259687</v>
      </c>
      <c r="R48" s="311">
        <f t="shared" si="0"/>
        <v>1.1957274405848923</v>
      </c>
      <c r="S48" s="311">
        <f t="shared" si="0"/>
        <v>1.2989266302923821</v>
      </c>
      <c r="T48" s="311">
        <f t="shared" si="0"/>
        <v>1.4069761819161237</v>
      </c>
      <c r="U48" s="311">
        <f t="shared" si="0"/>
        <v>1.5201040624661815</v>
      </c>
      <c r="V48" s="311">
        <f t="shared" si="0"/>
        <v>1.6385489534020916</v>
      </c>
      <c r="W48" s="311">
        <f t="shared" si="0"/>
        <v>1.7625607542119899</v>
      </c>
      <c r="X48" s="311">
        <f t="shared" si="0"/>
        <v>1.8924011096599531</v>
      </c>
      <c r="Y48" s="311">
        <f t="shared" si="0"/>
        <v>2.0283439618139707</v>
      </c>
      <c r="Z48" s="311">
        <f t="shared" si="0"/>
        <v>2.170676128019227</v>
      </c>
      <c r="AA48" s="311">
        <f t="shared" si="0"/>
        <v>2.3196979060361307</v>
      </c>
      <c r="AB48" s="311">
        <f t="shared" si="0"/>
        <v>2.4757237076198284</v>
      </c>
      <c r="AC48" s="311">
        <f t="shared" si="0"/>
        <v>2.6390827218779602</v>
      </c>
      <c r="AD48" s="311">
        <f t="shared" si="0"/>
        <v>2.810119609806224</v>
      </c>
      <c r="AE48" s="311">
        <f t="shared" si="0"/>
        <v>2.9891952314671162</v>
      </c>
    </row>
    <row r="49" spans="1:31" s="262" customFormat="1" ht="15.75" thickBot="1" x14ac:dyDescent="0.25">
      <c r="A49" s="312" t="s">
        <v>519</v>
      </c>
      <c r="B49" s="313">
        <f>B24*1.2/2*0</f>
        <v>0</v>
      </c>
      <c r="C49" s="313">
        <v>0</v>
      </c>
      <c r="D49" s="313">
        <v>0</v>
      </c>
      <c r="E49" s="313">
        <v>0</v>
      </c>
      <c r="F49" s="314">
        <f>J106*(1+F48)</f>
        <v>0</v>
      </c>
      <c r="G49" s="314">
        <f t="shared" ref="G49:AE49" si="1">K106*(1+G48)</f>
        <v>0</v>
      </c>
      <c r="H49" s="314">
        <f t="shared" si="1"/>
        <v>0</v>
      </c>
      <c r="I49" s="314">
        <f t="shared" si="1"/>
        <v>0</v>
      </c>
      <c r="J49" s="314">
        <f>N106*(1+J48)</f>
        <v>0</v>
      </c>
      <c r="K49" s="314">
        <f t="shared" si="1"/>
        <v>0</v>
      </c>
      <c r="L49" s="314">
        <f t="shared" si="1"/>
        <v>0</v>
      </c>
      <c r="M49" s="314">
        <f t="shared" si="1"/>
        <v>0</v>
      </c>
      <c r="N49" s="314">
        <f t="shared" si="1"/>
        <v>0</v>
      </c>
      <c r="O49" s="314">
        <f t="shared" si="1"/>
        <v>0</v>
      </c>
      <c r="P49" s="314">
        <f t="shared" si="1"/>
        <v>0</v>
      </c>
      <c r="Q49" s="314">
        <f t="shared" si="1"/>
        <v>0</v>
      </c>
      <c r="R49" s="314">
        <f t="shared" si="1"/>
        <v>0</v>
      </c>
      <c r="S49" s="314">
        <f t="shared" si="1"/>
        <v>0</v>
      </c>
      <c r="T49" s="314">
        <f t="shared" si="1"/>
        <v>0</v>
      </c>
      <c r="U49" s="314">
        <f t="shared" si="1"/>
        <v>0</v>
      </c>
      <c r="V49" s="314">
        <f t="shared" si="1"/>
        <v>0</v>
      </c>
      <c r="W49" s="314">
        <f t="shared" si="1"/>
        <v>0</v>
      </c>
      <c r="X49" s="314">
        <f t="shared" si="1"/>
        <v>0</v>
      </c>
      <c r="Y49" s="314">
        <f t="shared" si="1"/>
        <v>0</v>
      </c>
      <c r="Z49" s="314">
        <f t="shared" si="1"/>
        <v>0</v>
      </c>
      <c r="AA49" s="314">
        <f t="shared" si="1"/>
        <v>0</v>
      </c>
      <c r="AB49" s="314">
        <f t="shared" si="1"/>
        <v>0</v>
      </c>
      <c r="AC49" s="314">
        <f t="shared" si="1"/>
        <v>0</v>
      </c>
      <c r="AD49" s="314">
        <f t="shared" si="1"/>
        <v>0</v>
      </c>
      <c r="AE49" s="314">
        <f t="shared" si="1"/>
        <v>0</v>
      </c>
    </row>
    <row r="50" spans="1:31" s="262" customFormat="1" ht="13.5" thickBot="1" x14ac:dyDescent="0.25">
      <c r="A50" s="315"/>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316"/>
      <c r="AD50" s="316"/>
      <c r="AE50" s="316"/>
    </row>
    <row r="51" spans="1:31" s="262" customFormat="1" ht="12.75" x14ac:dyDescent="0.2">
      <c r="A51" s="317" t="s">
        <v>306</v>
      </c>
      <c r="B51" s="307">
        <v>1</v>
      </c>
      <c r="C51" s="307">
        <v>2</v>
      </c>
      <c r="D51" s="307">
        <v>3</v>
      </c>
      <c r="E51" s="307">
        <v>4</v>
      </c>
      <c r="F51" s="307">
        <v>5</v>
      </c>
      <c r="G51" s="307">
        <v>6</v>
      </c>
      <c r="H51" s="307">
        <v>7</v>
      </c>
      <c r="I51" s="307">
        <v>8</v>
      </c>
      <c r="J51" s="307">
        <v>9</v>
      </c>
      <c r="K51" s="307">
        <v>10</v>
      </c>
      <c r="L51" s="307">
        <v>11</v>
      </c>
      <c r="M51" s="307">
        <v>12</v>
      </c>
      <c r="N51" s="307">
        <v>13</v>
      </c>
      <c r="O51" s="307">
        <v>14</v>
      </c>
      <c r="P51" s="307">
        <v>15</v>
      </c>
      <c r="Q51" s="307">
        <v>16</v>
      </c>
      <c r="R51" s="307">
        <v>17</v>
      </c>
      <c r="S51" s="307">
        <v>18</v>
      </c>
      <c r="T51" s="307">
        <v>19</v>
      </c>
      <c r="U51" s="307">
        <v>20</v>
      </c>
      <c r="V51" s="307">
        <v>21</v>
      </c>
      <c r="W51" s="307">
        <v>22</v>
      </c>
      <c r="X51" s="307">
        <v>23</v>
      </c>
      <c r="Y51" s="307">
        <v>24</v>
      </c>
      <c r="Z51" s="307">
        <v>25</v>
      </c>
      <c r="AA51" s="307">
        <v>26</v>
      </c>
      <c r="AB51" s="307">
        <v>27</v>
      </c>
      <c r="AC51" s="307">
        <v>28</v>
      </c>
      <c r="AD51" s="307">
        <v>29</v>
      </c>
      <c r="AE51" s="307">
        <v>30</v>
      </c>
    </row>
    <row r="52" spans="1:31" s="262" customFormat="1" ht="12.75" x14ac:dyDescent="0.2">
      <c r="A52" s="309" t="s">
        <v>305</v>
      </c>
      <c r="B52" s="318">
        <v>0</v>
      </c>
      <c r="C52" s="318">
        <v>0</v>
      </c>
      <c r="D52" s="318">
        <v>0</v>
      </c>
      <c r="E52" s="318">
        <v>0</v>
      </c>
      <c r="F52" s="318">
        <v>0</v>
      </c>
      <c r="G52" s="318">
        <v>0</v>
      </c>
      <c r="H52" s="318">
        <v>0</v>
      </c>
      <c r="I52" s="318">
        <v>0</v>
      </c>
      <c r="J52" s="318">
        <v>0</v>
      </c>
      <c r="K52" s="318">
        <v>0</v>
      </c>
      <c r="L52" s="318">
        <v>0</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318">
        <v>0</v>
      </c>
      <c r="AC52" s="319">
        <v>0</v>
      </c>
      <c r="AD52" s="319">
        <v>0</v>
      </c>
      <c r="AE52" s="319">
        <v>0</v>
      </c>
    </row>
    <row r="53" spans="1:31" s="262" customFormat="1" ht="12.75" x14ac:dyDescent="0.2">
      <c r="A53" s="309" t="s">
        <v>304</v>
      </c>
      <c r="B53" s="318">
        <v>0</v>
      </c>
      <c r="C53" s="318">
        <v>0</v>
      </c>
      <c r="D53" s="318">
        <v>0</v>
      </c>
      <c r="E53" s="318">
        <v>0</v>
      </c>
      <c r="F53" s="318">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9">
        <v>0</v>
      </c>
      <c r="AD53" s="319">
        <v>0</v>
      </c>
      <c r="AE53" s="319">
        <v>0</v>
      </c>
    </row>
    <row r="54" spans="1:31" s="262" customFormat="1" ht="12.75" x14ac:dyDescent="0.2">
      <c r="A54" s="309" t="s">
        <v>303</v>
      </c>
      <c r="B54" s="318">
        <v>0</v>
      </c>
      <c r="C54" s="318">
        <v>0</v>
      </c>
      <c r="D54" s="318">
        <v>0</v>
      </c>
      <c r="E54" s="318">
        <v>0</v>
      </c>
      <c r="F54" s="318">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318">
        <v>0</v>
      </c>
      <c r="AC54" s="319">
        <v>0</v>
      </c>
      <c r="AD54" s="319">
        <v>0</v>
      </c>
      <c r="AE54" s="319">
        <v>0</v>
      </c>
    </row>
    <row r="55" spans="1:31" s="262" customFormat="1" ht="13.5" thickBot="1" x14ac:dyDescent="0.25">
      <c r="A55" s="312" t="s">
        <v>302</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1">
        <v>0</v>
      </c>
      <c r="AD55" s="321">
        <v>0</v>
      </c>
      <c r="AE55" s="321">
        <v>0</v>
      </c>
    </row>
    <row r="56" spans="1:31" s="262" customFormat="1" ht="13.5" thickBot="1" x14ac:dyDescent="0.25">
      <c r="A56" s="315"/>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3"/>
      <c r="AD56" s="323"/>
      <c r="AE56" s="323"/>
    </row>
    <row r="57" spans="1:31" s="262" customFormat="1" ht="13.5" thickBot="1" x14ac:dyDescent="0.25">
      <c r="A57" s="317" t="s">
        <v>520</v>
      </c>
      <c r="B57" s="307">
        <v>1</v>
      </c>
      <c r="C57" s="307">
        <v>2</v>
      </c>
      <c r="D57" s="307">
        <v>3</v>
      </c>
      <c r="E57" s="307">
        <v>4</v>
      </c>
      <c r="F57" s="307">
        <v>5</v>
      </c>
      <c r="G57" s="307">
        <v>6</v>
      </c>
      <c r="H57" s="307">
        <v>7</v>
      </c>
      <c r="I57" s="307">
        <v>8</v>
      </c>
      <c r="J57" s="307">
        <v>9</v>
      </c>
      <c r="K57" s="307">
        <v>10</v>
      </c>
      <c r="L57" s="307">
        <v>11</v>
      </c>
      <c r="M57" s="307">
        <v>12</v>
      </c>
      <c r="N57" s="307">
        <v>13</v>
      </c>
      <c r="O57" s="307">
        <v>14</v>
      </c>
      <c r="P57" s="307">
        <v>15</v>
      </c>
      <c r="Q57" s="307">
        <v>16</v>
      </c>
      <c r="R57" s="307">
        <v>17</v>
      </c>
      <c r="S57" s="307">
        <v>18</v>
      </c>
      <c r="T57" s="307">
        <v>19</v>
      </c>
      <c r="U57" s="307">
        <v>20</v>
      </c>
      <c r="V57" s="307">
        <v>21</v>
      </c>
      <c r="W57" s="307">
        <v>22</v>
      </c>
      <c r="X57" s="307">
        <v>23</v>
      </c>
      <c r="Y57" s="307">
        <v>24</v>
      </c>
      <c r="Z57" s="307">
        <v>25</v>
      </c>
      <c r="AA57" s="307">
        <v>26</v>
      </c>
      <c r="AB57" s="307">
        <v>27</v>
      </c>
      <c r="AC57" s="307">
        <v>28</v>
      </c>
      <c r="AD57" s="307">
        <v>29</v>
      </c>
      <c r="AE57" s="307">
        <v>30</v>
      </c>
    </row>
    <row r="58" spans="1:31" s="262" customFormat="1" ht="12.75" x14ac:dyDescent="0.2">
      <c r="A58" s="317" t="s">
        <v>301</v>
      </c>
      <c r="B58" s="307">
        <f t="shared" ref="B58:AE58" si="2">B49*$B$27</f>
        <v>0</v>
      </c>
      <c r="C58" s="307">
        <f t="shared" si="2"/>
        <v>0</v>
      </c>
      <c r="D58" s="307">
        <f t="shared" si="2"/>
        <v>0</v>
      </c>
      <c r="E58" s="307">
        <f t="shared" si="2"/>
        <v>0</v>
      </c>
      <c r="F58" s="307">
        <f t="shared" si="2"/>
        <v>0</v>
      </c>
      <c r="G58" s="307">
        <f t="shared" si="2"/>
        <v>0</v>
      </c>
      <c r="H58" s="307">
        <f t="shared" si="2"/>
        <v>0</v>
      </c>
      <c r="I58" s="307">
        <f t="shared" si="2"/>
        <v>0</v>
      </c>
      <c r="J58" s="307">
        <f t="shared" si="2"/>
        <v>0</v>
      </c>
      <c r="K58" s="307">
        <f t="shared" si="2"/>
        <v>0</v>
      </c>
      <c r="L58" s="307">
        <f t="shared" si="2"/>
        <v>0</v>
      </c>
      <c r="M58" s="307">
        <f t="shared" si="2"/>
        <v>0</v>
      </c>
      <c r="N58" s="307">
        <f t="shared" si="2"/>
        <v>0</v>
      </c>
      <c r="O58" s="307">
        <f t="shared" si="2"/>
        <v>0</v>
      </c>
      <c r="P58" s="307">
        <f t="shared" si="2"/>
        <v>0</v>
      </c>
      <c r="Q58" s="307">
        <f t="shared" si="2"/>
        <v>0</v>
      </c>
      <c r="R58" s="307">
        <f t="shared" si="2"/>
        <v>0</v>
      </c>
      <c r="S58" s="307">
        <f t="shared" si="2"/>
        <v>0</v>
      </c>
      <c r="T58" s="307">
        <f t="shared" si="2"/>
        <v>0</v>
      </c>
      <c r="U58" s="307">
        <f t="shared" si="2"/>
        <v>0</v>
      </c>
      <c r="V58" s="307">
        <f t="shared" si="2"/>
        <v>0</v>
      </c>
      <c r="W58" s="307">
        <f t="shared" si="2"/>
        <v>0</v>
      </c>
      <c r="X58" s="307">
        <f t="shared" si="2"/>
        <v>0</v>
      </c>
      <c r="Y58" s="307">
        <f t="shared" si="2"/>
        <v>0</v>
      </c>
      <c r="Z58" s="307">
        <f t="shared" si="2"/>
        <v>0</v>
      </c>
      <c r="AA58" s="307">
        <f t="shared" si="2"/>
        <v>0</v>
      </c>
      <c r="AB58" s="307">
        <f t="shared" si="2"/>
        <v>0</v>
      </c>
      <c r="AC58" s="307">
        <f t="shared" si="2"/>
        <v>0</v>
      </c>
      <c r="AD58" s="307">
        <f t="shared" si="2"/>
        <v>0</v>
      </c>
      <c r="AE58" s="307">
        <f t="shared" si="2"/>
        <v>0</v>
      </c>
    </row>
    <row r="59" spans="1:31" s="262" customFormat="1" ht="12.75" x14ac:dyDescent="0.2">
      <c r="A59" s="309" t="s">
        <v>300</v>
      </c>
      <c r="B59" s="324">
        <f t="shared" ref="B59:U59" si="3">SUM(B60:B65)</f>
        <v>0</v>
      </c>
      <c r="C59" s="324">
        <f t="shared" si="3"/>
        <v>-90816</v>
      </c>
      <c r="D59" s="324">
        <f t="shared" si="3"/>
        <v>-90816</v>
      </c>
      <c r="E59" s="324">
        <f t="shared" si="3"/>
        <v>-90816</v>
      </c>
      <c r="F59" s="324">
        <f>SUM(F60:F65)</f>
        <v>-90816</v>
      </c>
      <c r="G59" s="324">
        <f t="shared" si="3"/>
        <v>-87032</v>
      </c>
      <c r="H59" s="324">
        <f t="shared" si="3"/>
        <v>-83248</v>
      </c>
      <c r="I59" s="324">
        <f t="shared" si="3"/>
        <v>-79464</v>
      </c>
      <c r="J59" s="324">
        <f t="shared" si="3"/>
        <v>-75680</v>
      </c>
      <c r="K59" s="324">
        <f t="shared" si="3"/>
        <v>-71896</v>
      </c>
      <c r="L59" s="324">
        <f t="shared" si="3"/>
        <v>-68628</v>
      </c>
      <c r="M59" s="324">
        <f t="shared" si="3"/>
        <v>-64327.999999999993</v>
      </c>
      <c r="N59" s="324">
        <f t="shared" si="3"/>
        <v>-62092</v>
      </c>
      <c r="O59" s="324">
        <f t="shared" si="3"/>
        <v>-56760</v>
      </c>
      <c r="P59" s="324">
        <f t="shared" si="3"/>
        <v>-136224</v>
      </c>
      <c r="Q59" s="324">
        <f t="shared" si="3"/>
        <v>-49192</v>
      </c>
      <c r="R59" s="324">
        <f t="shared" si="3"/>
        <v>-379563.87945394398</v>
      </c>
      <c r="S59" s="324">
        <f t="shared" si="3"/>
        <v>-41624</v>
      </c>
      <c r="T59" s="324">
        <f t="shared" si="3"/>
        <v>-37840</v>
      </c>
      <c r="U59" s="324">
        <f t="shared" si="3"/>
        <v>-34056</v>
      </c>
      <c r="V59" s="324">
        <f t="shared" ref="V59:AE59" si="4">SUM(V60:V65)</f>
        <v>-31820</v>
      </c>
      <c r="W59" s="324">
        <f t="shared" si="4"/>
        <v>-26488</v>
      </c>
      <c r="X59" s="324">
        <f t="shared" si="4"/>
        <v>-356859.87945394398</v>
      </c>
      <c r="Y59" s="324">
        <f t="shared" si="4"/>
        <v>-18920</v>
      </c>
      <c r="Z59" s="324">
        <f t="shared" si="4"/>
        <v>-15136</v>
      </c>
      <c r="AA59" s="324">
        <f t="shared" si="4"/>
        <v>-11352</v>
      </c>
      <c r="AB59" s="324">
        <f t="shared" si="4"/>
        <v>-7568</v>
      </c>
      <c r="AC59" s="324">
        <f t="shared" si="4"/>
        <v>0</v>
      </c>
      <c r="AD59" s="324">
        <f t="shared" si="4"/>
        <v>-1548</v>
      </c>
      <c r="AE59" s="324">
        <f t="shared" si="4"/>
        <v>0</v>
      </c>
    </row>
    <row r="60" spans="1:31" s="262" customFormat="1" ht="12.75" x14ac:dyDescent="0.2">
      <c r="A60" s="325" t="s">
        <v>299</v>
      </c>
      <c r="B60" s="318"/>
      <c r="C60" s="318"/>
      <c r="D60" s="318"/>
      <c r="E60" s="318"/>
      <c r="F60" s="318"/>
      <c r="G60" s="318"/>
      <c r="H60" s="318"/>
      <c r="I60" s="318"/>
      <c r="J60" s="318"/>
      <c r="K60" s="318"/>
      <c r="L60" s="318">
        <f>-B28*1.2</f>
        <v>-516</v>
      </c>
      <c r="M60" s="318"/>
      <c r="N60" s="318"/>
      <c r="O60" s="318"/>
      <c r="P60" s="318"/>
      <c r="Q60" s="318"/>
      <c r="R60" s="318">
        <v>-334155.87945394398</v>
      </c>
      <c r="S60" s="318"/>
      <c r="T60" s="318"/>
      <c r="U60" s="318"/>
      <c r="V60" s="318"/>
      <c r="W60" s="318"/>
      <c r="X60" s="318">
        <v>-334155.87945394398</v>
      </c>
      <c r="Y60" s="318"/>
      <c r="Z60" s="318"/>
      <c r="AA60" s="318"/>
      <c r="AB60" s="318"/>
      <c r="AC60" s="318"/>
      <c r="AD60" s="318"/>
      <c r="AE60" s="318"/>
    </row>
    <row r="61" spans="1:31" s="262" customFormat="1" ht="12.75" x14ac:dyDescent="0.2">
      <c r="A61" s="325" t="s">
        <v>298</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row>
    <row r="62" spans="1:31" s="262" customFormat="1" ht="12.75" x14ac:dyDescent="0.2">
      <c r="A62" s="325" t="s">
        <v>557</v>
      </c>
      <c r="B62" s="318"/>
      <c r="C62" s="318"/>
      <c r="D62" s="318"/>
      <c r="E62" s="318"/>
      <c r="F62" s="326"/>
      <c r="G62" s="318"/>
      <c r="H62" s="318"/>
      <c r="I62" s="318"/>
      <c r="J62" s="318"/>
      <c r="K62" s="318"/>
      <c r="L62" s="318"/>
      <c r="M62" s="318"/>
      <c r="N62" s="318">
        <f>-B34*1.2</f>
        <v>-1548</v>
      </c>
      <c r="O62" s="318"/>
      <c r="P62" s="318"/>
      <c r="Q62" s="318"/>
      <c r="R62" s="318"/>
      <c r="S62" s="318"/>
      <c r="T62" s="318"/>
      <c r="U62" s="318"/>
      <c r="V62" s="318">
        <f>N62</f>
        <v>-1548</v>
      </c>
      <c r="W62" s="318"/>
      <c r="X62" s="318"/>
      <c r="Y62" s="318"/>
      <c r="Z62" s="318"/>
      <c r="AA62" s="318"/>
      <c r="AB62" s="318"/>
      <c r="AC62" s="318"/>
      <c r="AD62" s="318">
        <f>V62</f>
        <v>-1548</v>
      </c>
      <c r="AE62" s="318"/>
    </row>
    <row r="63" spans="1:31" s="262" customFormat="1" ht="12.75" x14ac:dyDescent="0.2">
      <c r="A63" s="325" t="s">
        <v>517</v>
      </c>
      <c r="B63" s="327">
        <v>0</v>
      </c>
      <c r="C63" s="327">
        <v>0</v>
      </c>
      <c r="D63" s="327">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7">
        <v>0</v>
      </c>
      <c r="AC63" s="327">
        <v>0</v>
      </c>
      <c r="AD63" s="327">
        <v>0</v>
      </c>
      <c r="AE63" s="327">
        <v>0</v>
      </c>
    </row>
    <row r="64" spans="1:31" s="262" customFormat="1" ht="12.75" x14ac:dyDescent="0.2">
      <c r="A64" s="325" t="s">
        <v>517</v>
      </c>
      <c r="B64" s="327">
        <v>0</v>
      </c>
      <c r="C64" s="327">
        <v>0</v>
      </c>
      <c r="D64" s="327">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7">
        <v>0</v>
      </c>
      <c r="AC64" s="327">
        <v>0</v>
      </c>
      <c r="AD64" s="327">
        <v>0</v>
      </c>
      <c r="AE64" s="327">
        <v>0</v>
      </c>
    </row>
    <row r="65" spans="1:32" s="262" customFormat="1" ht="12.75" x14ac:dyDescent="0.2">
      <c r="A65" s="325" t="s">
        <v>559</v>
      </c>
      <c r="B65" s="327">
        <v>0</v>
      </c>
      <c r="C65" s="327">
        <f>-($B$24+C67)*0.022</f>
        <v>-90816</v>
      </c>
      <c r="D65" s="327">
        <f t="shared" ref="D65:E65" si="5">-($B$24+D67)*0.022</f>
        <v>-90816</v>
      </c>
      <c r="E65" s="327">
        <f t="shared" si="5"/>
        <v>-90816</v>
      </c>
      <c r="F65" s="327">
        <f>-($B$24+F67)*0.022</f>
        <v>-90816</v>
      </c>
      <c r="G65" s="327">
        <f>-($B$24+G67+F67)*0.022</f>
        <v>-87032</v>
      </c>
      <c r="H65" s="328">
        <f>-($B$24+H67+F67+G67)*0.022</f>
        <v>-83248</v>
      </c>
      <c r="I65" s="328">
        <f>-($B$24+I67+G67+H67+F67)*0.022</f>
        <v>-79464</v>
      </c>
      <c r="J65" s="328">
        <f>-($B$24+J67+H67+I67+G67+F67)*0.022</f>
        <v>-75680</v>
      </c>
      <c r="K65" s="328">
        <f>-($B$24+K67+I67+J67+H67+F67+G67)*0.022</f>
        <v>-71896</v>
      </c>
      <c r="L65" s="328">
        <f>-($B$24+F67+L67+J67+K67+I67+G67+H67)*0.022</f>
        <v>-68112</v>
      </c>
      <c r="M65" s="328">
        <f>-($B$24+G67+M67+K67+L67+J67+H67+I67+F67)*0.022</f>
        <v>-64327.999999999993</v>
      </c>
      <c r="N65" s="328">
        <f>-($B$24+H67+N67+L67+M67+K67+I67+J67+F67+G67)*0.022</f>
        <v>-60544</v>
      </c>
      <c r="O65" s="328">
        <f>-($B$24+I67+O67+M67+N67+L67+J67+K67+H67+G67+F67)*0.022</f>
        <v>-56760</v>
      </c>
      <c r="P65" s="328">
        <f>(-$B$24+J67+P67+N67+O67+M67+K67+L67+I67+H67+G67+F67)*0.022</f>
        <v>-136224</v>
      </c>
      <c r="Q65" s="328">
        <f>-($B$24+K67+Q67+O67+P67+N67+L67+M67+J67+I67+H67+F67+G67)*0.022</f>
        <v>-49192</v>
      </c>
      <c r="R65" s="328">
        <f>-($B$24+L67+R67+P67+Q67+O67+M67+N67+K67+J67+I67+G67+F67+H67)*0.022</f>
        <v>-45408</v>
      </c>
      <c r="S65" s="328">
        <f>-($B$24+M67+S67+Q67+R67+P67+N67+O67+L67+K67+J67+H67+I67+F67+G67)*0.022</f>
        <v>-41624</v>
      </c>
      <c r="T65" s="328">
        <f>-($B$24+N67+T67+R67+S67+Q67+O67+P67+M67+L67+K67+I67+J67+G67+F67+H67)*0.022</f>
        <v>-37840</v>
      </c>
      <c r="U65" s="328">
        <f>-($B$24+O67+U67+S67+T67+R67+P67+Q67+N67+M67+L67+J67+K67+H67+G67+F67+I67)*0.022</f>
        <v>-34056</v>
      </c>
      <c r="V65" s="328">
        <f>-($B$24+P67+V67+T67+U67+S67+Q67+R67+O67+N67+M67+K67+L67+I67+H67+G67+F67+J67)*0.022</f>
        <v>-30272</v>
      </c>
      <c r="W65" s="328">
        <f>-($B$24+Q67+W67+U67+V67+T67+R67+S67+P67+O67+N67+L67+M67+J67+I67+H67+G67+F67+K67)*0.022</f>
        <v>-26488</v>
      </c>
      <c r="X65" s="328">
        <f>-($B$24+R67+X67+V67+W67+U67+S67+T67+Q67+P67+O67+M67+N67+K67+J67+I67+H67+F67+G67++L67)*0.022</f>
        <v>-22704</v>
      </c>
      <c r="Y65" s="328">
        <f>-($B$24+S67+Y67+W67+X67+V67+T67+U67+R67+Q67+P67+N67+O67+L67+K67+J67+I67+G67+H67+F67+M67)*0.022</f>
        <v>-18920</v>
      </c>
      <c r="Z65" s="328">
        <f>-($B$24+T67+Z67+X67+Y67+W67+U67+V67+S67+R67+Q67+O67+P67+M67+L67+K67+J67+H67+I67+G67+F67+N67)*0.022</f>
        <v>-15136</v>
      </c>
      <c r="AA65" s="328">
        <f>-($B$24+U67+AA67+Y67+Z67+X67+V67+W67+T67+S67+R67+P67+Q67+N67+M67+L67+K67+I67+J67+H67+G67+F67+O67)*0.022</f>
        <v>-11352</v>
      </c>
      <c r="AB65" s="328">
        <f>-($B$24+V67+AB67+Z67+AA67+Y67+W67+X67+U67+T67+S67+Q67+R67+O67+N67+M67+L67+J67+K67+I67+H67+G67+F67+P67)*0.022</f>
        <v>-7568</v>
      </c>
      <c r="AC65" s="328">
        <v>0</v>
      </c>
      <c r="AD65" s="328">
        <v>0</v>
      </c>
      <c r="AE65" s="328">
        <v>0</v>
      </c>
      <c r="AF65" s="328"/>
    </row>
    <row r="66" spans="1:32" s="262" customFormat="1" ht="12.75" x14ac:dyDescent="0.2">
      <c r="A66" s="329" t="s">
        <v>560</v>
      </c>
      <c r="B66" s="258">
        <f t="shared" ref="B66:AE66" si="6">B58+B59</f>
        <v>0</v>
      </c>
      <c r="C66" s="258">
        <f t="shared" si="6"/>
        <v>-90816</v>
      </c>
      <c r="D66" s="258">
        <f t="shared" ref="D66:E66" si="7">D58+D59</f>
        <v>-90816</v>
      </c>
      <c r="E66" s="258">
        <f t="shared" si="7"/>
        <v>-90816</v>
      </c>
      <c r="F66" s="258">
        <f t="shared" si="6"/>
        <v>-90816</v>
      </c>
      <c r="G66" s="258">
        <f t="shared" si="6"/>
        <v>-87032</v>
      </c>
      <c r="H66" s="258">
        <f t="shared" si="6"/>
        <v>-83248</v>
      </c>
      <c r="I66" s="258">
        <f t="shared" si="6"/>
        <v>-79464</v>
      </c>
      <c r="J66" s="258">
        <f t="shared" si="6"/>
        <v>-75680</v>
      </c>
      <c r="K66" s="258">
        <f t="shared" si="6"/>
        <v>-71896</v>
      </c>
      <c r="L66" s="258">
        <f t="shared" si="6"/>
        <v>-68628</v>
      </c>
      <c r="M66" s="258">
        <f t="shared" si="6"/>
        <v>-64327.999999999993</v>
      </c>
      <c r="N66" s="258">
        <f t="shared" si="6"/>
        <v>-62092</v>
      </c>
      <c r="O66" s="258">
        <f t="shared" si="6"/>
        <v>-56760</v>
      </c>
      <c r="P66" s="258">
        <f t="shared" si="6"/>
        <v>-136224</v>
      </c>
      <c r="Q66" s="258">
        <f t="shared" si="6"/>
        <v>-49192</v>
      </c>
      <c r="R66" s="258">
        <f t="shared" si="6"/>
        <v>-379563.87945394398</v>
      </c>
      <c r="S66" s="258">
        <f t="shared" si="6"/>
        <v>-41624</v>
      </c>
      <c r="T66" s="258">
        <f t="shared" si="6"/>
        <v>-37840</v>
      </c>
      <c r="U66" s="258">
        <f t="shared" si="6"/>
        <v>-34056</v>
      </c>
      <c r="V66" s="258">
        <f t="shared" si="6"/>
        <v>-31820</v>
      </c>
      <c r="W66" s="258">
        <f t="shared" si="6"/>
        <v>-26488</v>
      </c>
      <c r="X66" s="258">
        <f t="shared" si="6"/>
        <v>-356859.87945394398</v>
      </c>
      <c r="Y66" s="258">
        <f t="shared" si="6"/>
        <v>-18920</v>
      </c>
      <c r="Z66" s="258">
        <f t="shared" si="6"/>
        <v>-15136</v>
      </c>
      <c r="AA66" s="258">
        <f t="shared" si="6"/>
        <v>-11352</v>
      </c>
      <c r="AB66" s="258">
        <f t="shared" si="6"/>
        <v>-7568</v>
      </c>
      <c r="AC66" s="258">
        <f t="shared" si="6"/>
        <v>0</v>
      </c>
      <c r="AD66" s="258">
        <f t="shared" si="6"/>
        <v>-1548</v>
      </c>
      <c r="AE66" s="258">
        <f t="shared" si="6"/>
        <v>0</v>
      </c>
    </row>
    <row r="67" spans="1:32" s="262" customFormat="1" ht="12.75" x14ac:dyDescent="0.2">
      <c r="A67" s="325" t="s">
        <v>294</v>
      </c>
      <c r="B67" s="330">
        <v>0</v>
      </c>
      <c r="C67" s="330">
        <f>($B$81+$C$81+$D$81+$E$81+$F$81)*$B$27/$B$26</f>
        <v>-172000</v>
      </c>
      <c r="D67" s="330">
        <f t="shared" ref="D67:E67" si="8">($B$81+$C$81+$D$81+$E$81+$F$81)*$B$27/$B$26</f>
        <v>-172000</v>
      </c>
      <c r="E67" s="330">
        <f t="shared" si="8"/>
        <v>-172000</v>
      </c>
      <c r="F67" s="330">
        <f>($B$81+$C$81+$D$81+$E$81+$F$81)*$B$27/$B$26</f>
        <v>-172000</v>
      </c>
      <c r="G67" s="330">
        <f>($B$81+$C$81+$D$81+$E$81+$F$81)*$B$27/$B$26</f>
        <v>-172000</v>
      </c>
      <c r="H67" s="328">
        <f t="shared" ref="H67:AE67" si="9">G67</f>
        <v>-172000</v>
      </c>
      <c r="I67" s="328">
        <f t="shared" si="9"/>
        <v>-172000</v>
      </c>
      <c r="J67" s="328">
        <f t="shared" si="9"/>
        <v>-172000</v>
      </c>
      <c r="K67" s="328">
        <f t="shared" si="9"/>
        <v>-172000</v>
      </c>
      <c r="L67" s="328">
        <f t="shared" si="9"/>
        <v>-172000</v>
      </c>
      <c r="M67" s="328">
        <f t="shared" si="9"/>
        <v>-172000</v>
      </c>
      <c r="N67" s="328">
        <f t="shared" si="9"/>
        <v>-172000</v>
      </c>
      <c r="O67" s="328">
        <f t="shared" si="9"/>
        <v>-172000</v>
      </c>
      <c r="P67" s="328">
        <f t="shared" si="9"/>
        <v>-172000</v>
      </c>
      <c r="Q67" s="328">
        <f t="shared" si="9"/>
        <v>-172000</v>
      </c>
      <c r="R67" s="328">
        <f t="shared" si="9"/>
        <v>-172000</v>
      </c>
      <c r="S67" s="328">
        <f t="shared" si="9"/>
        <v>-172000</v>
      </c>
      <c r="T67" s="328">
        <f t="shared" si="9"/>
        <v>-172000</v>
      </c>
      <c r="U67" s="328">
        <f t="shared" si="9"/>
        <v>-172000</v>
      </c>
      <c r="V67" s="328">
        <f t="shared" si="9"/>
        <v>-172000</v>
      </c>
      <c r="W67" s="328">
        <f t="shared" si="9"/>
        <v>-172000</v>
      </c>
      <c r="X67" s="328">
        <f t="shared" si="9"/>
        <v>-172000</v>
      </c>
      <c r="Y67" s="328">
        <f t="shared" si="9"/>
        <v>-172000</v>
      </c>
      <c r="Z67" s="328">
        <f t="shared" si="9"/>
        <v>-172000</v>
      </c>
      <c r="AA67" s="328">
        <f t="shared" si="9"/>
        <v>-172000</v>
      </c>
      <c r="AB67" s="328">
        <f t="shared" si="9"/>
        <v>-172000</v>
      </c>
      <c r="AC67" s="328">
        <v>0</v>
      </c>
      <c r="AD67" s="328">
        <f t="shared" si="9"/>
        <v>0</v>
      </c>
      <c r="AE67" s="328">
        <f t="shared" si="9"/>
        <v>0</v>
      </c>
    </row>
    <row r="68" spans="1:32" s="262" customFormat="1" ht="12.75" x14ac:dyDescent="0.2">
      <c r="A68" s="329" t="s">
        <v>561</v>
      </c>
      <c r="B68" s="258">
        <f t="shared" ref="B68:AE68" si="10">B66+B67</f>
        <v>0</v>
      </c>
      <c r="C68" s="258">
        <f t="shared" si="10"/>
        <v>-262816</v>
      </c>
      <c r="D68" s="258">
        <f t="shared" si="10"/>
        <v>-262816</v>
      </c>
      <c r="E68" s="258">
        <f t="shared" si="10"/>
        <v>-262816</v>
      </c>
      <c r="F68" s="258">
        <f t="shared" si="10"/>
        <v>-262816</v>
      </c>
      <c r="G68" s="258">
        <f t="shared" si="10"/>
        <v>-259032</v>
      </c>
      <c r="H68" s="258">
        <f t="shared" si="10"/>
        <v>-255248</v>
      </c>
      <c r="I68" s="258">
        <f t="shared" si="10"/>
        <v>-251464</v>
      </c>
      <c r="J68" s="258">
        <f t="shared" si="10"/>
        <v>-247680</v>
      </c>
      <c r="K68" s="258">
        <f t="shared" si="10"/>
        <v>-243896</v>
      </c>
      <c r="L68" s="258">
        <f t="shared" si="10"/>
        <v>-240628</v>
      </c>
      <c r="M68" s="258">
        <f t="shared" si="10"/>
        <v>-236328</v>
      </c>
      <c r="N68" s="258">
        <f t="shared" si="10"/>
        <v>-234092</v>
      </c>
      <c r="O68" s="258">
        <f t="shared" si="10"/>
        <v>-228760</v>
      </c>
      <c r="P68" s="258">
        <f t="shared" si="10"/>
        <v>-308224</v>
      </c>
      <c r="Q68" s="258">
        <f t="shared" si="10"/>
        <v>-221192</v>
      </c>
      <c r="R68" s="258">
        <f t="shared" si="10"/>
        <v>-551563.87945394404</v>
      </c>
      <c r="S68" s="258">
        <f t="shared" si="10"/>
        <v>-213624</v>
      </c>
      <c r="T68" s="258">
        <f t="shared" si="10"/>
        <v>-209840</v>
      </c>
      <c r="U68" s="258">
        <f t="shared" si="10"/>
        <v>-206056</v>
      </c>
      <c r="V68" s="258">
        <f t="shared" si="10"/>
        <v>-203820</v>
      </c>
      <c r="W68" s="258">
        <f t="shared" si="10"/>
        <v>-198488</v>
      </c>
      <c r="X68" s="258">
        <f t="shared" si="10"/>
        <v>-528859.87945394404</v>
      </c>
      <c r="Y68" s="258">
        <f t="shared" si="10"/>
        <v>-190920</v>
      </c>
      <c r="Z68" s="258">
        <f t="shared" si="10"/>
        <v>-187136</v>
      </c>
      <c r="AA68" s="258">
        <f t="shared" si="10"/>
        <v>-183352</v>
      </c>
      <c r="AB68" s="258">
        <f t="shared" si="10"/>
        <v>-179568</v>
      </c>
      <c r="AC68" s="258">
        <f t="shared" si="10"/>
        <v>0</v>
      </c>
      <c r="AD68" s="258">
        <f t="shared" si="10"/>
        <v>-1548</v>
      </c>
      <c r="AE68" s="258">
        <f t="shared" si="10"/>
        <v>0</v>
      </c>
    </row>
    <row r="69" spans="1:32" s="262" customFormat="1" ht="12.75" x14ac:dyDescent="0.2">
      <c r="A69" s="325" t="s">
        <v>293</v>
      </c>
      <c r="B69" s="327">
        <v>0</v>
      </c>
      <c r="C69" s="327">
        <v>0</v>
      </c>
      <c r="D69" s="327">
        <v>0</v>
      </c>
      <c r="E69" s="327">
        <v>0</v>
      </c>
      <c r="F69" s="327">
        <v>0</v>
      </c>
      <c r="G69" s="327">
        <v>0</v>
      </c>
      <c r="H69" s="327">
        <v>0</v>
      </c>
      <c r="I69" s="327">
        <v>0</v>
      </c>
      <c r="J69" s="327">
        <v>0</v>
      </c>
      <c r="K69" s="327">
        <v>0</v>
      </c>
      <c r="L69" s="327">
        <v>0</v>
      </c>
      <c r="M69" s="327">
        <v>0</v>
      </c>
      <c r="N69" s="327">
        <v>0</v>
      </c>
      <c r="O69" s="327">
        <v>0</v>
      </c>
      <c r="P69" s="327">
        <v>0</v>
      </c>
      <c r="Q69" s="327">
        <v>0</v>
      </c>
      <c r="R69" s="327">
        <v>0</v>
      </c>
      <c r="S69" s="327">
        <v>0</v>
      </c>
      <c r="T69" s="327">
        <v>0</v>
      </c>
      <c r="U69" s="327">
        <v>0</v>
      </c>
      <c r="V69" s="327">
        <v>0</v>
      </c>
      <c r="W69" s="327">
        <v>0</v>
      </c>
      <c r="X69" s="327">
        <v>0</v>
      </c>
      <c r="Y69" s="327">
        <v>0</v>
      </c>
      <c r="Z69" s="327">
        <v>0</v>
      </c>
      <c r="AA69" s="327">
        <v>0</v>
      </c>
      <c r="AB69" s="327">
        <v>0</v>
      </c>
      <c r="AC69" s="327">
        <v>0</v>
      </c>
      <c r="AD69" s="327">
        <v>0</v>
      </c>
      <c r="AE69" s="327">
        <v>0</v>
      </c>
    </row>
    <row r="70" spans="1:32" s="262" customFormat="1" ht="12.75" x14ac:dyDescent="0.2">
      <c r="A70" s="329" t="s">
        <v>297</v>
      </c>
      <c r="B70" s="258">
        <f t="shared" ref="B70:AE70" si="11">B68+B69</f>
        <v>0</v>
      </c>
      <c r="C70" s="258">
        <f t="shared" si="11"/>
        <v>-262816</v>
      </c>
      <c r="D70" s="258">
        <f t="shared" si="11"/>
        <v>-262816</v>
      </c>
      <c r="E70" s="258">
        <f t="shared" si="11"/>
        <v>-262816</v>
      </c>
      <c r="F70" s="258">
        <f t="shared" si="11"/>
        <v>-262816</v>
      </c>
      <c r="G70" s="258">
        <f t="shared" si="11"/>
        <v>-259032</v>
      </c>
      <c r="H70" s="258">
        <f t="shared" si="11"/>
        <v>-255248</v>
      </c>
      <c r="I70" s="258">
        <f t="shared" si="11"/>
        <v>-251464</v>
      </c>
      <c r="J70" s="258">
        <f t="shared" si="11"/>
        <v>-247680</v>
      </c>
      <c r="K70" s="258">
        <f t="shared" si="11"/>
        <v>-243896</v>
      </c>
      <c r="L70" s="258">
        <f t="shared" si="11"/>
        <v>-240628</v>
      </c>
      <c r="M70" s="258">
        <f t="shared" si="11"/>
        <v>-236328</v>
      </c>
      <c r="N70" s="258">
        <f t="shared" si="11"/>
        <v>-234092</v>
      </c>
      <c r="O70" s="258">
        <f t="shared" si="11"/>
        <v>-228760</v>
      </c>
      <c r="P70" s="258">
        <f t="shared" si="11"/>
        <v>-308224</v>
      </c>
      <c r="Q70" s="258">
        <f t="shared" si="11"/>
        <v>-221192</v>
      </c>
      <c r="R70" s="258">
        <f t="shared" si="11"/>
        <v>-551563.87945394404</v>
      </c>
      <c r="S70" s="258">
        <f t="shared" si="11"/>
        <v>-213624</v>
      </c>
      <c r="T70" s="258">
        <f t="shared" si="11"/>
        <v>-209840</v>
      </c>
      <c r="U70" s="258">
        <f t="shared" si="11"/>
        <v>-206056</v>
      </c>
      <c r="V70" s="258">
        <f t="shared" si="11"/>
        <v>-203820</v>
      </c>
      <c r="W70" s="258">
        <f t="shared" si="11"/>
        <v>-198488</v>
      </c>
      <c r="X70" s="258">
        <f t="shared" si="11"/>
        <v>-528859.87945394404</v>
      </c>
      <c r="Y70" s="258">
        <f t="shared" si="11"/>
        <v>-190920</v>
      </c>
      <c r="Z70" s="258">
        <f t="shared" si="11"/>
        <v>-187136</v>
      </c>
      <c r="AA70" s="258">
        <f t="shared" si="11"/>
        <v>-183352</v>
      </c>
      <c r="AB70" s="258">
        <f t="shared" si="11"/>
        <v>-179568</v>
      </c>
      <c r="AC70" s="258">
        <f t="shared" si="11"/>
        <v>0</v>
      </c>
      <c r="AD70" s="258">
        <f t="shared" si="11"/>
        <v>-1548</v>
      </c>
      <c r="AE70" s="258">
        <f t="shared" si="11"/>
        <v>0</v>
      </c>
    </row>
    <row r="71" spans="1:32" s="262" customFormat="1" ht="12.75" x14ac:dyDescent="0.2">
      <c r="A71" s="325" t="s">
        <v>292</v>
      </c>
      <c r="B71" s="330">
        <f t="shared" ref="B71:AE71" si="12">-B70*$B$35</f>
        <v>0</v>
      </c>
      <c r="C71" s="330">
        <f t="shared" si="12"/>
        <v>52563.200000000004</v>
      </c>
      <c r="D71" s="330">
        <f t="shared" si="12"/>
        <v>52563.200000000004</v>
      </c>
      <c r="E71" s="330">
        <f t="shared" si="12"/>
        <v>52563.200000000004</v>
      </c>
      <c r="F71" s="330">
        <f t="shared" si="12"/>
        <v>52563.200000000004</v>
      </c>
      <c r="G71" s="330">
        <f t="shared" si="12"/>
        <v>51806.400000000001</v>
      </c>
      <c r="H71" s="330">
        <f t="shared" si="12"/>
        <v>51049.600000000006</v>
      </c>
      <c r="I71" s="330">
        <f t="shared" si="12"/>
        <v>50292.800000000003</v>
      </c>
      <c r="J71" s="330">
        <f t="shared" si="12"/>
        <v>49536</v>
      </c>
      <c r="K71" s="330">
        <f t="shared" si="12"/>
        <v>48779.200000000004</v>
      </c>
      <c r="L71" s="330">
        <f t="shared" si="12"/>
        <v>48125.600000000006</v>
      </c>
      <c r="M71" s="330">
        <f t="shared" si="12"/>
        <v>47265.600000000006</v>
      </c>
      <c r="N71" s="330">
        <f t="shared" si="12"/>
        <v>46818.400000000001</v>
      </c>
      <c r="O71" s="330">
        <f t="shared" si="12"/>
        <v>45752</v>
      </c>
      <c r="P71" s="330">
        <f t="shared" si="12"/>
        <v>61644.800000000003</v>
      </c>
      <c r="Q71" s="330">
        <f t="shared" si="12"/>
        <v>44238.400000000001</v>
      </c>
      <c r="R71" s="330">
        <f t="shared" si="12"/>
        <v>110312.77589078882</v>
      </c>
      <c r="S71" s="330">
        <f t="shared" si="12"/>
        <v>42724.800000000003</v>
      </c>
      <c r="T71" s="330">
        <f t="shared" si="12"/>
        <v>41968</v>
      </c>
      <c r="U71" s="330">
        <f t="shared" si="12"/>
        <v>41211.200000000004</v>
      </c>
      <c r="V71" s="330">
        <f t="shared" si="12"/>
        <v>40764</v>
      </c>
      <c r="W71" s="330">
        <f t="shared" si="12"/>
        <v>39697.600000000006</v>
      </c>
      <c r="X71" s="330">
        <f t="shared" si="12"/>
        <v>105771.97589078882</v>
      </c>
      <c r="Y71" s="330">
        <f t="shared" si="12"/>
        <v>38184</v>
      </c>
      <c r="Z71" s="330">
        <f t="shared" si="12"/>
        <v>37427.200000000004</v>
      </c>
      <c r="AA71" s="330">
        <f t="shared" si="12"/>
        <v>36670.400000000001</v>
      </c>
      <c r="AB71" s="330">
        <f t="shared" si="12"/>
        <v>35913.599999999999</v>
      </c>
      <c r="AC71" s="330">
        <f t="shared" si="12"/>
        <v>0</v>
      </c>
      <c r="AD71" s="330">
        <f t="shared" si="12"/>
        <v>309.60000000000002</v>
      </c>
      <c r="AE71" s="330">
        <f t="shared" si="12"/>
        <v>0</v>
      </c>
    </row>
    <row r="72" spans="1:32" s="262" customFormat="1" ht="13.5" thickBot="1" x14ac:dyDescent="0.25">
      <c r="A72" s="331" t="s">
        <v>296</v>
      </c>
      <c r="B72" s="332">
        <f t="shared" ref="B72:AE72" si="13">B70+B71</f>
        <v>0</v>
      </c>
      <c r="C72" s="332">
        <f t="shared" si="13"/>
        <v>-210252.79999999999</v>
      </c>
      <c r="D72" s="332">
        <f t="shared" si="13"/>
        <v>-210252.79999999999</v>
      </c>
      <c r="E72" s="332">
        <f t="shared" si="13"/>
        <v>-210252.79999999999</v>
      </c>
      <c r="F72" s="332">
        <f t="shared" si="13"/>
        <v>-210252.79999999999</v>
      </c>
      <c r="G72" s="332">
        <f t="shared" si="13"/>
        <v>-207225.60000000001</v>
      </c>
      <c r="H72" s="332">
        <f t="shared" si="13"/>
        <v>-204198.39999999999</v>
      </c>
      <c r="I72" s="332">
        <f t="shared" si="13"/>
        <v>-201171.20000000001</v>
      </c>
      <c r="J72" s="332">
        <f t="shared" si="13"/>
        <v>-198144</v>
      </c>
      <c r="K72" s="332">
        <f t="shared" si="13"/>
        <v>-195116.79999999999</v>
      </c>
      <c r="L72" s="332">
        <f t="shared" si="13"/>
        <v>-192502.39999999999</v>
      </c>
      <c r="M72" s="332">
        <f t="shared" si="13"/>
        <v>-189062.39999999999</v>
      </c>
      <c r="N72" s="332">
        <f t="shared" si="13"/>
        <v>-187273.60000000001</v>
      </c>
      <c r="O72" s="332">
        <f t="shared" si="13"/>
        <v>-183008</v>
      </c>
      <c r="P72" s="332">
        <f t="shared" si="13"/>
        <v>-246579.20000000001</v>
      </c>
      <c r="Q72" s="332">
        <f t="shared" si="13"/>
        <v>-176953.60000000001</v>
      </c>
      <c r="R72" s="332">
        <f t="shared" si="13"/>
        <v>-441251.10356315522</v>
      </c>
      <c r="S72" s="332">
        <f t="shared" si="13"/>
        <v>-170899.20000000001</v>
      </c>
      <c r="T72" s="332">
        <f t="shared" si="13"/>
        <v>-167872</v>
      </c>
      <c r="U72" s="332">
        <f t="shared" si="13"/>
        <v>-164844.79999999999</v>
      </c>
      <c r="V72" s="332">
        <f t="shared" si="13"/>
        <v>-163056</v>
      </c>
      <c r="W72" s="332">
        <f t="shared" si="13"/>
        <v>-158790.39999999999</v>
      </c>
      <c r="X72" s="332">
        <f t="shared" si="13"/>
        <v>-423087.90356315521</v>
      </c>
      <c r="Y72" s="332">
        <f t="shared" si="13"/>
        <v>-152736</v>
      </c>
      <c r="Z72" s="332">
        <f t="shared" si="13"/>
        <v>-149708.79999999999</v>
      </c>
      <c r="AA72" s="332">
        <f t="shared" si="13"/>
        <v>-146681.60000000001</v>
      </c>
      <c r="AB72" s="332">
        <f t="shared" si="13"/>
        <v>-143654.39999999999</v>
      </c>
      <c r="AC72" s="332">
        <f t="shared" si="13"/>
        <v>0</v>
      </c>
      <c r="AD72" s="332">
        <f t="shared" si="13"/>
        <v>-1238.4000000000001</v>
      </c>
      <c r="AE72" s="332">
        <f t="shared" si="13"/>
        <v>0</v>
      </c>
    </row>
    <row r="73" spans="1:32" s="262" customFormat="1" ht="13.5" thickBot="1" x14ac:dyDescent="0.25">
      <c r="A73" s="315"/>
      <c r="B73" s="333">
        <v>0.5</v>
      </c>
      <c r="C73" s="333">
        <v>1.5</v>
      </c>
      <c r="D73" s="333">
        <v>2.5</v>
      </c>
      <c r="E73" s="333">
        <v>3.5</v>
      </c>
      <c r="F73" s="333">
        <v>4.5</v>
      </c>
      <c r="G73" s="333">
        <v>5.5</v>
      </c>
      <c r="H73" s="333">
        <v>6.5</v>
      </c>
      <c r="I73" s="333">
        <v>7.5</v>
      </c>
      <c r="J73" s="333">
        <v>8.5</v>
      </c>
      <c r="K73" s="333">
        <v>9.5</v>
      </c>
      <c r="L73" s="333">
        <v>10.5</v>
      </c>
      <c r="M73" s="333">
        <v>11.5</v>
      </c>
      <c r="N73" s="333">
        <v>12.5</v>
      </c>
      <c r="O73" s="333">
        <v>13.5</v>
      </c>
      <c r="P73" s="333">
        <v>14.5</v>
      </c>
      <c r="Q73" s="333">
        <v>15.5</v>
      </c>
      <c r="R73" s="333">
        <v>16.5</v>
      </c>
      <c r="S73" s="333">
        <v>17.5</v>
      </c>
      <c r="T73" s="333">
        <v>18.5</v>
      </c>
      <c r="U73" s="333">
        <v>19.5</v>
      </c>
      <c r="V73" s="333">
        <v>20.5</v>
      </c>
      <c r="W73" s="333">
        <v>21.5</v>
      </c>
      <c r="X73" s="333">
        <v>22.5</v>
      </c>
      <c r="Y73" s="333">
        <v>23.5</v>
      </c>
      <c r="Z73" s="333">
        <v>24.5</v>
      </c>
      <c r="AA73" s="333">
        <v>25.5</v>
      </c>
      <c r="AB73" s="333">
        <v>26.5</v>
      </c>
      <c r="AC73" s="333">
        <v>27.5</v>
      </c>
      <c r="AD73" s="333">
        <v>28.5</v>
      </c>
      <c r="AE73" s="333">
        <v>29.5</v>
      </c>
    </row>
    <row r="74" spans="1:32" s="262" customFormat="1" ht="12.75" x14ac:dyDescent="0.2">
      <c r="A74" s="317" t="s">
        <v>295</v>
      </c>
      <c r="B74" s="307">
        <v>1</v>
      </c>
      <c r="C74" s="307">
        <v>2</v>
      </c>
      <c r="D74" s="307">
        <v>3</v>
      </c>
      <c r="E74" s="307">
        <v>4</v>
      </c>
      <c r="F74" s="307">
        <v>5</v>
      </c>
      <c r="G74" s="307">
        <v>6</v>
      </c>
      <c r="H74" s="307">
        <v>7</v>
      </c>
      <c r="I74" s="307">
        <v>8</v>
      </c>
      <c r="J74" s="307">
        <v>9</v>
      </c>
      <c r="K74" s="307">
        <v>10</v>
      </c>
      <c r="L74" s="307">
        <v>11</v>
      </c>
      <c r="M74" s="307">
        <v>12</v>
      </c>
      <c r="N74" s="307">
        <v>13</v>
      </c>
      <c r="O74" s="307">
        <v>14</v>
      </c>
      <c r="P74" s="307">
        <v>15</v>
      </c>
      <c r="Q74" s="307">
        <v>16</v>
      </c>
      <c r="R74" s="307">
        <v>17</v>
      </c>
      <c r="S74" s="307">
        <v>18</v>
      </c>
      <c r="T74" s="307">
        <v>19</v>
      </c>
      <c r="U74" s="307">
        <v>20</v>
      </c>
      <c r="V74" s="307">
        <v>21</v>
      </c>
      <c r="W74" s="307">
        <v>22</v>
      </c>
      <c r="X74" s="307">
        <v>23</v>
      </c>
      <c r="Y74" s="307">
        <v>24</v>
      </c>
      <c r="Z74" s="307">
        <v>25</v>
      </c>
      <c r="AA74" s="307">
        <v>26</v>
      </c>
      <c r="AB74" s="307">
        <v>27</v>
      </c>
      <c r="AC74" s="307">
        <v>28</v>
      </c>
      <c r="AD74" s="307">
        <v>29</v>
      </c>
      <c r="AE74" s="307">
        <v>30</v>
      </c>
    </row>
    <row r="75" spans="1:32" s="262" customFormat="1" ht="12.75" x14ac:dyDescent="0.2">
      <c r="A75" s="334" t="s">
        <v>561</v>
      </c>
      <c r="B75" s="258">
        <f t="shared" ref="B75:AE75" si="14">B68</f>
        <v>0</v>
      </c>
      <c r="C75" s="258">
        <f t="shared" si="14"/>
        <v>-262816</v>
      </c>
      <c r="D75" s="258">
        <f t="shared" si="14"/>
        <v>-262816</v>
      </c>
      <c r="E75" s="258">
        <f t="shared" si="14"/>
        <v>-262816</v>
      </c>
      <c r="F75" s="258">
        <f t="shared" si="14"/>
        <v>-262816</v>
      </c>
      <c r="G75" s="258">
        <f t="shared" si="14"/>
        <v>-259032</v>
      </c>
      <c r="H75" s="258">
        <f t="shared" si="14"/>
        <v>-255248</v>
      </c>
      <c r="I75" s="258">
        <f t="shared" si="14"/>
        <v>-251464</v>
      </c>
      <c r="J75" s="258">
        <f t="shared" si="14"/>
        <v>-247680</v>
      </c>
      <c r="K75" s="258">
        <f t="shared" si="14"/>
        <v>-243896</v>
      </c>
      <c r="L75" s="258">
        <f t="shared" si="14"/>
        <v>-240628</v>
      </c>
      <c r="M75" s="258">
        <f t="shared" si="14"/>
        <v>-236328</v>
      </c>
      <c r="N75" s="258">
        <f t="shared" si="14"/>
        <v>-234092</v>
      </c>
      <c r="O75" s="258">
        <f t="shared" si="14"/>
        <v>-228760</v>
      </c>
      <c r="P75" s="258">
        <f t="shared" si="14"/>
        <v>-308224</v>
      </c>
      <c r="Q75" s="258">
        <f t="shared" si="14"/>
        <v>-221192</v>
      </c>
      <c r="R75" s="258">
        <f t="shared" si="14"/>
        <v>-551563.87945394404</v>
      </c>
      <c r="S75" s="258">
        <f t="shared" si="14"/>
        <v>-213624</v>
      </c>
      <c r="T75" s="258">
        <f t="shared" si="14"/>
        <v>-209840</v>
      </c>
      <c r="U75" s="258">
        <f t="shared" si="14"/>
        <v>-206056</v>
      </c>
      <c r="V75" s="258">
        <f t="shared" si="14"/>
        <v>-203820</v>
      </c>
      <c r="W75" s="258">
        <f t="shared" si="14"/>
        <v>-198488</v>
      </c>
      <c r="X75" s="258">
        <f t="shared" si="14"/>
        <v>-528859.87945394404</v>
      </c>
      <c r="Y75" s="258">
        <f t="shared" si="14"/>
        <v>-190920</v>
      </c>
      <c r="Z75" s="258">
        <f t="shared" si="14"/>
        <v>-187136</v>
      </c>
      <c r="AA75" s="258">
        <f t="shared" si="14"/>
        <v>-183352</v>
      </c>
      <c r="AB75" s="258">
        <f t="shared" si="14"/>
        <v>-179568</v>
      </c>
      <c r="AC75" s="258">
        <f t="shared" si="14"/>
        <v>0</v>
      </c>
      <c r="AD75" s="258">
        <f t="shared" si="14"/>
        <v>-1548</v>
      </c>
      <c r="AE75" s="258">
        <f t="shared" si="14"/>
        <v>0</v>
      </c>
    </row>
    <row r="76" spans="1:32" s="262" customFormat="1" ht="12.75" x14ac:dyDescent="0.2">
      <c r="A76" s="325" t="s">
        <v>294</v>
      </c>
      <c r="B76" s="330">
        <f t="shared" ref="B76:AE76" si="15">-B67</f>
        <v>0</v>
      </c>
      <c r="C76" s="330">
        <f t="shared" si="15"/>
        <v>172000</v>
      </c>
      <c r="D76" s="330">
        <f t="shared" si="15"/>
        <v>172000</v>
      </c>
      <c r="E76" s="330">
        <f t="shared" si="15"/>
        <v>172000</v>
      </c>
      <c r="F76" s="330">
        <f t="shared" si="15"/>
        <v>172000</v>
      </c>
      <c r="G76" s="330">
        <f>-G67</f>
        <v>172000</v>
      </c>
      <c r="H76" s="330">
        <f t="shared" si="15"/>
        <v>172000</v>
      </c>
      <c r="I76" s="330">
        <f t="shared" si="15"/>
        <v>172000</v>
      </c>
      <c r="J76" s="330">
        <f t="shared" si="15"/>
        <v>172000</v>
      </c>
      <c r="K76" s="330">
        <f t="shared" si="15"/>
        <v>172000</v>
      </c>
      <c r="L76" s="330">
        <f t="shared" si="15"/>
        <v>172000</v>
      </c>
      <c r="M76" s="330">
        <f t="shared" si="15"/>
        <v>172000</v>
      </c>
      <c r="N76" s="330">
        <f t="shared" si="15"/>
        <v>172000</v>
      </c>
      <c r="O76" s="330">
        <f t="shared" si="15"/>
        <v>172000</v>
      </c>
      <c r="P76" s="330">
        <f t="shared" si="15"/>
        <v>172000</v>
      </c>
      <c r="Q76" s="330">
        <f t="shared" si="15"/>
        <v>172000</v>
      </c>
      <c r="R76" s="330">
        <f t="shared" si="15"/>
        <v>172000</v>
      </c>
      <c r="S76" s="330">
        <f t="shared" si="15"/>
        <v>172000</v>
      </c>
      <c r="T76" s="330">
        <f t="shared" si="15"/>
        <v>172000</v>
      </c>
      <c r="U76" s="330">
        <f t="shared" si="15"/>
        <v>172000</v>
      </c>
      <c r="V76" s="330">
        <f t="shared" si="15"/>
        <v>172000</v>
      </c>
      <c r="W76" s="330">
        <f t="shared" si="15"/>
        <v>172000</v>
      </c>
      <c r="X76" s="330">
        <f t="shared" si="15"/>
        <v>172000</v>
      </c>
      <c r="Y76" s="330">
        <f t="shared" si="15"/>
        <v>172000</v>
      </c>
      <c r="Z76" s="330">
        <f t="shared" si="15"/>
        <v>172000</v>
      </c>
      <c r="AA76" s="330">
        <f t="shared" si="15"/>
        <v>172000</v>
      </c>
      <c r="AB76" s="330">
        <f t="shared" si="15"/>
        <v>172000</v>
      </c>
      <c r="AC76" s="330">
        <f t="shared" si="15"/>
        <v>0</v>
      </c>
      <c r="AD76" s="330">
        <f t="shared" si="15"/>
        <v>0</v>
      </c>
      <c r="AE76" s="330">
        <f t="shared" si="15"/>
        <v>0</v>
      </c>
    </row>
    <row r="77" spans="1:32" s="262" customFormat="1" ht="12.75" x14ac:dyDescent="0.2">
      <c r="A77" s="325" t="s">
        <v>293</v>
      </c>
      <c r="B77" s="330">
        <f t="shared" ref="B77:AE77" si="16">B69</f>
        <v>0</v>
      </c>
      <c r="C77" s="330">
        <f t="shared" si="16"/>
        <v>0</v>
      </c>
      <c r="D77" s="330">
        <f t="shared" si="16"/>
        <v>0</v>
      </c>
      <c r="E77" s="330">
        <f t="shared" si="16"/>
        <v>0</v>
      </c>
      <c r="F77" s="330">
        <f t="shared" si="16"/>
        <v>0</v>
      </c>
      <c r="G77" s="330">
        <f t="shared" si="16"/>
        <v>0</v>
      </c>
      <c r="H77" s="330">
        <f t="shared" si="16"/>
        <v>0</v>
      </c>
      <c r="I77" s="330">
        <f t="shared" si="16"/>
        <v>0</v>
      </c>
      <c r="J77" s="330">
        <f t="shared" si="16"/>
        <v>0</v>
      </c>
      <c r="K77" s="330">
        <f t="shared" si="16"/>
        <v>0</v>
      </c>
      <c r="L77" s="330">
        <f t="shared" si="16"/>
        <v>0</v>
      </c>
      <c r="M77" s="330">
        <f t="shared" si="16"/>
        <v>0</v>
      </c>
      <c r="N77" s="330">
        <f t="shared" si="16"/>
        <v>0</v>
      </c>
      <c r="O77" s="330">
        <f t="shared" si="16"/>
        <v>0</v>
      </c>
      <c r="P77" s="330">
        <f t="shared" si="16"/>
        <v>0</v>
      </c>
      <c r="Q77" s="330">
        <f t="shared" si="16"/>
        <v>0</v>
      </c>
      <c r="R77" s="330">
        <f t="shared" si="16"/>
        <v>0</v>
      </c>
      <c r="S77" s="330">
        <f t="shared" si="16"/>
        <v>0</v>
      </c>
      <c r="T77" s="330">
        <f t="shared" si="16"/>
        <v>0</v>
      </c>
      <c r="U77" s="330">
        <f t="shared" si="16"/>
        <v>0</v>
      </c>
      <c r="V77" s="330">
        <f t="shared" si="16"/>
        <v>0</v>
      </c>
      <c r="W77" s="330">
        <f t="shared" si="16"/>
        <v>0</v>
      </c>
      <c r="X77" s="330">
        <f t="shared" si="16"/>
        <v>0</v>
      </c>
      <c r="Y77" s="330">
        <f t="shared" si="16"/>
        <v>0</v>
      </c>
      <c r="Z77" s="330">
        <f t="shared" si="16"/>
        <v>0</v>
      </c>
      <c r="AA77" s="330">
        <f t="shared" si="16"/>
        <v>0</v>
      </c>
      <c r="AB77" s="330">
        <f t="shared" si="16"/>
        <v>0</v>
      </c>
      <c r="AC77" s="330">
        <f t="shared" si="16"/>
        <v>0</v>
      </c>
      <c r="AD77" s="330">
        <f t="shared" si="16"/>
        <v>0</v>
      </c>
      <c r="AE77" s="330">
        <f t="shared" si="16"/>
        <v>0</v>
      </c>
    </row>
    <row r="78" spans="1:32" s="262" customFormat="1" ht="12.75" x14ac:dyDescent="0.2">
      <c r="A78" s="325" t="s">
        <v>292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row>
    <row r="79" spans="1:32" s="262" customFormat="1" ht="12.75" x14ac:dyDescent="0.2">
      <c r="A79" s="325" t="s">
        <v>291</v>
      </c>
      <c r="B79" s="330">
        <f>IF(((SUM($B$58:B58)+SUM($B$60:B64))+SUM($B$81:B81))&lt;0,((SUM($B$58:B58)+SUM($B$60:B64))+SUM($B$81:B81))*0.2-SUM($A$79:A79),IF(SUM(A$79:$A79)&lt;0,0-SUM(A$79:$A79),0))</f>
        <v>-155500</v>
      </c>
      <c r="C79" s="330">
        <f>IF(((SUM($B$58:C58)+SUM($B$60:C64))+SUM($B$81:C81))&lt;0,((SUM($B$58:C58)+SUM($B$60:C64))+SUM($B$81:C81))*0.2-SUM($A$79:B79),IF(SUM($A$79:B79)&lt;0,0-SUM($A$79:B79),0))</f>
        <v>-345250</v>
      </c>
      <c r="D79" s="330">
        <f>IF(((SUM($B$58:D58)+SUM($B$60:D64))+SUM($B$81:D81))&lt;0,((SUM($B$58:D58)+SUM($B$60:D64))+SUM($B$81:D81))*0.2-SUM($A$79:C79),IF(SUM($A$79:C79)&lt;0,0-SUM($A$79:C79),0))</f>
        <v>-531250</v>
      </c>
      <c r="E79" s="330">
        <f>IF(((SUM($B$58:E58)+SUM($B$60:E64))+SUM($B$81:E81))&lt;0,((SUM($B$58:E58)+SUM($B$60:E64))+SUM($B$81:E81))*0.2-SUM($A$79:D79),IF(SUM($A$79:D79)&lt;0,0-SUM($A$79:D79),0))</f>
        <v>0</v>
      </c>
      <c r="F79" s="330">
        <f>IF(((SUM($B$58:F58)+SUM($B$60:F64))+SUM($B$81:F81))&lt;0,((SUM($B$58:F58)+SUM($B$60:F64))+SUM($B$81:F81))*0.2-SUM($A$79:E79),IF(SUM($A$79:E79)&lt;0,0-SUM($A$79:E79),0))</f>
        <v>0</v>
      </c>
      <c r="G79" s="330">
        <f>IF(((SUM($B$58:G58)+SUM($B$60:G64))+SUM($B$81:G81))&lt;0,((SUM($B$58:G58)+SUM($B$60:G64))+SUM($B$81:G81))*0.2-SUM($A$79:F79),IF(SUM($A$79:F79)&lt;0,0-SUM($A$79:F79),0))</f>
        <v>0</v>
      </c>
      <c r="H79" s="330">
        <f>IF(((SUM($B$58:H58)+SUM($B$60:H64))+SUM($B$81:H81))&lt;0,((SUM($B$58:H58)+SUM($B$60:H64))+SUM($B$81:H81))*0.2-SUM($A$79:G79),IF(SUM($A$79:G79)&lt;0,0-SUM($A$79:G79),0))</f>
        <v>0</v>
      </c>
      <c r="I79" s="330">
        <f>IF(((SUM($B$58:I58)+SUM($B$60:I64))+SUM($B$81:I81))&lt;0,((SUM($B$58:I58)+SUM($B$60:I64))+SUM($B$81:I81))*0.2-SUM($A$79:H79),IF(SUM($A$79:H79)&lt;0,0-SUM($A$79:H79),0))</f>
        <v>0</v>
      </c>
      <c r="J79" s="330">
        <f>IF(((SUM($B$58:J58)+SUM($B$60:J64))+SUM($B$81:J81))&lt;0,((SUM($B$58:J58)+SUM($B$60:J64))+SUM($B$81:J81))*0.2-SUM($A$79:I79),IF(SUM($A$79:I79)&lt;0,0-SUM($A$79:I79),0))</f>
        <v>0</v>
      </c>
      <c r="K79" s="330">
        <f>IF(((SUM($B$58:K58)+SUM($B$60:K64))+SUM($B$81:K81))&lt;0,((SUM($B$58:K58)+SUM($B$60:K64))+SUM($B$81:K81))*0.2-SUM($A$79:J79),IF(SUM($A$79:J79)&lt;0,0-SUM($A$79:J79),0))</f>
        <v>0</v>
      </c>
      <c r="L79" s="330">
        <f>IF(((SUM($B$58:L58)+SUM($B$60:L64))+SUM($B$81:L81))&lt;0,((SUM($B$58:L58)+SUM($B$60:L64))+SUM($B$81:L81))*0.2-SUM($A$79:K79),IF(SUM($A$79:K79)&lt;0,0-SUM($A$79:K79),0))</f>
        <v>-103.20000000006985</v>
      </c>
      <c r="M79" s="330">
        <f>IF(((SUM($B$58:M58)+SUM($B$60:M64))+SUM($B$81:M81))&lt;0,((SUM($B$58:M58)+SUM($B$60:M64))+SUM($B$81:M81))*0.2-SUM($A$79:L79),IF(SUM($A$79:L79)&lt;0,0-SUM($A$79:L79),0))</f>
        <v>0</v>
      </c>
      <c r="N79" s="330">
        <f>IF(((SUM($B$58:N58)+SUM($B$60:N64))+SUM($B$81:N81))&lt;0,((SUM($B$58:N58)+SUM($B$60:N64))+SUM($B$81:N81))*0.2-SUM($A$79:M79),IF(SUM($A$79:M79)&lt;0,0-SUM($A$79:M79),0))</f>
        <v>-309.59999999997672</v>
      </c>
      <c r="O79" s="330">
        <f>IF(((SUM($B$58:O58)+SUM($B$60:O64))+SUM($B$81:O81))&lt;0,((SUM($B$58:O58)+SUM($B$60:O64))+SUM($B$81:O81))*0.2-SUM($A$79:N79),IF(SUM($A$79:N79)&lt;0,0-SUM($A$79:N79),0))</f>
        <v>0</v>
      </c>
      <c r="P79" s="330">
        <f>IF(((SUM($B$58:P58)+SUM($B$60:P64))+SUM($B$81:P81))&lt;0,((SUM($B$58:P58)+SUM($B$60:P64))+SUM($B$81:P81))*0.2-SUM($A$79:O79),IF(SUM($A$79:O79)&lt;0,0-SUM($A$79:O79),0))</f>
        <v>0</v>
      </c>
      <c r="Q79" s="330">
        <f>IF(((SUM($B$58:Q58)+SUM($B$60:Q64))+SUM($B$81:Q81))&lt;0,((SUM($B$58:Q58)+SUM($B$60:Q64))+SUM($B$81:Q81))*0.2-SUM($A$79:P79),IF(SUM($A$79:P79)&lt;0,0-SUM($A$79:P79),0))</f>
        <v>0</v>
      </c>
      <c r="R79" s="330">
        <f>IF(((SUM($B$58:R58)+SUM($B$60:R64))+SUM($B$81:R81))&lt;0,((SUM($B$58:R58)+SUM($B$60:R64))+SUM($B$81:R81))*0.2-SUM($A$79:Q79),IF(SUM($A$79:Q79)&lt;0,0-SUM($A$79:Q79),0))</f>
        <v>-66831.175890788902</v>
      </c>
      <c r="S79" s="330">
        <f>IF(((SUM($B$58:S58)+SUM($B$60:S64))+SUM($B$81:S81))&lt;0,((SUM($B$58:S58)+SUM($B$60:S64))+SUM($B$81:S81))*0.2-SUM($A$79:R79),IF(SUM($A$79:R79)&lt;0,0-SUM($A$79:R79),0))</f>
        <v>0</v>
      </c>
      <c r="T79" s="330">
        <f>IF(((SUM($B$58:T58)+SUM($B$60:T64))+SUM($B$81:T81))&lt;0,((SUM($B$58:T58)+SUM($B$60:T64))+SUM($B$81:T81))*0.2-SUM($A$79:S79),IF(SUM($A$79:S79)&lt;0,0-SUM($A$79:S79),0))</f>
        <v>0</v>
      </c>
      <c r="U79" s="330">
        <f>IF(((SUM($B$58:U58)+SUM($B$60:U64))+SUM($B$81:U81))&lt;0,((SUM($B$58:U58)+SUM($B$60:U64))+SUM($B$81:U81))*0.2-SUM($A$79:T79),IF(SUM($A$79:T79)&lt;0,0-SUM($A$79:T79),0))</f>
        <v>0</v>
      </c>
      <c r="V79" s="330">
        <f>IF(((SUM($B$58:V58)+SUM($B$60:V64))+SUM($B$81:V81))&lt;0,((SUM($B$58:V58)+SUM($B$60:V64))+SUM($B$81:V81))*0.2-SUM($A$79:U79),IF(SUM($A$79:U79)&lt;0,0-SUM($A$79:U79),0))</f>
        <v>-309.5999999998603</v>
      </c>
      <c r="W79" s="330">
        <f>IF(((SUM($B$58:W58)+SUM($B$60:W64))+SUM($B$81:W81))&lt;0,((SUM($B$58:W58)+SUM($B$60:W64))+SUM($B$81:W81))*0.2-SUM($A$79:V79),IF(SUM($A$79:V79)&lt;0,0-SUM($A$79:V79),0))</f>
        <v>0</v>
      </c>
      <c r="X79" s="330">
        <f>IF(((SUM($B$58:X58)+SUM($B$60:X64))+SUM($B$81:X81))&lt;0,((SUM($B$58:X58)+SUM($B$60:X64))+SUM($B$81:X81))*0.2-SUM($A$79:W79),IF(SUM($A$79:W79)&lt;0,0-SUM($A$79:W79),0))</f>
        <v>-66831.175890788902</v>
      </c>
      <c r="Y79" s="330">
        <f>IF(((SUM($B$58:Y58)+SUM($B$60:Y64))+SUM($B$81:Y81))&lt;0,((SUM($B$58:Y58)+SUM($B$60:Y64))+SUM($B$81:Y81))*0.2-SUM($A$79:X79),IF(SUM($A$79:X79)&lt;0,0-SUM($A$79:X79),0))</f>
        <v>0</v>
      </c>
      <c r="Z79" s="330">
        <f>IF(((SUM($B$58:Z58)+SUM($B$60:Z64))+SUM($B$81:Z81))&lt;0,((SUM($B$58:Z58)+SUM($B$60:Z64))+SUM($B$81:Z81))*0.2-SUM($A$79:Y79),IF(SUM($A$79:Y79)&lt;0,0-SUM($A$79:Y79),0))</f>
        <v>0</v>
      </c>
      <c r="AA79" s="330">
        <f>IF(((SUM($B$58:AA58)+SUM($B$60:AA64))+SUM($B$81:AA81))&lt;0,((SUM($B$58:AA58)+SUM($B$60:AA64))+SUM($B$81:AA81))*0.2-SUM($A$79:Z79),IF(SUM($A$79:Z79)&lt;0,0-SUM($A$79:Z79),0))</f>
        <v>0</v>
      </c>
      <c r="AB79" s="330">
        <f>IF(((SUM($B$58:AB58)+SUM($B$60:AB64))+SUM($B$81:AB81))&lt;0,((SUM($B$58:AB58)+SUM($B$60:AB64))+SUM($B$81:AB81))*0.2-SUM($A$79:AA79),IF(SUM($A$79:AA79)&lt;0,0-SUM($A$79:AA79),0))</f>
        <v>0</v>
      </c>
      <c r="AC79" s="330">
        <f>IF(((SUM($B$58:AC58)+SUM($B$60:AC64))+SUM($B$81:AC81))&lt;0,((SUM($B$58:AC58)+SUM($B$60:AC64))+SUM($B$81:AC81))*0.2-SUM($A$79:AB79),IF(SUM($A$79:AB79)&lt;0,0-SUM($A$79:AB79),0))</f>
        <v>0</v>
      </c>
      <c r="AD79" s="330">
        <f>IF(((SUM($B$58:AD58)+SUM($B$60:AD64))+SUM($B$81:AD81))&lt;0,((SUM($B$58:AD58)+SUM($B$60:AD64))+SUM($B$81:AD81))*0.2-SUM($A$79:AC79),IF(SUM($A$79:AC79)&lt;0,0-SUM($A$79:AC79),0))</f>
        <v>-309.5999999998603</v>
      </c>
      <c r="AE79" s="330">
        <f>IF(((SUM($B$58:AE58)+SUM($B$60:AE64))+SUM($B$81:AE81))&lt;0,((SUM($B$58:AE58)+SUM($B$60:AE64))+SUM($B$81:AE81))*0.2-SUM($A$79:AD79),IF(SUM($A$79:AD79)&lt;0,0-SUM($A$79:AD79),0))</f>
        <v>0</v>
      </c>
    </row>
    <row r="80" spans="1:32" s="262" customFormat="1" ht="12.75" x14ac:dyDescent="0.2">
      <c r="A80" s="325" t="s">
        <v>290</v>
      </c>
      <c r="B80" s="330">
        <f t="shared" ref="B80:AE80" si="17">-B58*(B38)</f>
        <v>0</v>
      </c>
      <c r="C80" s="330">
        <f t="shared" si="17"/>
        <v>0</v>
      </c>
      <c r="D80" s="330">
        <f t="shared" si="17"/>
        <v>0</v>
      </c>
      <c r="E80" s="330">
        <f t="shared" si="17"/>
        <v>0</v>
      </c>
      <c r="F80" s="330">
        <f t="shared" si="17"/>
        <v>0</v>
      </c>
      <c r="G80" s="330">
        <f t="shared" si="17"/>
        <v>0</v>
      </c>
      <c r="H80" s="330">
        <f t="shared" si="17"/>
        <v>0</v>
      </c>
      <c r="I80" s="330">
        <f t="shared" si="17"/>
        <v>0</v>
      </c>
      <c r="J80" s="330">
        <f t="shared" si="17"/>
        <v>0</v>
      </c>
      <c r="K80" s="330">
        <f t="shared" si="17"/>
        <v>0</v>
      </c>
      <c r="L80" s="330">
        <f t="shared" si="17"/>
        <v>0</v>
      </c>
      <c r="M80" s="330">
        <f t="shared" si="17"/>
        <v>0</v>
      </c>
      <c r="N80" s="330">
        <f t="shared" si="17"/>
        <v>0</v>
      </c>
      <c r="O80" s="330">
        <f t="shared" si="17"/>
        <v>0</v>
      </c>
      <c r="P80" s="330">
        <f t="shared" si="17"/>
        <v>0</v>
      </c>
      <c r="Q80" s="330">
        <f t="shared" si="17"/>
        <v>0</v>
      </c>
      <c r="R80" s="330">
        <f t="shared" si="17"/>
        <v>0</v>
      </c>
      <c r="S80" s="330">
        <f t="shared" si="17"/>
        <v>0</v>
      </c>
      <c r="T80" s="330">
        <f t="shared" si="17"/>
        <v>0</v>
      </c>
      <c r="U80" s="330">
        <f t="shared" si="17"/>
        <v>0</v>
      </c>
      <c r="V80" s="330">
        <f t="shared" si="17"/>
        <v>0</v>
      </c>
      <c r="W80" s="330">
        <f t="shared" si="17"/>
        <v>0</v>
      </c>
      <c r="X80" s="330">
        <f t="shared" si="17"/>
        <v>0</v>
      </c>
      <c r="Y80" s="330">
        <f t="shared" si="17"/>
        <v>0</v>
      </c>
      <c r="Z80" s="330">
        <f t="shared" si="17"/>
        <v>0</v>
      </c>
      <c r="AA80" s="330">
        <f t="shared" si="17"/>
        <v>0</v>
      </c>
      <c r="AB80" s="330">
        <f t="shared" si="17"/>
        <v>0</v>
      </c>
      <c r="AC80" s="330">
        <f t="shared" si="17"/>
        <v>0</v>
      </c>
      <c r="AD80" s="330">
        <f t="shared" si="17"/>
        <v>0</v>
      </c>
      <c r="AE80" s="330">
        <f t="shared" si="17"/>
        <v>0</v>
      </c>
    </row>
    <row r="81" spans="1:31" s="262" customFormat="1" ht="12.75" x14ac:dyDescent="0.2">
      <c r="A81" s="325" t="s">
        <v>521</v>
      </c>
      <c r="B81" s="330">
        <f>-'6.2. Паспорт фин осв ввод'!R24*1000000</f>
        <v>-777500</v>
      </c>
      <c r="C81" s="330">
        <f>-'6.2. Паспорт фин осв ввод'!V24*1000000</f>
        <v>-1726249.9999999998</v>
      </c>
      <c r="D81" s="330">
        <f>-'6.2. Паспорт фин осв ввод'!Z24*1000000</f>
        <v>-2656249.9999999995</v>
      </c>
      <c r="E81" s="330">
        <v>0</v>
      </c>
      <c r="F81" s="330">
        <v>0</v>
      </c>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row>
    <row r="82" spans="1:31" s="262" customFormat="1" ht="12.75" x14ac:dyDescent="0.2">
      <c r="A82" s="325" t="s">
        <v>289</v>
      </c>
      <c r="B82" s="327">
        <v>0</v>
      </c>
      <c r="C82" s="327">
        <v>0</v>
      </c>
      <c r="D82" s="327">
        <v>0</v>
      </c>
      <c r="E82" s="327">
        <v>0</v>
      </c>
      <c r="F82" s="327">
        <v>0</v>
      </c>
      <c r="G82" s="327">
        <v>0</v>
      </c>
      <c r="H82" s="327">
        <v>0</v>
      </c>
      <c r="I82" s="327">
        <v>0</v>
      </c>
      <c r="J82" s="327">
        <v>0</v>
      </c>
      <c r="K82" s="327">
        <v>0</v>
      </c>
      <c r="L82" s="327">
        <v>0</v>
      </c>
      <c r="M82" s="327">
        <v>0</v>
      </c>
      <c r="N82" s="327">
        <v>0</v>
      </c>
      <c r="O82" s="327">
        <v>0</v>
      </c>
      <c r="P82" s="327">
        <v>0</v>
      </c>
      <c r="Q82" s="327">
        <v>0</v>
      </c>
      <c r="R82" s="327">
        <v>0</v>
      </c>
      <c r="S82" s="327">
        <v>0</v>
      </c>
      <c r="T82" s="327">
        <v>0</v>
      </c>
      <c r="U82" s="327">
        <v>0</v>
      </c>
      <c r="V82" s="327">
        <v>0</v>
      </c>
      <c r="W82" s="327">
        <v>0</v>
      </c>
      <c r="X82" s="327">
        <v>0</v>
      </c>
      <c r="Y82" s="327">
        <v>0</v>
      </c>
      <c r="Z82" s="327">
        <v>0</v>
      </c>
      <c r="AA82" s="327">
        <v>0</v>
      </c>
      <c r="AB82" s="327">
        <v>0</v>
      </c>
      <c r="AC82" s="327">
        <v>0</v>
      </c>
      <c r="AD82" s="327">
        <v>0</v>
      </c>
      <c r="AE82" s="327">
        <v>0</v>
      </c>
    </row>
    <row r="83" spans="1:31" s="262" customFormat="1" ht="12.75" x14ac:dyDescent="0.2">
      <c r="A83" s="329" t="s">
        <v>288</v>
      </c>
      <c r="B83" s="258">
        <f>SUM(B75:B82)</f>
        <v>-933000</v>
      </c>
      <c r="C83" s="258">
        <f t="shared" ref="C83:AE83" si="18">SUM(C75:C82)</f>
        <v>-2162316</v>
      </c>
      <c r="D83" s="258">
        <f t="shared" si="18"/>
        <v>-3278315.9999999995</v>
      </c>
      <c r="E83" s="258">
        <f t="shared" si="18"/>
        <v>-90816</v>
      </c>
      <c r="F83" s="258">
        <f t="shared" si="18"/>
        <v>-90816</v>
      </c>
      <c r="G83" s="258">
        <f t="shared" si="18"/>
        <v>-87032</v>
      </c>
      <c r="H83" s="258">
        <f t="shared" si="18"/>
        <v>-83248</v>
      </c>
      <c r="I83" s="258">
        <f t="shared" si="18"/>
        <v>-79464</v>
      </c>
      <c r="J83" s="258">
        <f t="shared" si="18"/>
        <v>-75680</v>
      </c>
      <c r="K83" s="258">
        <f t="shared" si="18"/>
        <v>-71896</v>
      </c>
      <c r="L83" s="258">
        <f t="shared" si="18"/>
        <v>-68731.20000000007</v>
      </c>
      <c r="M83" s="258">
        <f t="shared" si="18"/>
        <v>-64328</v>
      </c>
      <c r="N83" s="258">
        <f t="shared" si="18"/>
        <v>-62401.599999999977</v>
      </c>
      <c r="O83" s="258">
        <f t="shared" si="18"/>
        <v>-56760</v>
      </c>
      <c r="P83" s="258">
        <f t="shared" si="18"/>
        <v>-136224</v>
      </c>
      <c r="Q83" s="258">
        <f t="shared" si="18"/>
        <v>-49192</v>
      </c>
      <c r="R83" s="258">
        <f t="shared" si="18"/>
        <v>-446395.05534473294</v>
      </c>
      <c r="S83" s="258">
        <f t="shared" si="18"/>
        <v>-41624</v>
      </c>
      <c r="T83" s="258">
        <f t="shared" si="18"/>
        <v>-37840</v>
      </c>
      <c r="U83" s="258">
        <f t="shared" si="18"/>
        <v>-34056</v>
      </c>
      <c r="V83" s="258">
        <f t="shared" si="18"/>
        <v>-32129.59999999986</v>
      </c>
      <c r="W83" s="258">
        <f t="shared" si="18"/>
        <v>-26488</v>
      </c>
      <c r="X83" s="258">
        <f t="shared" si="18"/>
        <v>-423691.05534473294</v>
      </c>
      <c r="Y83" s="258">
        <f t="shared" si="18"/>
        <v>-18920</v>
      </c>
      <c r="Z83" s="258">
        <f t="shared" si="18"/>
        <v>-15136</v>
      </c>
      <c r="AA83" s="258">
        <f t="shared" si="18"/>
        <v>-11352</v>
      </c>
      <c r="AB83" s="258">
        <f t="shared" si="18"/>
        <v>-7568</v>
      </c>
      <c r="AC83" s="258">
        <f t="shared" si="18"/>
        <v>0</v>
      </c>
      <c r="AD83" s="258">
        <f t="shared" si="18"/>
        <v>-1857.5999999998603</v>
      </c>
      <c r="AE83" s="258">
        <f t="shared" si="18"/>
        <v>0</v>
      </c>
    </row>
    <row r="84" spans="1:31" s="262" customFormat="1" ht="12.75" x14ac:dyDescent="0.2">
      <c r="A84" s="329" t="s">
        <v>562</v>
      </c>
      <c r="B84" s="258">
        <f>SUM($B$83:B83)</f>
        <v>-933000</v>
      </c>
      <c r="C84" s="258">
        <f>SUM($B$83:C83)</f>
        <v>-3095316</v>
      </c>
      <c r="D84" s="258">
        <f>SUM($B$83:D83)</f>
        <v>-6373632</v>
      </c>
      <c r="E84" s="258">
        <f>SUM($B$83:E83)</f>
        <v>-6464448</v>
      </c>
      <c r="F84" s="258">
        <f>SUM($B$83:F83)</f>
        <v>-6555264</v>
      </c>
      <c r="G84" s="258">
        <f>SUM($B$83:G83)</f>
        <v>-6642296</v>
      </c>
      <c r="H84" s="258">
        <f>SUM($B$83:H83)</f>
        <v>-6725544</v>
      </c>
      <c r="I84" s="258">
        <f>SUM($B$83:I83)</f>
        <v>-6805008</v>
      </c>
      <c r="J84" s="258">
        <f>SUM($B$83:J83)</f>
        <v>-6880688</v>
      </c>
      <c r="K84" s="258">
        <f>SUM($B$83:K83)</f>
        <v>-6952584</v>
      </c>
      <c r="L84" s="258">
        <f>SUM($B$83:L83)</f>
        <v>-7021315.2000000002</v>
      </c>
      <c r="M84" s="258">
        <f>SUM($B$83:M83)</f>
        <v>-7085643.2000000002</v>
      </c>
      <c r="N84" s="258">
        <f>SUM($B$83:N83)</f>
        <v>-7148044.7999999998</v>
      </c>
      <c r="O84" s="258">
        <f>SUM($B$83:O83)</f>
        <v>-7204804.7999999998</v>
      </c>
      <c r="P84" s="258">
        <f>SUM($B$83:P83)</f>
        <v>-7341028.7999999998</v>
      </c>
      <c r="Q84" s="258">
        <f>SUM($B$83:Q83)</f>
        <v>-7390220.7999999998</v>
      </c>
      <c r="R84" s="258">
        <f>SUM($B$83:R83)</f>
        <v>-7836615.8553447332</v>
      </c>
      <c r="S84" s="258">
        <f>SUM($B$83:S83)</f>
        <v>-7878239.8553447332</v>
      </c>
      <c r="T84" s="258">
        <f>SUM($B$83:T83)</f>
        <v>-7916079.8553447332</v>
      </c>
      <c r="U84" s="258">
        <f>SUM($B$83:U83)</f>
        <v>-7950135.8553447332</v>
      </c>
      <c r="V84" s="258">
        <f>SUM($B$83:V83)</f>
        <v>-7982265.4553447329</v>
      </c>
      <c r="W84" s="258">
        <f>SUM($B$83:W83)</f>
        <v>-8008753.4553447329</v>
      </c>
      <c r="X84" s="258">
        <f>SUM($B$83:X83)</f>
        <v>-8432444.5106894653</v>
      </c>
      <c r="Y84" s="258">
        <f>SUM($B$83:Y83)</f>
        <v>-8451364.5106894653</v>
      </c>
      <c r="Z84" s="258">
        <f>SUM($B$83:Z83)</f>
        <v>-8466500.5106894653</v>
      </c>
      <c r="AA84" s="258">
        <f>SUM($B$83:AA83)</f>
        <v>-8477852.5106894653</v>
      </c>
      <c r="AB84" s="258">
        <f>SUM($B$83:AB83)</f>
        <v>-8485420.5106894653</v>
      </c>
      <c r="AC84" s="258">
        <f>SUM($B$83:AC83)</f>
        <v>-8485420.5106894653</v>
      </c>
      <c r="AD84" s="258">
        <f>SUM($B$83:AD83)</f>
        <v>-8487278.110689465</v>
      </c>
      <c r="AE84" s="258">
        <f>SUM($B$83:AE83)</f>
        <v>-8487278.110689465</v>
      </c>
    </row>
    <row r="85" spans="1:31" s="262" customFormat="1" ht="27" customHeight="1" x14ac:dyDescent="0.2">
      <c r="A85" s="335" t="s">
        <v>522</v>
      </c>
      <c r="B85" s="336">
        <f t="shared" ref="B85:AE85" si="19">1/POWER((1+$B$43),B73)</f>
        <v>0.95402649883562884</v>
      </c>
      <c r="C85" s="336">
        <f t="shared" si="19"/>
        <v>0.86832301705254278</v>
      </c>
      <c r="D85" s="336">
        <f t="shared" si="19"/>
        <v>0.79031857381682236</v>
      </c>
      <c r="E85" s="336">
        <f t="shared" si="19"/>
        <v>0.71932153801476506</v>
      </c>
      <c r="F85" s="336">
        <f t="shared" si="19"/>
        <v>0.65470241013449082</v>
      </c>
      <c r="G85" s="336">
        <f t="shared" si="19"/>
        <v>0.59588824077044755</v>
      </c>
      <c r="H85" s="336">
        <f t="shared" si="19"/>
        <v>0.54235755053285484</v>
      </c>
      <c r="I85" s="336">
        <f t="shared" si="19"/>
        <v>0.49363570631915432</v>
      </c>
      <c r="J85" s="336">
        <f t="shared" si="19"/>
        <v>0.44929071295090039</v>
      </c>
      <c r="K85" s="336">
        <f t="shared" si="19"/>
        <v>0.40892938286238317</v>
      </c>
      <c r="L85" s="336">
        <f t="shared" si="19"/>
        <v>0.37219384987929666</v>
      </c>
      <c r="M85" s="336">
        <f t="shared" si="19"/>
        <v>0.3387583961766602</v>
      </c>
      <c r="N85" s="336">
        <f t="shared" si="19"/>
        <v>0.30832656428202437</v>
      </c>
      <c r="O85" s="336">
        <f t="shared" si="19"/>
        <v>0.28062852851736092</v>
      </c>
      <c r="P85" s="336">
        <f t="shared" si="19"/>
        <v>0.25541870257336935</v>
      </c>
      <c r="Q85" s="336">
        <f t="shared" si="19"/>
        <v>0.23247356200361272</v>
      </c>
      <c r="R85" s="336">
        <f t="shared" si="19"/>
        <v>0.21158966233149432</v>
      </c>
      <c r="S85" s="336">
        <f t="shared" si="19"/>
        <v>0.19258183519750091</v>
      </c>
      <c r="T85" s="336">
        <f t="shared" si="19"/>
        <v>0.17528154655274497</v>
      </c>
      <c r="U85" s="336">
        <f t="shared" si="19"/>
        <v>0.15953540234162647</v>
      </c>
      <c r="V85" s="336">
        <f t="shared" si="19"/>
        <v>0.14520378842416171</v>
      </c>
      <c r="W85" s="336">
        <f t="shared" si="19"/>
        <v>0.13215963267876735</v>
      </c>
      <c r="X85" s="336">
        <f t="shared" si="19"/>
        <v>0.12028727830960895</v>
      </c>
      <c r="Y85" s="336">
        <f t="shared" si="19"/>
        <v>0.10948145836862559</v>
      </c>
      <c r="Z85" s="336">
        <f t="shared" si="19"/>
        <v>9.9646362399768443E-2</v>
      </c>
      <c r="AA85" s="336">
        <f t="shared" si="19"/>
        <v>9.0694786929797461E-2</v>
      </c>
      <c r="AB85" s="336">
        <f t="shared" si="19"/>
        <v>8.2547362273411681E-2</v>
      </c>
      <c r="AC85" s="336">
        <f t="shared" si="19"/>
        <v>7.5131848797134526E-2</v>
      </c>
      <c r="AD85" s="336">
        <f t="shared" si="19"/>
        <v>6.8382496402234039E-2</v>
      </c>
      <c r="AE85" s="336">
        <f t="shared" si="19"/>
        <v>6.2239461547496142E-2</v>
      </c>
    </row>
    <row r="86" spans="1:31" s="262" customFormat="1" ht="12.75" x14ac:dyDescent="0.2">
      <c r="A86" s="334" t="s">
        <v>563</v>
      </c>
      <c r="B86" s="258">
        <f t="shared" ref="B86:AE86" si="20">B83*B85</f>
        <v>-890106.72341364168</v>
      </c>
      <c r="C86" s="258">
        <f t="shared" si="20"/>
        <v>-1877588.7529409861</v>
      </c>
      <c r="D86" s="258">
        <f t="shared" si="20"/>
        <v>-2590914.0256408695</v>
      </c>
      <c r="E86" s="258">
        <f t="shared" si="20"/>
        <v>-65325.904796348907</v>
      </c>
      <c r="F86" s="258">
        <f t="shared" si="20"/>
        <v>-59457.454078773917</v>
      </c>
      <c r="G86" s="258">
        <f t="shared" si="20"/>
        <v>-51861.345370733594</v>
      </c>
      <c r="H86" s="258">
        <f t="shared" si="20"/>
        <v>-45150.181366759098</v>
      </c>
      <c r="I86" s="258">
        <f t="shared" si="20"/>
        <v>-39226.267766945282</v>
      </c>
      <c r="J86" s="258">
        <f t="shared" si="20"/>
        <v>-34002.321156124141</v>
      </c>
      <c r="K86" s="258">
        <f t="shared" si="20"/>
        <v>-29400.386910273901</v>
      </c>
      <c r="L86" s="258">
        <f t="shared" si="20"/>
        <v>-25581.329934823942</v>
      </c>
      <c r="M86" s="258">
        <f t="shared" si="20"/>
        <v>-21791.650109252198</v>
      </c>
      <c r="N86" s="258">
        <f t="shared" si="20"/>
        <v>-19240.070933701165</v>
      </c>
      <c r="O86" s="258">
        <f t="shared" si="20"/>
        <v>-15928.475278645406</v>
      </c>
      <c r="P86" s="258">
        <f t="shared" si="20"/>
        <v>-34794.157339354664</v>
      </c>
      <c r="Q86" s="258">
        <f t="shared" si="20"/>
        <v>-11435.839462081716</v>
      </c>
      <c r="R86" s="258">
        <f t="shared" si="20"/>
        <v>-94452.579026840758</v>
      </c>
      <c r="S86" s="258">
        <f t="shared" si="20"/>
        <v>-8016.026308260778</v>
      </c>
      <c r="T86" s="258">
        <f t="shared" si="20"/>
        <v>-6632.6537215558701</v>
      </c>
      <c r="U86" s="258">
        <f t="shared" si="20"/>
        <v>-5433.1376621464315</v>
      </c>
      <c r="V86" s="258">
        <f t="shared" si="20"/>
        <v>-4665.3396405529256</v>
      </c>
      <c r="W86" s="258">
        <f t="shared" si="20"/>
        <v>-3500.6443503951896</v>
      </c>
      <c r="X86" s="258">
        <f t="shared" si="20"/>
        <v>-50964.643891543819</v>
      </c>
      <c r="Y86" s="258">
        <f t="shared" si="20"/>
        <v>-2071.3891923343963</v>
      </c>
      <c r="Z86" s="258">
        <f t="shared" si="20"/>
        <v>-1508.2473412828951</v>
      </c>
      <c r="AA86" s="258">
        <f t="shared" si="20"/>
        <v>-1029.5672212270608</v>
      </c>
      <c r="AB86" s="258">
        <f t="shared" si="20"/>
        <v>-624.71843768517965</v>
      </c>
      <c r="AC86" s="258">
        <f t="shared" si="20"/>
        <v>0</v>
      </c>
      <c r="AD86" s="258">
        <f t="shared" si="20"/>
        <v>-127.02732531678039</v>
      </c>
      <c r="AE86" s="258">
        <f t="shared" si="20"/>
        <v>0</v>
      </c>
    </row>
    <row r="87" spans="1:31" s="262" customFormat="1" ht="12.75" x14ac:dyDescent="0.2">
      <c r="A87" s="334" t="s">
        <v>564</v>
      </c>
      <c r="B87" s="258">
        <f>SUM($B$86:B86)</f>
        <v>-890106.72341364168</v>
      </c>
      <c r="C87" s="258">
        <f>SUM($B$86:C86)</f>
        <v>-2767695.4763546279</v>
      </c>
      <c r="D87" s="258">
        <f>SUM($B$86:D86)</f>
        <v>-5358609.5019954974</v>
      </c>
      <c r="E87" s="258">
        <f>SUM($B$86:E86)</f>
        <v>-5423935.4067918463</v>
      </c>
      <c r="F87" s="258">
        <f>SUM($B$86:F86)</f>
        <v>-5483392.8608706202</v>
      </c>
      <c r="G87" s="258">
        <f>SUM($B$86:G86)</f>
        <v>-5535254.2062413534</v>
      </c>
      <c r="H87" s="258">
        <f>SUM($B$86:H86)</f>
        <v>-5580404.3876081128</v>
      </c>
      <c r="I87" s="258">
        <f>SUM($B$86:I86)</f>
        <v>-5619630.6553750578</v>
      </c>
      <c r="J87" s="258">
        <f>SUM($B$86:J86)</f>
        <v>-5653632.9765311824</v>
      </c>
      <c r="K87" s="258">
        <f>SUM($B$86:K86)</f>
        <v>-5683033.3634414561</v>
      </c>
      <c r="L87" s="258">
        <f>SUM($B$86:L86)</f>
        <v>-5708614.6933762804</v>
      </c>
      <c r="M87" s="258">
        <f>SUM($B$86:M86)</f>
        <v>-5730406.3434855323</v>
      </c>
      <c r="N87" s="258">
        <f>SUM($B$86:N86)</f>
        <v>-5749646.4144192338</v>
      </c>
      <c r="O87" s="258">
        <f>SUM($B$86:O86)</f>
        <v>-5765574.8896978796</v>
      </c>
      <c r="P87" s="258">
        <f>SUM($B$86:P86)</f>
        <v>-5800369.0470372345</v>
      </c>
      <c r="Q87" s="258">
        <f>SUM($B$86:Q86)</f>
        <v>-5811804.8864993164</v>
      </c>
      <c r="R87" s="258">
        <f>SUM($B$86:R86)</f>
        <v>-5906257.4655261571</v>
      </c>
      <c r="S87" s="258">
        <f>SUM($B$86:S86)</f>
        <v>-5914273.4918344179</v>
      </c>
      <c r="T87" s="258">
        <f>SUM($B$86:T86)</f>
        <v>-5920906.145555974</v>
      </c>
      <c r="U87" s="258">
        <f>SUM($B$86:U86)</f>
        <v>-5926339.2832181202</v>
      </c>
      <c r="V87" s="258">
        <f>SUM($B$86:V86)</f>
        <v>-5931004.6228586733</v>
      </c>
      <c r="W87" s="258">
        <f>SUM($B$86:W86)</f>
        <v>-5934505.2672090689</v>
      </c>
      <c r="X87" s="258">
        <f>SUM($B$86:X86)</f>
        <v>-5985469.911100613</v>
      </c>
      <c r="Y87" s="258">
        <f>SUM($B$86:Y86)</f>
        <v>-5987541.3002929473</v>
      </c>
      <c r="Z87" s="258">
        <f>SUM($B$86:Z86)</f>
        <v>-5989049.54763423</v>
      </c>
      <c r="AA87" s="258">
        <f>SUM($B$86:AA86)</f>
        <v>-5990079.1148554571</v>
      </c>
      <c r="AB87" s="258">
        <f>SUM($B$86:AB86)</f>
        <v>-5990703.8332931427</v>
      </c>
      <c r="AC87" s="258">
        <f>SUM($B$86:AC86)</f>
        <v>-5990703.8332931427</v>
      </c>
      <c r="AD87" s="258">
        <f>SUM($B$86:AD86)</f>
        <v>-5990830.8606184591</v>
      </c>
      <c r="AE87" s="258">
        <f>SUM($B$86:AE86)</f>
        <v>-5990830.8606184591</v>
      </c>
    </row>
    <row r="88" spans="1:31" s="262" customFormat="1" ht="12.75" x14ac:dyDescent="0.2">
      <c r="A88" s="334" t="s">
        <v>565</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row>
    <row r="89" spans="1:31" s="262" customFormat="1" ht="12.75" x14ac:dyDescent="0.2">
      <c r="A89" s="334" t="s">
        <v>566</v>
      </c>
      <c r="B89" s="338">
        <f>IF(AND(B84&gt;0,A84&lt;0),(B74-(B84/(B84-A84))),0)</f>
        <v>0</v>
      </c>
      <c r="C89" s="338">
        <f>IF(AND(C84&gt;0,B84&lt;0),(C74-(C84/(C84-B84))),0)</f>
        <v>0</v>
      </c>
      <c r="D89" s="338">
        <f>IF(AND(D84&gt;0,C84&lt;0),(D74-(D84/(D84-C84))),0)</f>
        <v>0</v>
      </c>
      <c r="E89" s="338">
        <f>IF(AND(E84&gt;0,D84&lt;0),(E74-(E84/(E84-D84))),0)</f>
        <v>0</v>
      </c>
      <c r="F89" s="338">
        <f>IF(AND(F84&gt;0,E84&lt;0),(F74-(F84/(F84-E84))),0)</f>
        <v>0</v>
      </c>
      <c r="G89" s="338">
        <f t="shared" ref="G89:AE89" si="21">IF(AND(G84&gt;0,F84&lt;0),(G74-(G84/(G84-F84))),0)</f>
        <v>0</v>
      </c>
      <c r="H89" s="338">
        <f t="shared" si="21"/>
        <v>0</v>
      </c>
      <c r="I89" s="338">
        <f t="shared" si="21"/>
        <v>0</v>
      </c>
      <c r="J89" s="338">
        <f t="shared" si="21"/>
        <v>0</v>
      </c>
      <c r="K89" s="338">
        <f t="shared" si="21"/>
        <v>0</v>
      </c>
      <c r="L89" s="338">
        <f t="shared" si="21"/>
        <v>0</v>
      </c>
      <c r="M89" s="338">
        <f t="shared" si="21"/>
        <v>0</v>
      </c>
      <c r="N89" s="338">
        <f t="shared" si="21"/>
        <v>0</v>
      </c>
      <c r="O89" s="338">
        <f t="shared" si="21"/>
        <v>0</v>
      </c>
      <c r="P89" s="338">
        <f t="shared" si="21"/>
        <v>0</v>
      </c>
      <c r="Q89" s="338">
        <f t="shared" si="21"/>
        <v>0</v>
      </c>
      <c r="R89" s="338">
        <f t="shared" si="21"/>
        <v>0</v>
      </c>
      <c r="S89" s="338">
        <f t="shared" si="21"/>
        <v>0</v>
      </c>
      <c r="T89" s="338">
        <f t="shared" si="21"/>
        <v>0</v>
      </c>
      <c r="U89" s="338">
        <f t="shared" si="21"/>
        <v>0</v>
      </c>
      <c r="V89" s="338">
        <f t="shared" si="21"/>
        <v>0</v>
      </c>
      <c r="W89" s="338">
        <f t="shared" si="21"/>
        <v>0</v>
      </c>
      <c r="X89" s="338">
        <f t="shared" si="21"/>
        <v>0</v>
      </c>
      <c r="Y89" s="338">
        <f t="shared" si="21"/>
        <v>0</v>
      </c>
      <c r="Z89" s="338">
        <f t="shared" si="21"/>
        <v>0</v>
      </c>
      <c r="AA89" s="338">
        <f t="shared" si="21"/>
        <v>0</v>
      </c>
      <c r="AB89" s="338">
        <f t="shared" si="21"/>
        <v>0</v>
      </c>
      <c r="AC89" s="338">
        <f t="shared" si="21"/>
        <v>0</v>
      </c>
      <c r="AD89" s="338">
        <f t="shared" si="21"/>
        <v>0</v>
      </c>
      <c r="AE89" s="338">
        <f t="shared" si="21"/>
        <v>0</v>
      </c>
    </row>
    <row r="90" spans="1:31" s="262" customFormat="1" ht="13.5" thickBot="1" x14ac:dyDescent="0.25">
      <c r="A90" s="339" t="s">
        <v>567</v>
      </c>
      <c r="B90" s="340">
        <f>IF(AND(B87&gt;0,A87&lt;0),(B74-(B87/(B87-A87))),0)</f>
        <v>0</v>
      </c>
      <c r="C90" s="340">
        <f t="shared" ref="C90:AE90" si="22">IF(AND(C87&gt;0,B87&lt;0),(C74-(C87/(C87-B87))),0)</f>
        <v>0</v>
      </c>
      <c r="D90" s="340">
        <f t="shared" si="22"/>
        <v>0</v>
      </c>
      <c r="E90" s="340">
        <f t="shared" si="22"/>
        <v>0</v>
      </c>
      <c r="F90" s="340">
        <f t="shared" si="22"/>
        <v>0</v>
      </c>
      <c r="G90" s="340">
        <f t="shared" si="22"/>
        <v>0</v>
      </c>
      <c r="H90" s="340">
        <f t="shared" si="22"/>
        <v>0</v>
      </c>
      <c r="I90" s="340">
        <f t="shared" si="22"/>
        <v>0</v>
      </c>
      <c r="J90" s="340">
        <f t="shared" si="22"/>
        <v>0</v>
      </c>
      <c r="K90" s="340">
        <f t="shared" si="22"/>
        <v>0</v>
      </c>
      <c r="L90" s="340">
        <f t="shared" si="22"/>
        <v>0</v>
      </c>
      <c r="M90" s="340">
        <f t="shared" si="22"/>
        <v>0</v>
      </c>
      <c r="N90" s="340">
        <f t="shared" si="22"/>
        <v>0</v>
      </c>
      <c r="O90" s="340">
        <f t="shared" si="22"/>
        <v>0</v>
      </c>
      <c r="P90" s="340">
        <f t="shared" si="22"/>
        <v>0</v>
      </c>
      <c r="Q90" s="340">
        <f t="shared" si="22"/>
        <v>0</v>
      </c>
      <c r="R90" s="340">
        <f t="shared" si="22"/>
        <v>0</v>
      </c>
      <c r="S90" s="340">
        <f t="shared" si="22"/>
        <v>0</v>
      </c>
      <c r="T90" s="340">
        <f t="shared" si="22"/>
        <v>0</v>
      </c>
      <c r="U90" s="340">
        <f t="shared" si="22"/>
        <v>0</v>
      </c>
      <c r="V90" s="340">
        <f t="shared" si="22"/>
        <v>0</v>
      </c>
      <c r="W90" s="340">
        <f t="shared" si="22"/>
        <v>0</v>
      </c>
      <c r="X90" s="340">
        <f t="shared" si="22"/>
        <v>0</v>
      </c>
      <c r="Y90" s="340">
        <f t="shared" si="22"/>
        <v>0</v>
      </c>
      <c r="Z90" s="340">
        <f t="shared" si="22"/>
        <v>0</v>
      </c>
      <c r="AA90" s="340">
        <f t="shared" si="22"/>
        <v>0</v>
      </c>
      <c r="AB90" s="340">
        <f t="shared" si="22"/>
        <v>0</v>
      </c>
      <c r="AC90" s="340">
        <f t="shared" si="22"/>
        <v>0</v>
      </c>
      <c r="AD90" s="340">
        <f t="shared" si="22"/>
        <v>0</v>
      </c>
      <c r="AE90" s="340">
        <f t="shared" si="22"/>
        <v>0</v>
      </c>
    </row>
    <row r="91" spans="1:31" s="262" customFormat="1" ht="12.75" x14ac:dyDescent="0.2">
      <c r="A91" s="341"/>
      <c r="B91" s="341">
        <v>2022</v>
      </c>
      <c r="C91" s="341">
        <f t="shared" ref="C91:R92" si="23">B91+1</f>
        <v>2023</v>
      </c>
      <c r="D91" s="341">
        <f t="shared" si="23"/>
        <v>2024</v>
      </c>
      <c r="E91" s="341">
        <f t="shared" si="23"/>
        <v>2025</v>
      </c>
      <c r="F91" s="341">
        <f t="shared" si="23"/>
        <v>2026</v>
      </c>
      <c r="G91" s="341">
        <f t="shared" si="23"/>
        <v>2027</v>
      </c>
      <c r="H91" s="341">
        <f t="shared" si="23"/>
        <v>2028</v>
      </c>
      <c r="I91" s="341">
        <f t="shared" si="23"/>
        <v>2029</v>
      </c>
      <c r="J91" s="341">
        <f t="shared" si="23"/>
        <v>2030</v>
      </c>
      <c r="K91" s="341">
        <f t="shared" si="23"/>
        <v>2031</v>
      </c>
      <c r="L91" s="341">
        <f t="shared" si="23"/>
        <v>2032</v>
      </c>
      <c r="M91" s="341">
        <f t="shared" si="23"/>
        <v>2033</v>
      </c>
      <c r="N91" s="341">
        <f t="shared" si="23"/>
        <v>2034</v>
      </c>
      <c r="O91" s="341">
        <f t="shared" si="23"/>
        <v>2035</v>
      </c>
      <c r="P91" s="341">
        <f t="shared" si="23"/>
        <v>2036</v>
      </c>
      <c r="Q91" s="341">
        <f t="shared" si="23"/>
        <v>2037</v>
      </c>
      <c r="R91" s="341">
        <f t="shared" si="23"/>
        <v>2038</v>
      </c>
      <c r="S91" s="341">
        <f t="shared" ref="S91:AE92" si="24">R91+1</f>
        <v>2039</v>
      </c>
      <c r="T91" s="341">
        <f t="shared" si="24"/>
        <v>2040</v>
      </c>
      <c r="U91" s="341">
        <f t="shared" si="24"/>
        <v>2041</v>
      </c>
      <c r="V91" s="341">
        <f t="shared" si="24"/>
        <v>2042</v>
      </c>
      <c r="W91" s="341">
        <f t="shared" si="24"/>
        <v>2043</v>
      </c>
      <c r="X91" s="341">
        <f t="shared" si="24"/>
        <v>2044</v>
      </c>
      <c r="Y91" s="341">
        <f t="shared" si="24"/>
        <v>2045</v>
      </c>
      <c r="Z91" s="341">
        <f t="shared" si="24"/>
        <v>2046</v>
      </c>
      <c r="AA91" s="341">
        <f t="shared" si="24"/>
        <v>2047</v>
      </c>
      <c r="AB91" s="341">
        <f t="shared" si="24"/>
        <v>2048</v>
      </c>
      <c r="AC91" s="341">
        <f t="shared" si="24"/>
        <v>2049</v>
      </c>
      <c r="AD91" s="341">
        <f t="shared" si="24"/>
        <v>2050</v>
      </c>
      <c r="AE91" s="341">
        <f t="shared" si="24"/>
        <v>2051</v>
      </c>
    </row>
    <row r="92" spans="1:31" s="343" customFormat="1" ht="12.75" x14ac:dyDescent="0.2">
      <c r="A92" s="342"/>
      <c r="B92" s="342">
        <v>1</v>
      </c>
      <c r="C92" s="342">
        <f>B92+1</f>
        <v>2</v>
      </c>
      <c r="D92" s="342">
        <f t="shared" si="23"/>
        <v>3</v>
      </c>
      <c r="E92" s="342">
        <f t="shared" si="23"/>
        <v>4</v>
      </c>
      <c r="F92" s="342">
        <f t="shared" si="23"/>
        <v>5</v>
      </c>
      <c r="G92" s="342">
        <f t="shared" si="23"/>
        <v>6</v>
      </c>
      <c r="H92" s="342">
        <f t="shared" si="23"/>
        <v>7</v>
      </c>
      <c r="I92" s="342">
        <f t="shared" si="23"/>
        <v>8</v>
      </c>
      <c r="J92" s="342">
        <f t="shared" si="23"/>
        <v>9</v>
      </c>
      <c r="K92" s="342">
        <f t="shared" si="23"/>
        <v>10</v>
      </c>
      <c r="L92" s="342">
        <f t="shared" si="23"/>
        <v>11</v>
      </c>
      <c r="M92" s="342">
        <f t="shared" si="23"/>
        <v>12</v>
      </c>
      <c r="N92" s="342">
        <f t="shared" si="23"/>
        <v>13</v>
      </c>
      <c r="O92" s="342">
        <f t="shared" si="23"/>
        <v>14</v>
      </c>
      <c r="P92" s="342">
        <f t="shared" si="23"/>
        <v>15</v>
      </c>
      <c r="Q92" s="342">
        <f t="shared" si="23"/>
        <v>16</v>
      </c>
      <c r="R92" s="342">
        <f t="shared" si="23"/>
        <v>17</v>
      </c>
      <c r="S92" s="342">
        <f t="shared" si="24"/>
        <v>18</v>
      </c>
      <c r="T92" s="342">
        <f t="shared" si="24"/>
        <v>19</v>
      </c>
      <c r="U92" s="342">
        <f t="shared" si="24"/>
        <v>20</v>
      </c>
      <c r="V92" s="342">
        <f t="shared" si="24"/>
        <v>21</v>
      </c>
      <c r="W92" s="342">
        <f t="shared" si="24"/>
        <v>22</v>
      </c>
      <c r="X92" s="342">
        <f t="shared" si="24"/>
        <v>23</v>
      </c>
      <c r="Y92" s="342">
        <f t="shared" si="24"/>
        <v>24</v>
      </c>
      <c r="Z92" s="342">
        <f t="shared" si="24"/>
        <v>25</v>
      </c>
      <c r="AA92" s="342">
        <f t="shared" si="24"/>
        <v>26</v>
      </c>
      <c r="AB92" s="342">
        <f t="shared" si="24"/>
        <v>27</v>
      </c>
      <c r="AC92" s="342">
        <f t="shared" si="24"/>
        <v>28</v>
      </c>
      <c r="AD92" s="342">
        <f t="shared" si="24"/>
        <v>29</v>
      </c>
      <c r="AE92" s="342">
        <f t="shared" si="24"/>
        <v>30</v>
      </c>
    </row>
    <row r="93" spans="1:31" s="262" customFormat="1" ht="12.75" x14ac:dyDescent="0.2">
      <c r="A93" s="467" t="s">
        <v>568</v>
      </c>
      <c r="B93" s="467"/>
      <c r="C93" s="467"/>
      <c r="D93" s="467"/>
      <c r="E93" s="467"/>
      <c r="F93" s="467"/>
      <c r="G93" s="467"/>
      <c r="H93" s="467"/>
      <c r="I93" s="467"/>
      <c r="J93" s="467"/>
      <c r="K93" s="467"/>
      <c r="L93" s="467"/>
      <c r="M93" s="467"/>
      <c r="N93" s="467"/>
      <c r="O93" s="467"/>
      <c r="P93" s="467"/>
      <c r="Q93" s="467"/>
      <c r="R93" s="467"/>
      <c r="S93" s="467"/>
      <c r="T93" s="467"/>
      <c r="U93" s="467"/>
      <c r="V93" s="467"/>
      <c r="W93" s="467"/>
      <c r="X93" s="467"/>
      <c r="Y93" s="467"/>
      <c r="Z93" s="467"/>
      <c r="AA93" s="467"/>
      <c r="AB93" s="467"/>
      <c r="AC93" s="467"/>
    </row>
    <row r="94" spans="1:31" s="262" customFormat="1" ht="12.75" x14ac:dyDescent="0.2">
      <c r="A94" s="467" t="s">
        <v>569</v>
      </c>
      <c r="B94" s="467"/>
      <c r="C94" s="467"/>
      <c r="D94" s="467"/>
      <c r="E94" s="467"/>
      <c r="F94" s="467"/>
      <c r="G94" s="467"/>
      <c r="H94" s="467"/>
      <c r="I94" s="467"/>
      <c r="J94" s="272"/>
      <c r="K94" s="272"/>
      <c r="L94" s="272"/>
      <c r="M94" s="272"/>
      <c r="N94" s="272"/>
      <c r="O94" s="272"/>
      <c r="P94" s="272"/>
      <c r="Q94" s="272"/>
      <c r="R94" s="272"/>
      <c r="S94" s="272"/>
      <c r="T94" s="272"/>
      <c r="U94" s="272"/>
      <c r="V94" s="272"/>
      <c r="W94" s="272"/>
      <c r="X94" s="272"/>
      <c r="Y94" s="272"/>
      <c r="Z94" s="272"/>
      <c r="AA94" s="272"/>
      <c r="AB94" s="272"/>
      <c r="AC94" s="272"/>
    </row>
    <row r="95" spans="1:31" s="262" customFormat="1" ht="12.75" x14ac:dyDescent="0.2">
      <c r="A95" s="272"/>
      <c r="B95" s="272"/>
      <c r="C95" s="344"/>
      <c r="D95" s="272"/>
      <c r="E95" s="272"/>
      <c r="F95" s="272"/>
      <c r="G95" s="272"/>
      <c r="H95" s="272"/>
      <c r="I95" s="272"/>
      <c r="J95" s="272"/>
      <c r="K95" s="272"/>
      <c r="L95" s="272"/>
      <c r="M95" s="272"/>
      <c r="N95" s="272"/>
      <c r="O95" s="272"/>
      <c r="P95" s="272"/>
      <c r="Q95" s="272"/>
      <c r="R95" s="272"/>
      <c r="S95" s="272"/>
      <c r="T95" s="272"/>
      <c r="U95" s="272"/>
      <c r="V95" s="272"/>
      <c r="W95" s="272"/>
      <c r="X95" s="272"/>
      <c r="Y95" s="272"/>
      <c r="Z95" s="272"/>
      <c r="AA95" s="272"/>
      <c r="AB95" s="272"/>
      <c r="AC95" s="272"/>
    </row>
    <row r="96" spans="1:31" s="262" customFormat="1" ht="12.75" x14ac:dyDescent="0.2">
      <c r="A96" s="272"/>
      <c r="B96" s="272"/>
      <c r="C96" s="272"/>
      <c r="D96" s="272"/>
      <c r="E96" s="272"/>
      <c r="F96" s="272"/>
      <c r="G96" s="272"/>
      <c r="H96" s="272"/>
      <c r="I96" s="272"/>
      <c r="J96" s="272"/>
      <c r="K96" s="272"/>
      <c r="L96" s="272"/>
      <c r="M96" s="272"/>
      <c r="N96" s="272"/>
      <c r="O96" s="272"/>
      <c r="P96" s="272"/>
      <c r="Q96" s="272"/>
      <c r="R96" s="272"/>
      <c r="S96" s="272"/>
      <c r="T96" s="272"/>
      <c r="U96" s="272"/>
      <c r="V96" s="272"/>
      <c r="W96" s="272"/>
      <c r="X96" s="272"/>
      <c r="Y96" s="272"/>
      <c r="Z96" s="272"/>
      <c r="AA96" s="272"/>
      <c r="AB96" s="272"/>
      <c r="AC96" s="272"/>
    </row>
    <row r="97" spans="1:71" s="262" customFormat="1" ht="12.75" x14ac:dyDescent="0.2">
      <c r="N97" s="272"/>
    </row>
    <row r="98" spans="1:71" s="262" customFormat="1" ht="12.75" x14ac:dyDescent="0.2">
      <c r="N98" s="272"/>
    </row>
    <row r="99" spans="1:71" s="262" customFormat="1" ht="12.75" x14ac:dyDescent="0.2">
      <c r="N99" s="272"/>
    </row>
    <row r="100" spans="1:71" s="349" customFormat="1" ht="15.75" x14ac:dyDescent="0.2">
      <c r="A100" s="345" t="s">
        <v>570</v>
      </c>
      <c r="B100" s="346" t="e">
        <f>(A99+-A98)/-A98</f>
        <v>#DIV/0!</v>
      </c>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8"/>
      <c r="AR100" s="348"/>
      <c r="AS100" s="348"/>
    </row>
    <row r="101" spans="1:71" s="349" customFormat="1" ht="15.75" x14ac:dyDescent="0.2">
      <c r="A101" s="350"/>
      <c r="B101" s="347"/>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8"/>
      <c r="AR101" s="348"/>
      <c r="AS101" s="348"/>
    </row>
    <row r="102" spans="1:71" s="352" customFormat="1" ht="12.75" x14ac:dyDescent="0.2">
      <c r="A102" s="351" t="s">
        <v>571</v>
      </c>
      <c r="B102" s="351" t="s">
        <v>572</v>
      </c>
      <c r="C102" s="351" t="s">
        <v>573</v>
      </c>
      <c r="D102" s="351" t="s">
        <v>574</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8"/>
      <c r="AR102" s="348"/>
      <c r="AS102" s="348"/>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52" customFormat="1" ht="12.75" x14ac:dyDescent="0.2">
      <c r="A103" s="353" t="e">
        <f>G28/1000/1000</f>
        <v>#VALUE!</v>
      </c>
      <c r="B103" s="354">
        <f>L86</f>
        <v>-25581.329934823942</v>
      </c>
      <c r="C103" s="355">
        <f>G26</f>
        <v>0</v>
      </c>
      <c r="D103" s="355" t="str">
        <f>G27</f>
        <v>не окупается</v>
      </c>
      <c r="E103" s="352" t="s">
        <v>575</v>
      </c>
    </row>
    <row r="104" spans="1:71" s="352"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8"/>
      <c r="AR104" s="348"/>
      <c r="AS104" s="348"/>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52" customFormat="1" ht="12.75" x14ac:dyDescent="0.2">
      <c r="A105" s="356"/>
      <c r="B105" s="357">
        <v>2016</v>
      </c>
      <c r="C105" s="357">
        <v>2017</v>
      </c>
      <c r="D105" s="358">
        <f t="shared" ref="D105:AP105" si="25">C105+1</f>
        <v>2018</v>
      </c>
      <c r="E105" s="358">
        <f t="shared" si="25"/>
        <v>2019</v>
      </c>
      <c r="F105" s="358">
        <f t="shared" si="25"/>
        <v>2020</v>
      </c>
      <c r="G105" s="358">
        <f t="shared" si="25"/>
        <v>2021</v>
      </c>
      <c r="H105" s="358">
        <f t="shared" si="25"/>
        <v>2022</v>
      </c>
      <c r="I105" s="358">
        <f t="shared" si="25"/>
        <v>2023</v>
      </c>
      <c r="J105" s="358">
        <f t="shared" si="25"/>
        <v>2024</v>
      </c>
      <c r="K105" s="358">
        <f t="shared" si="25"/>
        <v>2025</v>
      </c>
      <c r="L105" s="358">
        <f t="shared" si="25"/>
        <v>2026</v>
      </c>
      <c r="M105" s="358">
        <f t="shared" si="25"/>
        <v>2027</v>
      </c>
      <c r="N105" s="358">
        <f t="shared" si="25"/>
        <v>2028</v>
      </c>
      <c r="O105" s="358">
        <f t="shared" si="25"/>
        <v>2029</v>
      </c>
      <c r="P105" s="358">
        <f t="shared" si="25"/>
        <v>2030</v>
      </c>
      <c r="Q105" s="358">
        <f t="shared" si="25"/>
        <v>2031</v>
      </c>
      <c r="R105" s="358">
        <f t="shared" si="25"/>
        <v>2032</v>
      </c>
      <c r="S105" s="358">
        <f t="shared" si="25"/>
        <v>2033</v>
      </c>
      <c r="T105" s="358">
        <f t="shared" si="25"/>
        <v>2034</v>
      </c>
      <c r="U105" s="358">
        <f t="shared" si="25"/>
        <v>2035</v>
      </c>
      <c r="V105" s="358">
        <f t="shared" si="25"/>
        <v>2036</v>
      </c>
      <c r="W105" s="358">
        <f t="shared" si="25"/>
        <v>2037</v>
      </c>
      <c r="X105" s="358">
        <f t="shared" si="25"/>
        <v>2038</v>
      </c>
      <c r="Y105" s="358">
        <f t="shared" si="25"/>
        <v>2039</v>
      </c>
      <c r="Z105" s="358">
        <f t="shared" si="25"/>
        <v>2040</v>
      </c>
      <c r="AA105" s="358">
        <f t="shared" si="25"/>
        <v>2041</v>
      </c>
      <c r="AB105" s="358">
        <f t="shared" si="25"/>
        <v>2042</v>
      </c>
      <c r="AC105" s="358">
        <f t="shared" si="25"/>
        <v>2043</v>
      </c>
      <c r="AD105" s="358">
        <f t="shared" si="25"/>
        <v>2044</v>
      </c>
      <c r="AE105" s="358">
        <f t="shared" si="25"/>
        <v>2045</v>
      </c>
      <c r="AF105" s="358">
        <f t="shared" si="25"/>
        <v>2046</v>
      </c>
      <c r="AG105" s="358">
        <f t="shared" si="25"/>
        <v>2047</v>
      </c>
      <c r="AH105" s="358">
        <f t="shared" si="25"/>
        <v>2048</v>
      </c>
      <c r="AI105" s="358">
        <f t="shared" si="25"/>
        <v>2049</v>
      </c>
      <c r="AJ105" s="358">
        <f t="shared" si="25"/>
        <v>2050</v>
      </c>
      <c r="AK105" s="358">
        <f t="shared" si="25"/>
        <v>2051</v>
      </c>
      <c r="AL105" s="358">
        <f t="shared" si="25"/>
        <v>2052</v>
      </c>
      <c r="AM105" s="358">
        <f t="shared" si="25"/>
        <v>2053</v>
      </c>
      <c r="AN105" s="358">
        <f t="shared" si="25"/>
        <v>2054</v>
      </c>
      <c r="AO105" s="358">
        <f t="shared" si="25"/>
        <v>2055</v>
      </c>
      <c r="AP105" s="358">
        <f t="shared" si="25"/>
        <v>2056</v>
      </c>
      <c r="AQ105" s="348"/>
      <c r="AR105" s="348"/>
      <c r="AS105" s="348"/>
      <c r="AT105" s="349"/>
      <c r="AU105" s="349"/>
      <c r="AV105" s="349"/>
      <c r="AW105" s="349"/>
      <c r="AX105" s="349"/>
      <c r="AY105" s="349"/>
      <c r="AZ105" s="349"/>
      <c r="BA105" s="349"/>
      <c r="BB105" s="349"/>
      <c r="BC105" s="349"/>
      <c r="BD105" s="349"/>
      <c r="BE105" s="349"/>
      <c r="BF105" s="349"/>
      <c r="BG105" s="349"/>
    </row>
    <row r="106" spans="1:71" s="352" customFormat="1" ht="25.5" x14ac:dyDescent="0.2">
      <c r="A106" s="359" t="s">
        <v>576</v>
      </c>
      <c r="B106" s="360"/>
      <c r="C106" s="360">
        <f>C107*$B$111*$B$112*1000</f>
        <v>0</v>
      </c>
      <c r="D106" s="360">
        <f>D107*$B$111*$B$112*1000</f>
        <v>0</v>
      </c>
      <c r="E106" s="360">
        <f>E107*$B$110*$B$109*1000</f>
        <v>0</v>
      </c>
      <c r="F106" s="360">
        <f t="shared" ref="F106:L106" si="26">F107*$B$110*$B$109*1000</f>
        <v>0</v>
      </c>
      <c r="G106" s="360">
        <f t="shared" si="26"/>
        <v>0</v>
      </c>
      <c r="H106" s="360">
        <f t="shared" si="26"/>
        <v>0</v>
      </c>
      <c r="I106" s="360">
        <f t="shared" si="26"/>
        <v>0</v>
      </c>
      <c r="J106" s="360">
        <f>J107*$B$110*$B$109*1000</f>
        <v>0</v>
      </c>
      <c r="K106" s="360">
        <f t="shared" si="26"/>
        <v>0</v>
      </c>
      <c r="L106" s="360">
        <f t="shared" si="26"/>
        <v>0</v>
      </c>
      <c r="M106" s="360">
        <f>M107*$B$110*$B$109*1000</f>
        <v>0</v>
      </c>
      <c r="N106" s="360">
        <f t="shared" ref="N106:AP106" si="27">N107*$B$110*$B$109*1000</f>
        <v>0</v>
      </c>
      <c r="O106" s="360">
        <f t="shared" si="27"/>
        <v>0</v>
      </c>
      <c r="P106" s="360">
        <f t="shared" si="27"/>
        <v>0</v>
      </c>
      <c r="Q106" s="360">
        <f t="shared" si="27"/>
        <v>0</v>
      </c>
      <c r="R106" s="360">
        <f t="shared" si="27"/>
        <v>0</v>
      </c>
      <c r="S106" s="360">
        <f t="shared" si="27"/>
        <v>0</v>
      </c>
      <c r="T106" s="360">
        <f t="shared" si="27"/>
        <v>0</v>
      </c>
      <c r="U106" s="360">
        <f t="shared" si="27"/>
        <v>0</v>
      </c>
      <c r="V106" s="360">
        <f t="shared" si="27"/>
        <v>0</v>
      </c>
      <c r="W106" s="360">
        <f t="shared" si="27"/>
        <v>0</v>
      </c>
      <c r="X106" s="360">
        <f t="shared" si="27"/>
        <v>0</v>
      </c>
      <c r="Y106" s="360">
        <f t="shared" si="27"/>
        <v>0</v>
      </c>
      <c r="Z106" s="360">
        <f t="shared" si="27"/>
        <v>0</v>
      </c>
      <c r="AA106" s="360">
        <f t="shared" si="27"/>
        <v>0</v>
      </c>
      <c r="AB106" s="360">
        <f t="shared" si="27"/>
        <v>0</v>
      </c>
      <c r="AC106" s="360">
        <f t="shared" si="27"/>
        <v>0</v>
      </c>
      <c r="AD106" s="360">
        <f t="shared" si="27"/>
        <v>0</v>
      </c>
      <c r="AE106" s="360">
        <f t="shared" si="27"/>
        <v>0</v>
      </c>
      <c r="AF106" s="360">
        <f t="shared" si="27"/>
        <v>0</v>
      </c>
      <c r="AG106" s="360">
        <f t="shared" si="27"/>
        <v>0</v>
      </c>
      <c r="AH106" s="360">
        <f t="shared" si="27"/>
        <v>0</v>
      </c>
      <c r="AI106" s="360">
        <f t="shared" si="27"/>
        <v>0</v>
      </c>
      <c r="AJ106" s="360">
        <f t="shared" si="27"/>
        <v>0</v>
      </c>
      <c r="AK106" s="360">
        <f t="shared" si="27"/>
        <v>0</v>
      </c>
      <c r="AL106" s="360">
        <f t="shared" si="27"/>
        <v>0</v>
      </c>
      <c r="AM106" s="360">
        <f t="shared" si="27"/>
        <v>0</v>
      </c>
      <c r="AN106" s="360">
        <f t="shared" si="27"/>
        <v>0</v>
      </c>
      <c r="AO106" s="360">
        <f t="shared" si="27"/>
        <v>0</v>
      </c>
      <c r="AP106" s="360">
        <f t="shared" si="27"/>
        <v>0</v>
      </c>
      <c r="AQ106" s="348"/>
      <c r="AR106" s="348"/>
      <c r="AS106" s="348"/>
      <c r="AT106" s="349"/>
      <c r="AU106" s="349"/>
      <c r="AV106" s="349"/>
      <c r="AW106" s="349"/>
      <c r="AX106" s="349"/>
      <c r="AY106" s="349"/>
      <c r="AZ106" s="349"/>
      <c r="BA106" s="349"/>
      <c r="BB106" s="349"/>
      <c r="BC106" s="349"/>
      <c r="BD106" s="349"/>
      <c r="BE106" s="349"/>
      <c r="BF106" s="349"/>
      <c r="BG106" s="349"/>
    </row>
    <row r="107" spans="1:71" s="352" customFormat="1" ht="12.75" x14ac:dyDescent="0.2">
      <c r="A107" s="359" t="s">
        <v>577</v>
      </c>
      <c r="B107" s="358"/>
      <c r="C107" s="358">
        <f t="shared" ref="C107:E107" si="28">B107+$I$120*C111</f>
        <v>0</v>
      </c>
      <c r="D107" s="358">
        <f t="shared" si="28"/>
        <v>0</v>
      </c>
      <c r="E107" s="358">
        <f t="shared" si="28"/>
        <v>0</v>
      </c>
      <c r="F107" s="358">
        <f>E107+$I$118*F111</f>
        <v>0</v>
      </c>
      <c r="G107" s="358">
        <f>F107+$I$118*G111</f>
        <v>0</v>
      </c>
      <c r="H107" s="358">
        <f t="shared" ref="H107:J107" si="29">G107+$I$118*H111</f>
        <v>0</v>
      </c>
      <c r="I107" s="358">
        <f>H107+$I$118*I111</f>
        <v>0</v>
      </c>
      <c r="J107" s="358">
        <f t="shared" si="29"/>
        <v>0</v>
      </c>
      <c r="K107" s="358">
        <f t="shared" ref="K107" si="30">J107+$I$118*K111</f>
        <v>0</v>
      </c>
      <c r="L107" s="358">
        <f t="shared" ref="L107" si="31">K107+$I$118*L111</f>
        <v>0</v>
      </c>
      <c r="M107" s="358">
        <f t="shared" ref="M107" si="32">L107+$I$118*M111</f>
        <v>0</v>
      </c>
      <c r="N107" s="358">
        <f t="shared" ref="N107" si="33">M107+$I$118*N111</f>
        <v>0</v>
      </c>
      <c r="O107" s="358">
        <f t="shared" ref="O107" si="34">N107+$I$118*O111</f>
        <v>0</v>
      </c>
      <c r="P107" s="358">
        <f t="shared" ref="P107" si="35">O107+$I$118*P111</f>
        <v>0</v>
      </c>
      <c r="Q107" s="358">
        <f t="shared" ref="Q107" si="36">P107+$I$118*Q111</f>
        <v>0</v>
      </c>
      <c r="R107" s="358">
        <f t="shared" ref="R107" si="37">Q107+$I$118*R111</f>
        <v>0</v>
      </c>
      <c r="S107" s="358">
        <f t="shared" ref="S107" si="38">R107+$I$118*S111</f>
        <v>0</v>
      </c>
      <c r="T107" s="358">
        <f t="shared" ref="T107" si="39">S107+$I$118*T111</f>
        <v>0</v>
      </c>
      <c r="U107" s="358">
        <f t="shared" ref="U107" si="40">T107+$I$118*U111</f>
        <v>0</v>
      </c>
      <c r="V107" s="358">
        <f t="shared" ref="V107" si="41">U107+$I$118*V111</f>
        <v>0</v>
      </c>
      <c r="W107" s="358">
        <f t="shared" ref="W107" si="42">V107+$I$118*W111</f>
        <v>0</v>
      </c>
      <c r="X107" s="358">
        <f t="shared" ref="X107" si="43">W107+$I$118*X111</f>
        <v>0</v>
      </c>
      <c r="Y107" s="358">
        <f t="shared" ref="Y107" si="44">X107+$I$118*Y111</f>
        <v>0</v>
      </c>
      <c r="Z107" s="358">
        <f t="shared" ref="Z107" si="45">Y107+$I$118*Z111</f>
        <v>0</v>
      </c>
      <c r="AA107" s="358">
        <f t="shared" ref="AA107" si="46">Z107+$I$118*AA111</f>
        <v>0</v>
      </c>
      <c r="AB107" s="358">
        <f t="shared" ref="AB107" si="47">AA107+$I$118*AB111</f>
        <v>0</v>
      </c>
      <c r="AC107" s="358">
        <f t="shared" ref="AC107" si="48">AB107+$I$118*AC111</f>
        <v>0</v>
      </c>
      <c r="AD107" s="358">
        <f t="shared" ref="AD107" si="49">AC107+$I$118*AD111</f>
        <v>0</v>
      </c>
      <c r="AE107" s="358">
        <f t="shared" ref="AE107" si="50">AD107+$I$118*AE111</f>
        <v>0</v>
      </c>
      <c r="AF107" s="358">
        <f t="shared" ref="AF107" si="51">AE107+$I$118*AF111</f>
        <v>0</v>
      </c>
      <c r="AG107" s="358">
        <f t="shared" ref="AG107" si="52">AF107+$I$118*AG111</f>
        <v>0</v>
      </c>
      <c r="AH107" s="358">
        <f t="shared" ref="AH107" si="53">AG107+$I$118*AH111</f>
        <v>0</v>
      </c>
      <c r="AI107" s="358">
        <f t="shared" ref="AI107" si="54">AH107+$I$118*AI111</f>
        <v>0</v>
      </c>
      <c r="AJ107" s="358">
        <f t="shared" ref="AJ107" si="55">AI107+$I$118*AJ111</f>
        <v>0</v>
      </c>
      <c r="AK107" s="358">
        <f t="shared" ref="AK107" si="56">AJ107+$I$118*AK111</f>
        <v>0</v>
      </c>
      <c r="AL107" s="358">
        <f t="shared" ref="AL107" si="57">AK107+$I$118*AL111</f>
        <v>0</v>
      </c>
      <c r="AM107" s="358">
        <f t="shared" ref="AM107" si="58">AL107+$I$118*AM111</f>
        <v>0</v>
      </c>
      <c r="AN107" s="358">
        <f t="shared" ref="AN107" si="59">AM107+$I$118*AN111</f>
        <v>0</v>
      </c>
      <c r="AO107" s="358">
        <f t="shared" ref="AO107" si="60">AN107+$I$118*AO111</f>
        <v>0</v>
      </c>
      <c r="AP107" s="358">
        <f t="shared" ref="AP107" si="61">AO107+$I$118*AP111</f>
        <v>0</v>
      </c>
      <c r="AQ107" s="348"/>
      <c r="AR107" s="348"/>
      <c r="AS107" s="348"/>
      <c r="AT107" s="349"/>
      <c r="AU107" s="349"/>
      <c r="AV107" s="349"/>
      <c r="AW107" s="349"/>
      <c r="AX107" s="349"/>
      <c r="AY107" s="349"/>
      <c r="AZ107" s="349"/>
      <c r="BA107" s="349"/>
      <c r="BB107" s="349"/>
      <c r="BC107" s="349"/>
      <c r="BD107" s="349"/>
      <c r="BE107" s="349"/>
      <c r="BF107" s="349"/>
      <c r="BG107" s="349"/>
    </row>
    <row r="108" spans="1:71" s="352" customFormat="1" ht="12.75" x14ac:dyDescent="0.2">
      <c r="A108" s="359" t="s">
        <v>578</v>
      </c>
      <c r="B108" s="361">
        <v>0.93</v>
      </c>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AI108" s="358"/>
      <c r="AJ108" s="358"/>
      <c r="AK108" s="358"/>
      <c r="AL108" s="358"/>
      <c r="AM108" s="358"/>
      <c r="AN108" s="358"/>
      <c r="AO108" s="358"/>
      <c r="AP108" s="358"/>
      <c r="AQ108" s="348"/>
      <c r="AR108" s="348"/>
      <c r="AS108" s="348"/>
      <c r="AT108" s="349"/>
      <c r="AU108" s="349"/>
      <c r="AV108" s="349"/>
      <c r="AW108" s="349"/>
      <c r="AX108" s="349"/>
      <c r="AY108" s="349"/>
      <c r="AZ108" s="349"/>
      <c r="BA108" s="349"/>
      <c r="BB108" s="349"/>
      <c r="BC108" s="349"/>
      <c r="BD108" s="349"/>
      <c r="BE108" s="349"/>
      <c r="BF108" s="349"/>
      <c r="BG108" s="349"/>
    </row>
    <row r="109" spans="1:71" s="352" customFormat="1" ht="12.75" x14ac:dyDescent="0.2">
      <c r="A109" s="359" t="s">
        <v>579</v>
      </c>
      <c r="B109" s="361">
        <v>4380</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8"/>
      <c r="AH109" s="358"/>
      <c r="AI109" s="358"/>
      <c r="AJ109" s="358"/>
      <c r="AK109" s="358"/>
      <c r="AL109" s="358"/>
      <c r="AM109" s="358"/>
      <c r="AN109" s="358"/>
      <c r="AO109" s="358"/>
      <c r="AP109" s="358"/>
      <c r="AQ109" s="348"/>
      <c r="AR109" s="348"/>
      <c r="AS109" s="348"/>
      <c r="AT109" s="349"/>
      <c r="AU109" s="349"/>
      <c r="AV109" s="349"/>
      <c r="AW109" s="349"/>
      <c r="AX109" s="349"/>
      <c r="AY109" s="349"/>
      <c r="AZ109" s="349"/>
      <c r="BA109" s="349"/>
      <c r="BB109" s="349"/>
      <c r="BC109" s="349"/>
      <c r="BD109" s="349"/>
      <c r="BE109" s="349"/>
      <c r="BF109" s="349"/>
      <c r="BG109" s="349"/>
    </row>
    <row r="110" spans="1:71" s="352" customFormat="1" ht="12.75" x14ac:dyDescent="0.2">
      <c r="A110" s="359" t="s">
        <v>580</v>
      </c>
      <c r="B110" s="357">
        <f>$B$129</f>
        <v>0.74426999999999999</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348"/>
      <c r="AR110" s="348"/>
      <c r="AS110" s="348"/>
      <c r="AT110" s="349"/>
      <c r="AU110" s="349"/>
      <c r="AV110" s="349"/>
      <c r="AW110" s="349"/>
      <c r="AX110" s="349"/>
      <c r="AY110" s="349"/>
      <c r="AZ110" s="349"/>
      <c r="BA110" s="349"/>
      <c r="BB110" s="349"/>
      <c r="BC110" s="349"/>
      <c r="BD110" s="349"/>
      <c r="BE110" s="349"/>
      <c r="BF110" s="349"/>
      <c r="BG110" s="349"/>
    </row>
    <row r="111" spans="1:71" s="352" customFormat="1" x14ac:dyDescent="0.2">
      <c r="A111" s="362" t="s">
        <v>581</v>
      </c>
      <c r="B111" s="363">
        <v>0</v>
      </c>
      <c r="C111" s="364">
        <v>0</v>
      </c>
      <c r="D111" s="364">
        <v>0</v>
      </c>
      <c r="E111" s="364">
        <v>0</v>
      </c>
      <c r="F111" s="363">
        <v>0</v>
      </c>
      <c r="G111" s="363">
        <v>0</v>
      </c>
      <c r="H111" s="363">
        <v>0</v>
      </c>
      <c r="I111" s="363">
        <v>0</v>
      </c>
      <c r="J111" s="363">
        <v>0</v>
      </c>
      <c r="K111" s="363">
        <v>0</v>
      </c>
      <c r="L111" s="363">
        <v>0</v>
      </c>
      <c r="M111" s="363">
        <v>0</v>
      </c>
      <c r="N111" s="363">
        <v>0</v>
      </c>
      <c r="O111" s="363">
        <v>0</v>
      </c>
      <c r="P111" s="363">
        <v>0</v>
      </c>
      <c r="Q111" s="363">
        <v>0</v>
      </c>
      <c r="R111" s="363">
        <v>0</v>
      </c>
      <c r="S111" s="363">
        <v>0</v>
      </c>
      <c r="T111" s="363">
        <v>0</v>
      </c>
      <c r="U111" s="363">
        <v>0</v>
      </c>
      <c r="V111" s="363">
        <v>0</v>
      </c>
      <c r="W111" s="363">
        <v>0</v>
      </c>
      <c r="X111" s="363">
        <v>0</v>
      </c>
      <c r="Y111" s="363">
        <v>0</v>
      </c>
      <c r="Z111" s="363">
        <v>0</v>
      </c>
      <c r="AA111" s="363">
        <v>0</v>
      </c>
      <c r="AB111" s="363">
        <v>0</v>
      </c>
      <c r="AC111" s="363">
        <v>0</v>
      </c>
      <c r="AD111" s="363">
        <v>0</v>
      </c>
      <c r="AE111" s="363">
        <v>0</v>
      </c>
      <c r="AF111" s="363">
        <v>0</v>
      </c>
      <c r="AG111" s="363">
        <v>0</v>
      </c>
      <c r="AH111" s="363">
        <v>0</v>
      </c>
      <c r="AI111" s="363">
        <v>0</v>
      </c>
      <c r="AJ111" s="363">
        <v>0</v>
      </c>
      <c r="AK111" s="363">
        <v>0</v>
      </c>
      <c r="AL111" s="363">
        <v>0</v>
      </c>
      <c r="AM111" s="363">
        <v>0</v>
      </c>
      <c r="AN111" s="363">
        <v>0</v>
      </c>
      <c r="AO111" s="363">
        <v>0</v>
      </c>
      <c r="AP111" s="363">
        <v>0</v>
      </c>
      <c r="AQ111" s="348"/>
      <c r="AR111" s="348"/>
      <c r="AS111" s="348"/>
      <c r="AT111" s="349"/>
      <c r="AU111" s="349"/>
      <c r="AV111" s="349"/>
      <c r="AW111" s="349"/>
      <c r="AX111" s="349"/>
      <c r="AY111" s="349"/>
      <c r="AZ111" s="349"/>
      <c r="BA111" s="349"/>
      <c r="BB111" s="349"/>
      <c r="BC111" s="349"/>
      <c r="BD111" s="349"/>
      <c r="BE111" s="349"/>
      <c r="BF111" s="349"/>
      <c r="BG111" s="349"/>
    </row>
    <row r="112" spans="1:71" s="352"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8"/>
      <c r="AR112" s="348"/>
      <c r="AS112" s="348"/>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52"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8"/>
      <c r="AR113" s="348"/>
      <c r="AS113" s="348"/>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52" customFormat="1" ht="12.75" x14ac:dyDescent="0.2">
      <c r="A114" s="356"/>
      <c r="B114" s="468" t="s">
        <v>582</v>
      </c>
      <c r="C114" s="469"/>
      <c r="D114" s="468" t="s">
        <v>583</v>
      </c>
      <c r="E114" s="469"/>
      <c r="F114" s="356"/>
      <c r="G114" s="356"/>
      <c r="H114" s="356"/>
      <c r="I114" s="356"/>
      <c r="J114" s="356"/>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8"/>
      <c r="AR114" s="348"/>
      <c r="AS114" s="348"/>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52" customFormat="1" ht="12.75" x14ac:dyDescent="0.2">
      <c r="A115" s="359" t="s">
        <v>584</v>
      </c>
      <c r="B115" s="365"/>
      <c r="C115" s="356" t="s">
        <v>585</v>
      </c>
      <c r="D115" s="365">
        <v>16</v>
      </c>
      <c r="E115" s="356" t="s">
        <v>585</v>
      </c>
      <c r="F115" s="356"/>
      <c r="G115" s="356"/>
      <c r="H115" s="356"/>
      <c r="I115" s="356"/>
      <c r="J115" s="356"/>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8"/>
      <c r="AR115" s="348"/>
      <c r="AS115" s="348"/>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52" customFormat="1" ht="38.25" x14ac:dyDescent="0.2">
      <c r="A116" s="359" t="s">
        <v>584</v>
      </c>
      <c r="B116" s="356">
        <f>$B$110*B115</f>
        <v>0</v>
      </c>
      <c r="C116" s="356" t="s">
        <v>125</v>
      </c>
      <c r="D116" s="356">
        <f>D115*B108</f>
        <v>14.88</v>
      </c>
      <c r="E116" s="356" t="s">
        <v>125</v>
      </c>
      <c r="F116" s="359" t="s">
        <v>586</v>
      </c>
      <c r="G116" s="356">
        <f>D115-B115</f>
        <v>16</v>
      </c>
      <c r="H116" s="356" t="s">
        <v>585</v>
      </c>
      <c r="I116" s="356">
        <f>$B$108*G116</f>
        <v>14.88</v>
      </c>
      <c r="J116" s="356"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8"/>
      <c r="AR116" s="348"/>
      <c r="AS116" s="348"/>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52" customFormat="1" ht="25.5" x14ac:dyDescent="0.2">
      <c r="A117" s="356"/>
      <c r="B117" s="356"/>
      <c r="C117" s="356"/>
      <c r="D117" s="356"/>
      <c r="E117" s="356"/>
      <c r="F117" s="359" t="s">
        <v>587</v>
      </c>
      <c r="G117" s="366">
        <v>9.4623655913978499</v>
      </c>
      <c r="H117" s="356" t="s">
        <v>585</v>
      </c>
      <c r="I117" s="365">
        <f>'[1]2. паспорт  ТП'!H22</f>
        <v>8.8000000000000007</v>
      </c>
      <c r="J117" s="356"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8"/>
      <c r="AR117" s="348"/>
      <c r="AS117" s="348"/>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52" customFormat="1" ht="51" x14ac:dyDescent="0.2">
      <c r="A118" s="367"/>
      <c r="B118" s="368"/>
      <c r="C118" s="368"/>
      <c r="D118" s="368"/>
      <c r="E118" s="368"/>
      <c r="F118" s="369" t="s">
        <v>588</v>
      </c>
      <c r="G118" s="356">
        <f>G116</f>
        <v>16</v>
      </c>
      <c r="H118" s="356" t="s">
        <v>585</v>
      </c>
      <c r="I118" s="361">
        <f>I116</f>
        <v>14.88</v>
      </c>
      <c r="J118" s="356"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8"/>
      <c r="AR118" s="348"/>
      <c r="AS118" s="348"/>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52" customFormat="1" ht="13.5" thickBot="1" x14ac:dyDescent="0.25">
      <c r="A119" s="370"/>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8"/>
      <c r="AR119" s="348"/>
      <c r="AS119" s="348"/>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52" customFormat="1" ht="15.75" x14ac:dyDescent="0.2">
      <c r="A120" s="371" t="s">
        <v>589</v>
      </c>
      <c r="B120" s="372">
        <f>B124/1000000</f>
        <v>0</v>
      </c>
      <c r="D120" s="459" t="s">
        <v>323</v>
      </c>
      <c r="E120" s="373" t="s">
        <v>590</v>
      </c>
      <c r="F120" s="374">
        <v>35</v>
      </c>
      <c r="G120" s="460"/>
    </row>
    <row r="121" spans="1:71" s="352" customFormat="1" ht="15.75" x14ac:dyDescent="0.2">
      <c r="A121" s="371" t="s">
        <v>323</v>
      </c>
      <c r="B121" s="375">
        <v>30</v>
      </c>
      <c r="D121" s="459"/>
      <c r="E121" s="373" t="s">
        <v>591</v>
      </c>
      <c r="F121" s="374">
        <v>30</v>
      </c>
      <c r="G121" s="460"/>
    </row>
    <row r="122" spans="1:71" s="352" customFormat="1" ht="15.75" x14ac:dyDescent="0.2">
      <c r="A122" s="371" t="s">
        <v>592</v>
      </c>
      <c r="B122" s="375" t="s">
        <v>593</v>
      </c>
      <c r="C122" s="376" t="s">
        <v>594</v>
      </c>
      <c r="D122" s="459"/>
      <c r="E122" s="373" t="s">
        <v>595</v>
      </c>
      <c r="F122" s="374">
        <v>30</v>
      </c>
      <c r="G122" s="460"/>
    </row>
    <row r="123" spans="1:71" s="352" customFormat="1" ht="15.75" x14ac:dyDescent="0.2">
      <c r="A123" s="377"/>
      <c r="B123" s="378"/>
      <c r="C123" s="376"/>
      <c r="D123" s="459"/>
      <c r="E123" s="373" t="s">
        <v>596</v>
      </c>
      <c r="F123" s="374">
        <v>30</v>
      </c>
      <c r="G123" s="460"/>
    </row>
    <row r="124" spans="1:71" s="352" customFormat="1" ht="12.75" x14ac:dyDescent="0.2">
      <c r="A124" s="371" t="s">
        <v>597</v>
      </c>
      <c r="B124" s="379">
        <f>B126*1000000</f>
        <v>0</v>
      </c>
      <c r="C124" s="379"/>
      <c r="D124" s="379"/>
    </row>
    <row r="125" spans="1:71" s="352" customFormat="1" ht="12.75" x14ac:dyDescent="0.2">
      <c r="A125" s="371" t="s">
        <v>598</v>
      </c>
      <c r="B125" s="380">
        <v>1E-3</v>
      </c>
      <c r="C125" s="352">
        <v>2018</v>
      </c>
      <c r="D125" s="352">
        <v>2019</v>
      </c>
      <c r="E125" s="352">
        <v>2020</v>
      </c>
      <c r="F125" s="352">
        <v>2021</v>
      </c>
      <c r="G125" s="352">
        <v>2022</v>
      </c>
      <c r="H125" s="352">
        <v>2023</v>
      </c>
      <c r="I125" s="352">
        <v>2024</v>
      </c>
    </row>
    <row r="126" spans="1:71" s="352" customFormat="1" ht="12.75" x14ac:dyDescent="0.2">
      <c r="A126" s="370"/>
      <c r="B126" s="381">
        <f>SUM(C126:F126)</f>
        <v>0</v>
      </c>
      <c r="C126" s="381">
        <v>0</v>
      </c>
      <c r="D126" s="381">
        <v>0</v>
      </c>
      <c r="E126" s="381" t="s">
        <v>460</v>
      </c>
      <c r="F126" s="381" t="s">
        <v>460</v>
      </c>
    </row>
    <row r="127" spans="1:71" s="352" customFormat="1" ht="25.5" x14ac:dyDescent="0.2">
      <c r="A127" s="371" t="s">
        <v>599</v>
      </c>
      <c r="B127" s="382">
        <v>9.8699999999999996E-2</v>
      </c>
    </row>
    <row r="128" spans="1:71" s="352" customFormat="1" ht="15.75" x14ac:dyDescent="0.2">
      <c r="A128" s="383"/>
      <c r="B128" s="384"/>
    </row>
    <row r="129" spans="1:51" s="352" customFormat="1" ht="25.5" x14ac:dyDescent="0.2">
      <c r="A129" s="385" t="s">
        <v>600</v>
      </c>
      <c r="B129" s="386">
        <v>0.74426999999999999</v>
      </c>
    </row>
    <row r="130" spans="1:51" s="352" customFormat="1" ht="12.75" x14ac:dyDescent="0.2"/>
    <row r="131" spans="1:51" s="352" customFormat="1" ht="12.75" x14ac:dyDescent="0.2">
      <c r="A131" s="370"/>
      <c r="C131" s="352" t="s">
        <v>601</v>
      </c>
    </row>
    <row r="132" spans="1:51" s="352" customFormat="1" ht="15.75" x14ac:dyDescent="0.2">
      <c r="A132" s="371" t="s">
        <v>523</v>
      </c>
      <c r="B132" s="387"/>
      <c r="C132" s="388"/>
    </row>
    <row r="133" spans="1:51" s="352" customFormat="1" ht="12.75" x14ac:dyDescent="0.2">
      <c r="A133" s="371"/>
      <c r="B133" s="389">
        <v>2016</v>
      </c>
      <c r="C133" s="389">
        <f>B133+1</f>
        <v>2017</v>
      </c>
      <c r="D133" s="389">
        <f t="shared" ref="D133:AY133" si="62">C133+1</f>
        <v>2018</v>
      </c>
      <c r="E133" s="389">
        <f t="shared" si="62"/>
        <v>2019</v>
      </c>
      <c r="F133" s="389">
        <f t="shared" si="62"/>
        <v>2020</v>
      </c>
      <c r="G133" s="389">
        <f t="shared" si="62"/>
        <v>2021</v>
      </c>
      <c r="H133" s="389">
        <f t="shared" si="62"/>
        <v>2022</v>
      </c>
      <c r="I133" s="389">
        <f t="shared" si="62"/>
        <v>2023</v>
      </c>
      <c r="J133" s="389">
        <f t="shared" si="62"/>
        <v>2024</v>
      </c>
      <c r="K133" s="389">
        <f t="shared" si="62"/>
        <v>2025</v>
      </c>
      <c r="L133" s="389">
        <f t="shared" si="62"/>
        <v>2026</v>
      </c>
      <c r="M133" s="389">
        <f t="shared" si="62"/>
        <v>2027</v>
      </c>
      <c r="N133" s="389">
        <f t="shared" si="62"/>
        <v>2028</v>
      </c>
      <c r="O133" s="389">
        <f t="shared" si="62"/>
        <v>2029</v>
      </c>
      <c r="P133" s="389">
        <f t="shared" si="62"/>
        <v>2030</v>
      </c>
      <c r="Q133" s="389">
        <f t="shared" si="62"/>
        <v>2031</v>
      </c>
      <c r="R133" s="389">
        <f t="shared" si="62"/>
        <v>2032</v>
      </c>
      <c r="S133" s="389">
        <f t="shared" si="62"/>
        <v>2033</v>
      </c>
      <c r="T133" s="389">
        <f t="shared" si="62"/>
        <v>2034</v>
      </c>
      <c r="U133" s="389">
        <f t="shared" si="62"/>
        <v>2035</v>
      </c>
      <c r="V133" s="389">
        <f t="shared" si="62"/>
        <v>2036</v>
      </c>
      <c r="W133" s="389">
        <f t="shared" si="62"/>
        <v>2037</v>
      </c>
      <c r="X133" s="389">
        <f t="shared" si="62"/>
        <v>2038</v>
      </c>
      <c r="Y133" s="389">
        <f t="shared" si="62"/>
        <v>2039</v>
      </c>
      <c r="Z133" s="389">
        <f t="shared" si="62"/>
        <v>2040</v>
      </c>
      <c r="AA133" s="389">
        <f t="shared" si="62"/>
        <v>2041</v>
      </c>
      <c r="AB133" s="389">
        <f t="shared" si="62"/>
        <v>2042</v>
      </c>
      <c r="AC133" s="389">
        <f t="shared" si="62"/>
        <v>2043</v>
      </c>
      <c r="AD133" s="389">
        <f t="shared" si="62"/>
        <v>2044</v>
      </c>
      <c r="AE133" s="389">
        <f t="shared" si="62"/>
        <v>2045</v>
      </c>
      <c r="AF133" s="389">
        <f t="shared" si="62"/>
        <v>2046</v>
      </c>
      <c r="AG133" s="389">
        <f t="shared" si="62"/>
        <v>2047</v>
      </c>
      <c r="AH133" s="389">
        <f t="shared" si="62"/>
        <v>2048</v>
      </c>
      <c r="AI133" s="389">
        <f t="shared" si="62"/>
        <v>2049</v>
      </c>
      <c r="AJ133" s="389">
        <f t="shared" si="62"/>
        <v>2050</v>
      </c>
      <c r="AK133" s="389">
        <f t="shared" si="62"/>
        <v>2051</v>
      </c>
      <c r="AL133" s="389">
        <f t="shared" si="62"/>
        <v>2052</v>
      </c>
      <c r="AM133" s="389">
        <f t="shared" si="62"/>
        <v>2053</v>
      </c>
      <c r="AN133" s="389">
        <f t="shared" si="62"/>
        <v>2054</v>
      </c>
      <c r="AO133" s="389">
        <f t="shared" si="62"/>
        <v>2055</v>
      </c>
      <c r="AP133" s="389">
        <f t="shared" si="62"/>
        <v>2056</v>
      </c>
      <c r="AQ133" s="389">
        <f t="shared" si="62"/>
        <v>2057</v>
      </c>
      <c r="AR133" s="389">
        <f t="shared" si="62"/>
        <v>2058</v>
      </c>
      <c r="AS133" s="389">
        <f t="shared" si="62"/>
        <v>2059</v>
      </c>
      <c r="AT133" s="389">
        <f t="shared" si="62"/>
        <v>2060</v>
      </c>
      <c r="AU133" s="389">
        <f t="shared" si="62"/>
        <v>2061</v>
      </c>
      <c r="AV133" s="389">
        <f t="shared" si="62"/>
        <v>2062</v>
      </c>
      <c r="AW133" s="389">
        <f t="shared" si="62"/>
        <v>2063</v>
      </c>
      <c r="AX133" s="389">
        <f t="shared" si="62"/>
        <v>2064</v>
      </c>
      <c r="AY133" s="389">
        <f t="shared" si="62"/>
        <v>2065</v>
      </c>
    </row>
    <row r="134" spans="1:51" s="352" customFormat="1" ht="12.75" x14ac:dyDescent="0.2">
      <c r="A134" s="371" t="s">
        <v>524</v>
      </c>
      <c r="B134" s="390"/>
      <c r="C134" s="391"/>
      <c r="D134" s="391"/>
      <c r="E134" s="391"/>
      <c r="F134" s="391">
        <v>5.6000000000000001E-2</v>
      </c>
      <c r="G134" s="391">
        <v>5.3999999999999999E-2</v>
      </c>
      <c r="H134" s="391">
        <v>5.0999999999999997E-2</v>
      </c>
      <c r="I134" s="391">
        <v>4.9000000000000002E-2</v>
      </c>
      <c r="J134" s="391">
        <v>4.7E-2</v>
      </c>
      <c r="K134" s="391">
        <v>4.7E-2</v>
      </c>
      <c r="L134" s="391">
        <v>4.7E-2</v>
      </c>
      <c r="M134" s="391">
        <v>4.7E-2</v>
      </c>
      <c r="N134" s="391">
        <v>4.7E-2</v>
      </c>
      <c r="O134" s="391">
        <v>4.7E-2</v>
      </c>
      <c r="P134" s="391">
        <v>4.7E-2</v>
      </c>
      <c r="Q134" s="391">
        <v>4.7E-2</v>
      </c>
      <c r="R134" s="391">
        <v>4.7E-2</v>
      </c>
      <c r="S134" s="391">
        <v>4.7E-2</v>
      </c>
      <c r="T134" s="391">
        <v>4.7E-2</v>
      </c>
      <c r="U134" s="391">
        <v>4.7E-2</v>
      </c>
      <c r="V134" s="391">
        <v>4.7E-2</v>
      </c>
      <c r="W134" s="391">
        <v>4.7E-2</v>
      </c>
      <c r="X134" s="391">
        <v>4.7E-2</v>
      </c>
      <c r="Y134" s="391">
        <v>4.7E-2</v>
      </c>
      <c r="Z134" s="391">
        <v>4.7E-2</v>
      </c>
      <c r="AA134" s="391">
        <v>4.7E-2</v>
      </c>
      <c r="AB134" s="391">
        <v>4.7E-2</v>
      </c>
      <c r="AC134" s="391">
        <v>4.7E-2</v>
      </c>
      <c r="AD134" s="391">
        <v>4.7E-2</v>
      </c>
      <c r="AE134" s="391">
        <v>4.7E-2</v>
      </c>
      <c r="AF134" s="391">
        <v>4.7E-2</v>
      </c>
      <c r="AG134" s="391">
        <v>4.7E-2</v>
      </c>
      <c r="AH134" s="391">
        <v>4.7E-2</v>
      </c>
      <c r="AI134" s="391">
        <v>4.7E-2</v>
      </c>
      <c r="AJ134" s="391">
        <v>4.2000000000000003E-2</v>
      </c>
      <c r="AK134" s="391">
        <v>4.2000000000000003E-2</v>
      </c>
      <c r="AL134" s="391">
        <v>4.2000000000000003E-2</v>
      </c>
      <c r="AM134" s="391">
        <v>4.2000000000000003E-2</v>
      </c>
      <c r="AN134" s="391">
        <v>4.2000000000000003E-2</v>
      </c>
      <c r="AO134" s="391">
        <v>4.2000000000000003E-2</v>
      </c>
      <c r="AP134" s="391">
        <v>4.2000000000000003E-2</v>
      </c>
      <c r="AQ134" s="391">
        <v>4.2000000000000003E-2</v>
      </c>
      <c r="AR134" s="391">
        <v>4.2000000000000003E-2</v>
      </c>
      <c r="AS134" s="391">
        <v>4.2000000000000003E-2</v>
      </c>
      <c r="AT134" s="391">
        <v>4.2000000000000003E-2</v>
      </c>
      <c r="AU134" s="391">
        <f t="shared" ref="AU134:AY134" si="63">AT134</f>
        <v>4.2000000000000003E-2</v>
      </c>
      <c r="AV134" s="391">
        <f t="shared" si="63"/>
        <v>4.2000000000000003E-2</v>
      </c>
      <c r="AW134" s="391">
        <f t="shared" si="63"/>
        <v>4.2000000000000003E-2</v>
      </c>
      <c r="AX134" s="391">
        <f t="shared" si="63"/>
        <v>4.2000000000000003E-2</v>
      </c>
      <c r="AY134" s="391">
        <f t="shared" si="63"/>
        <v>4.2000000000000003E-2</v>
      </c>
    </row>
    <row r="135" spans="1:51" s="352" customFormat="1" x14ac:dyDescent="0.2">
      <c r="A135" s="371" t="s">
        <v>525</v>
      </c>
      <c r="B135" s="392"/>
      <c r="C135" s="393">
        <f>(1+B135)*(1+C134)-1</f>
        <v>0</v>
      </c>
      <c r="D135" s="393">
        <f>(1+C135)*(1+D134)-1</f>
        <v>0</v>
      </c>
      <c r="E135" s="393">
        <f>(1+D135)*(1+E134)-1</f>
        <v>0</v>
      </c>
      <c r="F135" s="393">
        <f t="shared" ref="F135:AY135" si="64">(1+E135)*(1+F134)-1</f>
        <v>5.600000000000005E-2</v>
      </c>
      <c r="G135" s="393">
        <f>(1+F135)*(1+G134)-1</f>
        <v>0.11302400000000001</v>
      </c>
      <c r="H135" s="393">
        <f t="shared" si="64"/>
        <v>0.16978822399999993</v>
      </c>
      <c r="I135" s="393">
        <f t="shared" si="64"/>
        <v>0.22710784697599995</v>
      </c>
      <c r="J135" s="393">
        <f t="shared" si="64"/>
        <v>0.2847819157838718</v>
      </c>
      <c r="K135" s="393">
        <f t="shared" si="64"/>
        <v>0.34516666582571376</v>
      </c>
      <c r="L135" s="393">
        <f t="shared" si="64"/>
        <v>0.40838949911952227</v>
      </c>
      <c r="M135" s="393">
        <f t="shared" si="64"/>
        <v>0.47458380557813973</v>
      </c>
      <c r="N135" s="393">
        <f t="shared" si="64"/>
        <v>0.54388924444031228</v>
      </c>
      <c r="O135" s="393">
        <f t="shared" si="64"/>
        <v>0.61645203892900691</v>
      </c>
      <c r="P135" s="393">
        <f t="shared" si="64"/>
        <v>0.69242528475867005</v>
      </c>
      <c r="Q135" s="393">
        <f t="shared" si="64"/>
        <v>0.77196927314232733</v>
      </c>
      <c r="R135" s="393">
        <f t="shared" si="64"/>
        <v>0.85525182898001662</v>
      </c>
      <c r="S135" s="393">
        <f t="shared" si="64"/>
        <v>0.94244866494207735</v>
      </c>
      <c r="T135" s="393">
        <f t="shared" si="64"/>
        <v>1.0337437521943547</v>
      </c>
      <c r="U135" s="393">
        <f t="shared" si="64"/>
        <v>1.1293297085474894</v>
      </c>
      <c r="V135" s="393">
        <f t="shared" si="64"/>
        <v>1.2294082048492214</v>
      </c>
      <c r="W135" s="393">
        <f t="shared" si="64"/>
        <v>1.3341903904771346</v>
      </c>
      <c r="X135" s="393">
        <f t="shared" si="64"/>
        <v>1.4438973388295597</v>
      </c>
      <c r="Y135" s="393">
        <f t="shared" si="64"/>
        <v>1.558760513754549</v>
      </c>
      <c r="Z135" s="393">
        <f t="shared" si="64"/>
        <v>1.6790222579010128</v>
      </c>
      <c r="AA135" s="393">
        <f t="shared" si="64"/>
        <v>1.8049363040223603</v>
      </c>
      <c r="AB135" s="393">
        <f t="shared" si="64"/>
        <v>1.9367683103114111</v>
      </c>
      <c r="AC135" s="393">
        <f t="shared" si="64"/>
        <v>2.074796420896047</v>
      </c>
      <c r="AD135" s="393">
        <f t="shared" si="64"/>
        <v>2.2193118526781608</v>
      </c>
      <c r="AE135" s="393">
        <f t="shared" si="64"/>
        <v>2.3706195097540341</v>
      </c>
      <c r="AF135" s="393">
        <f t="shared" si="64"/>
        <v>2.5290386267124734</v>
      </c>
      <c r="AG135" s="393">
        <f t="shared" si="64"/>
        <v>2.6949034421679592</v>
      </c>
      <c r="AH135" s="393">
        <f t="shared" si="64"/>
        <v>2.8685639039498532</v>
      </c>
      <c r="AI135" s="393">
        <f t="shared" si="64"/>
        <v>3.0503864074354956</v>
      </c>
      <c r="AJ135" s="393">
        <f t="shared" si="64"/>
        <v>3.2205026365477867</v>
      </c>
      <c r="AK135" s="393">
        <f t="shared" si="64"/>
        <v>3.3977637472827942</v>
      </c>
      <c r="AL135" s="393">
        <f t="shared" si="64"/>
        <v>3.5824698246686717</v>
      </c>
      <c r="AM135" s="393">
        <f t="shared" si="64"/>
        <v>3.774933557304756</v>
      </c>
      <c r="AN135" s="393">
        <f t="shared" si="64"/>
        <v>3.9754807667115557</v>
      </c>
      <c r="AO135" s="393">
        <f t="shared" si="64"/>
        <v>4.1844509589134411</v>
      </c>
      <c r="AP135" s="393">
        <f t="shared" si="64"/>
        <v>4.4021978991878061</v>
      </c>
      <c r="AQ135" s="393">
        <f t="shared" si="64"/>
        <v>4.6290902109536942</v>
      </c>
      <c r="AR135" s="393">
        <f t="shared" si="64"/>
        <v>4.8655119998137497</v>
      </c>
      <c r="AS135" s="393">
        <f t="shared" si="64"/>
        <v>5.1118635038059272</v>
      </c>
      <c r="AT135" s="393">
        <f t="shared" si="64"/>
        <v>5.3685617709657762</v>
      </c>
      <c r="AU135" s="393">
        <f t="shared" si="64"/>
        <v>5.6360413653463395</v>
      </c>
      <c r="AV135" s="393">
        <f t="shared" si="64"/>
        <v>5.9147551026908856</v>
      </c>
      <c r="AW135" s="393">
        <f>(1+AV135)*(1+AW134)-1</f>
        <v>6.2051748170039032</v>
      </c>
      <c r="AX135" s="393">
        <f t="shared" si="64"/>
        <v>6.5077921593180674</v>
      </c>
      <c r="AY135" s="393">
        <f t="shared" si="64"/>
        <v>6.8231194300094264</v>
      </c>
    </row>
    <row r="136" spans="1:51" s="352" customFormat="1" ht="15.75" x14ac:dyDescent="0.2">
      <c r="A136" s="394"/>
      <c r="B136" s="395"/>
      <c r="C136" s="396"/>
      <c r="D136" s="396"/>
      <c r="E136" s="396"/>
      <c r="F136" s="396"/>
      <c r="G136" s="396"/>
      <c r="H136" s="396"/>
      <c r="I136" s="396"/>
      <c r="J136" s="396"/>
      <c r="K136" s="396"/>
      <c r="L136" s="396"/>
      <c r="M136" s="396"/>
      <c r="N136" s="396"/>
      <c r="O136" s="396"/>
      <c r="P136" s="396"/>
      <c r="Q136" s="396"/>
      <c r="R136" s="396"/>
      <c r="S136" s="396"/>
      <c r="T136" s="396"/>
      <c r="U136" s="396"/>
      <c r="V136" s="396"/>
      <c r="W136" s="396"/>
      <c r="X136" s="396"/>
      <c r="Y136" s="396"/>
      <c r="Z136" s="396"/>
      <c r="AA136" s="396"/>
      <c r="AB136" s="396"/>
      <c r="AC136" s="396"/>
      <c r="AD136" s="396"/>
      <c r="AE136" s="396"/>
      <c r="AF136" s="396"/>
      <c r="AG136" s="396"/>
      <c r="AH136" s="396"/>
      <c r="AI136" s="396"/>
      <c r="AJ136" s="396"/>
      <c r="AK136" s="396"/>
      <c r="AL136" s="396"/>
      <c r="AM136" s="396"/>
      <c r="AN136" s="396"/>
      <c r="AO136" s="396"/>
      <c r="AP136" s="396"/>
      <c r="AQ136" s="348"/>
    </row>
    <row r="137" spans="1:51" s="352" customFormat="1" ht="12.75" x14ac:dyDescent="0.2">
      <c r="A137" s="370"/>
      <c r="B137" s="390">
        <v>2016</v>
      </c>
      <c r="C137" s="390">
        <f>B137+1</f>
        <v>2017</v>
      </c>
      <c r="D137" s="390">
        <f t="shared" ref="D137:S138" si="65">C137+1</f>
        <v>2018</v>
      </c>
      <c r="E137" s="390">
        <f t="shared" si="65"/>
        <v>2019</v>
      </c>
      <c r="F137" s="390">
        <f t="shared" si="65"/>
        <v>2020</v>
      </c>
      <c r="G137" s="390">
        <f t="shared" si="65"/>
        <v>2021</v>
      </c>
      <c r="H137" s="390">
        <f t="shared" si="65"/>
        <v>2022</v>
      </c>
      <c r="I137" s="390">
        <f t="shared" si="65"/>
        <v>2023</v>
      </c>
      <c r="J137" s="390">
        <f t="shared" si="65"/>
        <v>2024</v>
      </c>
      <c r="K137" s="390">
        <f t="shared" si="65"/>
        <v>2025</v>
      </c>
      <c r="L137" s="390">
        <f t="shared" si="65"/>
        <v>2026</v>
      </c>
      <c r="M137" s="390">
        <f t="shared" si="65"/>
        <v>2027</v>
      </c>
      <c r="N137" s="390">
        <f t="shared" si="65"/>
        <v>2028</v>
      </c>
      <c r="O137" s="390">
        <f t="shared" si="65"/>
        <v>2029</v>
      </c>
      <c r="P137" s="390">
        <f t="shared" si="65"/>
        <v>2030</v>
      </c>
      <c r="Q137" s="390">
        <f t="shared" si="65"/>
        <v>2031</v>
      </c>
      <c r="R137" s="390">
        <f t="shared" si="65"/>
        <v>2032</v>
      </c>
      <c r="S137" s="390">
        <f t="shared" si="65"/>
        <v>2033</v>
      </c>
      <c r="T137" s="390">
        <f t="shared" ref="T137:AI138" si="66">S137+1</f>
        <v>2034</v>
      </c>
      <c r="U137" s="390">
        <f t="shared" si="66"/>
        <v>2035</v>
      </c>
      <c r="V137" s="390">
        <f t="shared" si="66"/>
        <v>2036</v>
      </c>
      <c r="W137" s="390">
        <f t="shared" si="66"/>
        <v>2037</v>
      </c>
      <c r="X137" s="390">
        <f t="shared" si="66"/>
        <v>2038</v>
      </c>
      <c r="Y137" s="390">
        <f t="shared" si="66"/>
        <v>2039</v>
      </c>
      <c r="Z137" s="390">
        <f t="shared" si="66"/>
        <v>2040</v>
      </c>
      <c r="AA137" s="390">
        <f t="shared" si="66"/>
        <v>2041</v>
      </c>
      <c r="AB137" s="390">
        <f t="shared" si="66"/>
        <v>2042</v>
      </c>
      <c r="AC137" s="390">
        <f t="shared" si="66"/>
        <v>2043</v>
      </c>
      <c r="AD137" s="390">
        <f t="shared" si="66"/>
        <v>2044</v>
      </c>
      <c r="AE137" s="390">
        <f t="shared" si="66"/>
        <v>2045</v>
      </c>
      <c r="AF137" s="390">
        <f t="shared" si="66"/>
        <v>2046</v>
      </c>
      <c r="AG137" s="390">
        <f t="shared" si="66"/>
        <v>2047</v>
      </c>
      <c r="AH137" s="390">
        <f t="shared" si="66"/>
        <v>2048</v>
      </c>
      <c r="AI137" s="390">
        <f t="shared" si="66"/>
        <v>2049</v>
      </c>
      <c r="AJ137" s="390">
        <f t="shared" ref="AJ137:AY138" si="67">AI137+1</f>
        <v>2050</v>
      </c>
      <c r="AK137" s="390">
        <f t="shared" si="67"/>
        <v>2051</v>
      </c>
      <c r="AL137" s="390">
        <f t="shared" si="67"/>
        <v>2052</v>
      </c>
      <c r="AM137" s="390">
        <f t="shared" si="67"/>
        <v>2053</v>
      </c>
      <c r="AN137" s="390">
        <f t="shared" si="67"/>
        <v>2054</v>
      </c>
      <c r="AO137" s="390">
        <f t="shared" si="67"/>
        <v>2055</v>
      </c>
      <c r="AP137" s="390">
        <f t="shared" si="67"/>
        <v>2056</v>
      </c>
      <c r="AQ137" s="390">
        <f t="shared" si="67"/>
        <v>2057</v>
      </c>
      <c r="AR137" s="390">
        <f t="shared" si="67"/>
        <v>2058</v>
      </c>
      <c r="AS137" s="390">
        <f t="shared" si="67"/>
        <v>2059</v>
      </c>
      <c r="AT137" s="390">
        <f t="shared" si="67"/>
        <v>2060</v>
      </c>
      <c r="AU137" s="390">
        <f t="shared" si="67"/>
        <v>2061</v>
      </c>
      <c r="AV137" s="390">
        <f t="shared" si="67"/>
        <v>2062</v>
      </c>
      <c r="AW137" s="390">
        <f t="shared" si="67"/>
        <v>2063</v>
      </c>
      <c r="AX137" s="390">
        <f t="shared" si="67"/>
        <v>2064</v>
      </c>
      <c r="AY137" s="390">
        <f t="shared" si="67"/>
        <v>2065</v>
      </c>
    </row>
    <row r="138" spans="1:51" s="352" customFormat="1" ht="15.75" x14ac:dyDescent="0.2">
      <c r="A138" s="370"/>
      <c r="B138" s="397">
        <v>0</v>
      </c>
      <c r="C138" s="397">
        <v>0</v>
      </c>
      <c r="D138" s="397">
        <v>0</v>
      </c>
      <c r="E138" s="397">
        <v>0</v>
      </c>
      <c r="F138" s="397">
        <v>1</v>
      </c>
      <c r="G138" s="397">
        <f t="shared" si="65"/>
        <v>2</v>
      </c>
      <c r="H138" s="397">
        <f t="shared" si="65"/>
        <v>3</v>
      </c>
      <c r="I138" s="397">
        <f t="shared" si="65"/>
        <v>4</v>
      </c>
      <c r="J138" s="397">
        <f t="shared" si="65"/>
        <v>5</v>
      </c>
      <c r="K138" s="397">
        <f t="shared" si="65"/>
        <v>6</v>
      </c>
      <c r="L138" s="397">
        <f t="shared" si="65"/>
        <v>7</v>
      </c>
      <c r="M138" s="397">
        <f t="shared" si="65"/>
        <v>8</v>
      </c>
      <c r="N138" s="397">
        <f t="shared" si="65"/>
        <v>9</v>
      </c>
      <c r="O138" s="397">
        <f t="shared" si="65"/>
        <v>10</v>
      </c>
      <c r="P138" s="397">
        <f t="shared" si="65"/>
        <v>11</v>
      </c>
      <c r="Q138" s="397">
        <f t="shared" si="65"/>
        <v>12</v>
      </c>
      <c r="R138" s="397">
        <f t="shared" si="65"/>
        <v>13</v>
      </c>
      <c r="S138" s="397">
        <f t="shared" si="65"/>
        <v>14</v>
      </c>
      <c r="T138" s="397">
        <f t="shared" si="66"/>
        <v>15</v>
      </c>
      <c r="U138" s="397">
        <f t="shared" si="66"/>
        <v>16</v>
      </c>
      <c r="V138" s="397">
        <f t="shared" si="66"/>
        <v>17</v>
      </c>
      <c r="W138" s="397">
        <f t="shared" si="66"/>
        <v>18</v>
      </c>
      <c r="X138" s="397">
        <f t="shared" si="66"/>
        <v>19</v>
      </c>
      <c r="Y138" s="397">
        <f t="shared" si="66"/>
        <v>20</v>
      </c>
      <c r="Z138" s="397">
        <f t="shared" si="66"/>
        <v>21</v>
      </c>
      <c r="AA138" s="397">
        <f t="shared" si="66"/>
        <v>22</v>
      </c>
      <c r="AB138" s="397">
        <f t="shared" si="66"/>
        <v>23</v>
      </c>
      <c r="AC138" s="397">
        <f t="shared" si="66"/>
        <v>24</v>
      </c>
      <c r="AD138" s="397">
        <f t="shared" si="66"/>
        <v>25</v>
      </c>
      <c r="AE138" s="397">
        <f t="shared" si="66"/>
        <v>26</v>
      </c>
      <c r="AF138" s="397">
        <f t="shared" si="66"/>
        <v>27</v>
      </c>
      <c r="AG138" s="397">
        <f t="shared" si="66"/>
        <v>28</v>
      </c>
      <c r="AH138" s="397">
        <f t="shared" si="66"/>
        <v>29</v>
      </c>
      <c r="AI138" s="397">
        <f t="shared" si="66"/>
        <v>30</v>
      </c>
      <c r="AJ138" s="397">
        <f t="shared" si="67"/>
        <v>31</v>
      </c>
      <c r="AK138" s="397">
        <f t="shared" si="67"/>
        <v>32</v>
      </c>
      <c r="AL138" s="397">
        <f t="shared" si="67"/>
        <v>33</v>
      </c>
      <c r="AM138" s="397">
        <f t="shared" si="67"/>
        <v>34</v>
      </c>
      <c r="AN138" s="397">
        <f t="shared" si="67"/>
        <v>35</v>
      </c>
      <c r="AO138" s="397">
        <f t="shared" si="67"/>
        <v>36</v>
      </c>
      <c r="AP138" s="397">
        <f>AO138+1</f>
        <v>37</v>
      </c>
      <c r="AQ138" s="397">
        <f t="shared" si="67"/>
        <v>38</v>
      </c>
      <c r="AR138" s="397">
        <f t="shared" si="67"/>
        <v>39</v>
      </c>
      <c r="AS138" s="397">
        <f t="shared" si="67"/>
        <v>40</v>
      </c>
      <c r="AT138" s="397">
        <f t="shared" si="67"/>
        <v>41</v>
      </c>
      <c r="AU138" s="397">
        <f t="shared" si="67"/>
        <v>42</v>
      </c>
      <c r="AV138" s="397">
        <f t="shared" si="67"/>
        <v>43</v>
      </c>
      <c r="AW138" s="397">
        <f t="shared" si="67"/>
        <v>44</v>
      </c>
      <c r="AX138" s="397">
        <f t="shared" si="67"/>
        <v>45</v>
      </c>
      <c r="AY138" s="397">
        <f t="shared" si="67"/>
        <v>46</v>
      </c>
    </row>
    <row r="139" spans="1:51" s="352" customFormat="1" x14ac:dyDescent="0.2">
      <c r="A139" s="370"/>
      <c r="B139" s="398">
        <f>AVERAGE(A138:B138)</f>
        <v>0</v>
      </c>
      <c r="C139" s="398">
        <f>AVERAGE(B138:C138)</f>
        <v>0</v>
      </c>
      <c r="D139" s="398">
        <f>AVERAGE(C138:D138)</f>
        <v>0</v>
      </c>
      <c r="E139" s="398">
        <f>AVERAGE(D138:E138)</f>
        <v>0</v>
      </c>
      <c r="F139" s="398">
        <f t="shared" ref="F139:AO139" si="68">AVERAGE(E138:F138)</f>
        <v>0.5</v>
      </c>
      <c r="G139" s="398">
        <f t="shared" si="68"/>
        <v>1.5</v>
      </c>
      <c r="H139" s="398">
        <f t="shared" si="68"/>
        <v>2.5</v>
      </c>
      <c r="I139" s="398">
        <f t="shared" si="68"/>
        <v>3.5</v>
      </c>
      <c r="J139" s="398">
        <f t="shared" si="68"/>
        <v>4.5</v>
      </c>
      <c r="K139" s="398">
        <f t="shared" si="68"/>
        <v>5.5</v>
      </c>
      <c r="L139" s="398">
        <f t="shared" si="68"/>
        <v>6.5</v>
      </c>
      <c r="M139" s="398">
        <f t="shared" si="68"/>
        <v>7.5</v>
      </c>
      <c r="N139" s="398">
        <f t="shared" si="68"/>
        <v>8.5</v>
      </c>
      <c r="O139" s="398">
        <f t="shared" si="68"/>
        <v>9.5</v>
      </c>
      <c r="P139" s="398">
        <f t="shared" si="68"/>
        <v>10.5</v>
      </c>
      <c r="Q139" s="398">
        <f t="shared" si="68"/>
        <v>11.5</v>
      </c>
      <c r="R139" s="398">
        <f t="shared" si="68"/>
        <v>12.5</v>
      </c>
      <c r="S139" s="398">
        <f t="shared" si="68"/>
        <v>13.5</v>
      </c>
      <c r="T139" s="398">
        <f t="shared" si="68"/>
        <v>14.5</v>
      </c>
      <c r="U139" s="398">
        <f t="shared" si="68"/>
        <v>15.5</v>
      </c>
      <c r="V139" s="398">
        <f t="shared" si="68"/>
        <v>16.5</v>
      </c>
      <c r="W139" s="398">
        <f t="shared" si="68"/>
        <v>17.5</v>
      </c>
      <c r="X139" s="398">
        <f t="shared" si="68"/>
        <v>18.5</v>
      </c>
      <c r="Y139" s="398">
        <f t="shared" si="68"/>
        <v>19.5</v>
      </c>
      <c r="Z139" s="398">
        <f t="shared" si="68"/>
        <v>20.5</v>
      </c>
      <c r="AA139" s="398">
        <f t="shared" si="68"/>
        <v>21.5</v>
      </c>
      <c r="AB139" s="398">
        <f t="shared" si="68"/>
        <v>22.5</v>
      </c>
      <c r="AC139" s="398">
        <f t="shared" si="68"/>
        <v>23.5</v>
      </c>
      <c r="AD139" s="398">
        <f t="shared" si="68"/>
        <v>24.5</v>
      </c>
      <c r="AE139" s="398">
        <f t="shared" si="68"/>
        <v>25.5</v>
      </c>
      <c r="AF139" s="398">
        <f t="shared" si="68"/>
        <v>26.5</v>
      </c>
      <c r="AG139" s="398">
        <f t="shared" si="68"/>
        <v>27.5</v>
      </c>
      <c r="AH139" s="398">
        <f t="shared" si="68"/>
        <v>28.5</v>
      </c>
      <c r="AI139" s="398">
        <f t="shared" si="68"/>
        <v>29.5</v>
      </c>
      <c r="AJ139" s="398">
        <f t="shared" si="68"/>
        <v>30.5</v>
      </c>
      <c r="AK139" s="398">
        <f t="shared" si="68"/>
        <v>31.5</v>
      </c>
      <c r="AL139" s="398">
        <f t="shared" si="68"/>
        <v>32.5</v>
      </c>
      <c r="AM139" s="398">
        <f t="shared" si="68"/>
        <v>33.5</v>
      </c>
      <c r="AN139" s="398">
        <f t="shared" si="68"/>
        <v>34.5</v>
      </c>
      <c r="AO139" s="398">
        <f t="shared" si="68"/>
        <v>35.5</v>
      </c>
      <c r="AP139" s="398">
        <f>AVERAGE(AO138:AP138)</f>
        <v>36.5</v>
      </c>
      <c r="AQ139" s="398">
        <f t="shared" ref="AQ139:AY139" si="69">AVERAGE(AP138:AQ138)</f>
        <v>37.5</v>
      </c>
      <c r="AR139" s="398">
        <f t="shared" si="69"/>
        <v>38.5</v>
      </c>
      <c r="AS139" s="398">
        <f t="shared" si="69"/>
        <v>39.5</v>
      </c>
      <c r="AT139" s="398">
        <f t="shared" si="69"/>
        <v>40.5</v>
      </c>
      <c r="AU139" s="398">
        <f t="shared" si="69"/>
        <v>41.5</v>
      </c>
      <c r="AV139" s="398">
        <f t="shared" si="69"/>
        <v>42.5</v>
      </c>
      <c r="AW139" s="398">
        <f t="shared" si="69"/>
        <v>43.5</v>
      </c>
      <c r="AX139" s="398">
        <f t="shared" si="69"/>
        <v>44.5</v>
      </c>
      <c r="AY139" s="398">
        <f t="shared" si="69"/>
        <v>45.5</v>
      </c>
    </row>
    <row r="140" spans="1:51" s="352" customFormat="1" ht="12.75" x14ac:dyDescent="0.2">
      <c r="A140" s="370"/>
      <c r="AQ140" s="348"/>
    </row>
    <row r="141" spans="1:51" s="352" customFormat="1" ht="12.75" x14ac:dyDescent="0.2">
      <c r="A141" s="370"/>
    </row>
    <row r="142" spans="1:51" s="352" customFormat="1" ht="12.75" x14ac:dyDescent="0.2">
      <c r="A142" s="370"/>
    </row>
    <row r="143" spans="1:51" s="352" customFormat="1" ht="12.75" x14ac:dyDescent="0.2">
      <c r="A143" s="370"/>
    </row>
    <row r="144" spans="1:51" s="352" customFormat="1" ht="12.75" x14ac:dyDescent="0.2">
      <c r="A144" s="370"/>
    </row>
    <row r="145" spans="1:71" s="352" customFormat="1" ht="12.75" x14ac:dyDescent="0.2">
      <c r="A145" s="370"/>
    </row>
    <row r="146" spans="1:71" s="352" customFormat="1" ht="12.75" x14ac:dyDescent="0.2">
      <c r="A146" s="370"/>
    </row>
    <row r="147" spans="1:71" s="352" customFormat="1" ht="12.75" x14ac:dyDescent="0.2">
      <c r="A147" s="370"/>
    </row>
    <row r="148" spans="1:71" s="352" customFormat="1" ht="12.75" x14ac:dyDescent="0.2">
      <c r="A148" s="370"/>
    </row>
    <row r="149" spans="1:71" s="352" customFormat="1" ht="12.75" x14ac:dyDescent="0.2">
      <c r="A149" s="370"/>
    </row>
    <row r="150" spans="1:71" s="352" customFormat="1" ht="12.75" x14ac:dyDescent="0.2">
      <c r="A150" s="370"/>
    </row>
    <row r="151" spans="1:71" s="352" customFormat="1" ht="12.75" x14ac:dyDescent="0.2">
      <c r="A151" s="370"/>
    </row>
    <row r="152" spans="1:71" s="352" customFormat="1" ht="12.75" x14ac:dyDescent="0.2">
      <c r="A152" s="370"/>
    </row>
    <row r="153" spans="1:71" s="352" customFormat="1" ht="12.75" x14ac:dyDescent="0.2">
      <c r="A153" s="370"/>
    </row>
    <row r="154" spans="1:71" s="352"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8"/>
      <c r="AR154" s="348"/>
      <c r="AS154" s="348"/>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52"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8"/>
      <c r="AR155" s="348"/>
      <c r="AS155" s="348"/>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52"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8"/>
      <c r="AR156" s="348"/>
      <c r="AS156" s="348"/>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52"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8"/>
      <c r="AR157" s="348"/>
      <c r="AS157" s="348"/>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52"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8"/>
      <c r="AR158" s="348"/>
      <c r="AS158" s="348"/>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52"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8"/>
      <c r="AR159" s="348"/>
      <c r="AS159" s="348"/>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52"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8"/>
      <c r="AR160" s="348"/>
      <c r="AS160" s="348"/>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52"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8"/>
      <c r="AR161" s="348"/>
      <c r="AS161" s="348"/>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52"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8"/>
      <c r="AR162" s="348"/>
      <c r="AS162" s="348"/>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52"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8"/>
      <c r="AR163" s="348"/>
      <c r="AS163" s="348"/>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52"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8"/>
      <c r="AR164" s="348"/>
      <c r="AS164" s="348"/>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52"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8"/>
      <c r="AR165" s="348"/>
      <c r="AS165" s="348"/>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52"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8"/>
      <c r="AR166" s="348"/>
      <c r="AS166" s="348"/>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52"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8"/>
      <c r="AR167" s="348"/>
      <c r="AS167" s="348"/>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52"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8"/>
      <c r="AR168" s="348"/>
      <c r="AS168" s="348"/>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52"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8"/>
      <c r="AR169" s="348"/>
      <c r="AS169" s="348"/>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52"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8"/>
      <c r="AR170" s="348"/>
      <c r="AS170" s="348"/>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52"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8"/>
      <c r="AR171" s="348"/>
      <c r="AS171" s="348"/>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52"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8"/>
      <c r="AR172" s="348"/>
      <c r="AS172" s="348"/>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52"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8"/>
      <c r="AR173" s="348"/>
      <c r="AS173" s="348"/>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52"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8"/>
      <c r="AR174" s="348"/>
      <c r="AS174" s="348"/>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52"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8"/>
      <c r="AR175" s="348"/>
      <c r="AS175" s="348"/>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52"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8"/>
      <c r="AR176" s="348"/>
      <c r="AS176" s="348"/>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52"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8"/>
      <c r="AR177" s="348"/>
      <c r="AS177" s="348"/>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52"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8"/>
      <c r="AR178" s="348"/>
      <c r="AS178" s="348"/>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52"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8"/>
      <c r="AR179" s="348"/>
      <c r="AS179" s="348"/>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52"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8"/>
      <c r="AR180" s="348"/>
      <c r="AS180" s="348"/>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52"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8"/>
      <c r="AR181" s="348"/>
      <c r="AS181" s="348"/>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52"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8"/>
      <c r="AR182" s="348"/>
      <c r="AS182" s="348"/>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9" zoomScale="70" zoomScaleSheetLayoutView="70" workbookViewId="0">
      <selection activeCell="H46" sqref="H46"/>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4" t="str">
        <f>'2. паспорт  ТП'!A4:S4</f>
        <v>Год раскрытия информации: 2022 год</v>
      </c>
      <c r="B5" s="404"/>
      <c r="C5" s="404"/>
      <c r="D5" s="404"/>
      <c r="E5" s="404"/>
      <c r="F5" s="404"/>
      <c r="G5" s="404"/>
      <c r="H5" s="404"/>
      <c r="I5" s="404"/>
      <c r="J5" s="404"/>
      <c r="K5" s="404"/>
      <c r="L5" s="404"/>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2" t="s">
        <v>7</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13" t="str">
        <f>'1. паспорт местоположение'!A9:C9</f>
        <v>Акционерное общество "Западная энергетическая компания"</v>
      </c>
      <c r="B9" s="413"/>
      <c r="C9" s="413"/>
      <c r="D9" s="413"/>
      <c r="E9" s="413"/>
      <c r="F9" s="413"/>
      <c r="G9" s="413"/>
      <c r="H9" s="413"/>
      <c r="I9" s="413"/>
      <c r="J9" s="413"/>
      <c r="K9" s="413"/>
      <c r="L9" s="413"/>
    </row>
    <row r="10" spans="1:44" x14ac:dyDescent="0.25">
      <c r="A10" s="417" t="s">
        <v>6</v>
      </c>
      <c r="B10" s="417"/>
      <c r="C10" s="417"/>
      <c r="D10" s="417"/>
      <c r="E10" s="417"/>
      <c r="F10" s="417"/>
      <c r="G10" s="417"/>
      <c r="H10" s="417"/>
      <c r="I10" s="417"/>
      <c r="J10" s="417"/>
      <c r="K10" s="417"/>
      <c r="L10" s="417"/>
    </row>
    <row r="11" spans="1:44" ht="18.75" x14ac:dyDescent="0.25">
      <c r="A11" s="412"/>
      <c r="B11" s="412"/>
      <c r="C11" s="412"/>
      <c r="D11" s="412"/>
      <c r="E11" s="412"/>
      <c r="F11" s="412"/>
      <c r="G11" s="412"/>
      <c r="H11" s="412"/>
      <c r="I11" s="412"/>
      <c r="J11" s="412"/>
      <c r="K11" s="412"/>
      <c r="L11" s="412"/>
    </row>
    <row r="12" spans="1:44" x14ac:dyDescent="0.25">
      <c r="A12" s="413" t="str">
        <f>'1. паспорт местоположение'!A12:C12</f>
        <v>M 22-08</v>
      </c>
      <c r="B12" s="413"/>
      <c r="C12" s="413"/>
      <c r="D12" s="413"/>
      <c r="E12" s="413"/>
      <c r="F12" s="413"/>
      <c r="G12" s="413"/>
      <c r="H12" s="413"/>
      <c r="I12" s="413"/>
      <c r="J12" s="413"/>
      <c r="K12" s="413"/>
      <c r="L12" s="413"/>
    </row>
    <row r="13" spans="1:44" x14ac:dyDescent="0.25">
      <c r="A13" s="417" t="s">
        <v>5</v>
      </c>
      <c r="B13" s="417"/>
      <c r="C13" s="417"/>
      <c r="D13" s="417"/>
      <c r="E13" s="417"/>
      <c r="F13" s="417"/>
      <c r="G13" s="417"/>
      <c r="H13" s="417"/>
      <c r="I13" s="417"/>
      <c r="J13" s="417"/>
      <c r="K13" s="417"/>
      <c r="L13" s="417"/>
    </row>
    <row r="14" spans="1:44" ht="18.75" x14ac:dyDescent="0.25">
      <c r="A14" s="418"/>
      <c r="B14" s="418"/>
      <c r="C14" s="418"/>
      <c r="D14" s="418"/>
      <c r="E14" s="418"/>
      <c r="F14" s="418"/>
      <c r="G14" s="418"/>
      <c r="H14" s="418"/>
      <c r="I14" s="418"/>
      <c r="J14" s="418"/>
      <c r="K14" s="418"/>
      <c r="L14" s="418"/>
    </row>
    <row r="15" spans="1:44" ht="102" customHeight="1" x14ac:dyDescent="0.25">
      <c r="A15" s="419" t="str">
        <f>'1. паспорт местоположение'!A15</f>
        <v>Приобретение автокрана на базе КАМАЗ 43118</v>
      </c>
      <c r="B15" s="419"/>
      <c r="C15" s="419"/>
      <c r="D15" s="419"/>
      <c r="E15" s="419"/>
      <c r="F15" s="419"/>
      <c r="G15" s="419"/>
      <c r="H15" s="419"/>
      <c r="I15" s="419"/>
      <c r="J15" s="419"/>
      <c r="K15" s="419"/>
      <c r="L15" s="419"/>
    </row>
    <row r="16" spans="1:44" x14ac:dyDescent="0.25">
      <c r="A16" s="417" t="s">
        <v>4</v>
      </c>
      <c r="B16" s="417"/>
      <c r="C16" s="417"/>
      <c r="D16" s="417"/>
      <c r="E16" s="417"/>
      <c r="F16" s="417"/>
      <c r="G16" s="417"/>
      <c r="H16" s="417"/>
      <c r="I16" s="417"/>
      <c r="J16" s="417"/>
      <c r="K16" s="417"/>
      <c r="L16" s="417"/>
    </row>
    <row r="17" spans="1:12" ht="15.75" customHeight="1" x14ac:dyDescent="0.25">
      <c r="L17" s="84"/>
    </row>
    <row r="18" spans="1:12" x14ac:dyDescent="0.25">
      <c r="K18" s="83"/>
    </row>
    <row r="19" spans="1:12" ht="15.75" customHeight="1" x14ac:dyDescent="0.25">
      <c r="A19" s="481" t="s">
        <v>478</v>
      </c>
      <c r="B19" s="481"/>
      <c r="C19" s="481"/>
      <c r="D19" s="481"/>
      <c r="E19" s="481"/>
      <c r="F19" s="481"/>
      <c r="G19" s="481"/>
      <c r="H19" s="481"/>
      <c r="I19" s="481"/>
      <c r="J19" s="481"/>
      <c r="K19" s="481"/>
      <c r="L19" s="481"/>
    </row>
    <row r="20" spans="1:12" x14ac:dyDescent="0.25">
      <c r="A20" s="61"/>
      <c r="B20" s="61"/>
      <c r="C20" s="82"/>
      <c r="D20" s="82"/>
      <c r="E20" s="82"/>
      <c r="F20" s="82"/>
      <c r="G20" s="82"/>
      <c r="H20" s="82"/>
      <c r="I20" s="82"/>
      <c r="J20" s="82"/>
      <c r="K20" s="82"/>
      <c r="L20" s="82"/>
    </row>
    <row r="21" spans="1:12" ht="28.5" customHeight="1" x14ac:dyDescent="0.25">
      <c r="A21" s="473" t="s">
        <v>216</v>
      </c>
      <c r="B21" s="473" t="s">
        <v>215</v>
      </c>
      <c r="C21" s="479" t="s">
        <v>410</v>
      </c>
      <c r="D21" s="479"/>
      <c r="E21" s="479"/>
      <c r="F21" s="479"/>
      <c r="G21" s="479"/>
      <c r="H21" s="479"/>
      <c r="I21" s="474" t="s">
        <v>214</v>
      </c>
      <c r="J21" s="476" t="s">
        <v>412</v>
      </c>
      <c r="K21" s="473" t="s">
        <v>213</v>
      </c>
      <c r="L21" s="475" t="s">
        <v>411</v>
      </c>
    </row>
    <row r="22" spans="1:12" ht="58.5" customHeight="1" x14ac:dyDescent="0.25">
      <c r="A22" s="473"/>
      <c r="B22" s="473"/>
      <c r="C22" s="480" t="s">
        <v>2</v>
      </c>
      <c r="D22" s="480"/>
      <c r="E22" s="480" t="s">
        <v>9</v>
      </c>
      <c r="F22" s="480"/>
      <c r="G22" s="480" t="s">
        <v>532</v>
      </c>
      <c r="H22" s="480"/>
      <c r="I22" s="474"/>
      <c r="J22" s="477"/>
      <c r="K22" s="473"/>
      <c r="L22" s="475"/>
    </row>
    <row r="23" spans="1:12" ht="31.5" x14ac:dyDescent="0.25">
      <c r="A23" s="473"/>
      <c r="B23" s="473"/>
      <c r="C23" s="81" t="s">
        <v>212</v>
      </c>
      <c r="D23" s="81" t="s">
        <v>211</v>
      </c>
      <c r="E23" s="81" t="s">
        <v>212</v>
      </c>
      <c r="F23" s="81" t="s">
        <v>211</v>
      </c>
      <c r="G23" s="81" t="s">
        <v>212</v>
      </c>
      <c r="H23" s="81" t="s">
        <v>211</v>
      </c>
      <c r="I23" s="474"/>
      <c r="J23" s="478"/>
      <c r="K23" s="473"/>
      <c r="L23" s="475"/>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44591</v>
      </c>
      <c r="H40" s="181">
        <v>44925</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44591</v>
      </c>
      <c r="H43" s="181">
        <v>44925</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44591</v>
      </c>
      <c r="H53" s="181">
        <v>44925</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2022-02-14T14:38:14Z</dcterms:modified>
</cp:coreProperties>
</file>