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L  21-07  факт 2021 тп\L 21-07_паспорт_карта\"/>
    </mc:Choice>
  </mc:AlternateContent>
  <xr:revisionPtr revIDLastSave="0" documentId="13_ncr:1_{F3CB3A93-26B6-42AB-AD38-936D8CA5BF74}"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41" i="29" l="1"/>
  <c r="R27" i="14"/>
  <c r="K26" i="5"/>
  <c r="D41" i="29"/>
  <c r="D30" i="29"/>
  <c r="D58" i="29" l="1"/>
  <c r="D52" i="29"/>
  <c r="D49" i="29" l="1"/>
  <c r="D45" i="29"/>
  <c r="E45" i="29" s="1"/>
  <c r="F29" i="29"/>
  <c r="F31" i="29"/>
  <c r="F32" i="29"/>
  <c r="F33" i="29"/>
  <c r="F34" i="29"/>
  <c r="F35" i="29"/>
  <c r="F36" i="29"/>
  <c r="F37" i="29"/>
  <c r="F38" i="29"/>
  <c r="F39" i="29"/>
  <c r="F40" i="29"/>
  <c r="F41" i="29"/>
  <c r="F42" i="29"/>
  <c r="F43" i="29"/>
  <c r="F44" i="29"/>
  <c r="F45" i="29"/>
  <c r="F46" i="29"/>
  <c r="F47" i="29"/>
  <c r="F48" i="29"/>
  <c r="F50" i="29"/>
  <c r="F51" i="29"/>
  <c r="F53" i="29"/>
  <c r="F55" i="29"/>
  <c r="F57" i="29"/>
  <c r="F59" i="29"/>
  <c r="F60" i="29"/>
  <c r="F61" i="29"/>
  <c r="F62" i="29"/>
  <c r="F63" i="29"/>
  <c r="F64" i="29"/>
  <c r="F25" i="29"/>
  <c r="F26" i="29"/>
  <c r="F27" i="29"/>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D56" i="29"/>
  <c r="E56" i="29" s="1"/>
  <c r="D54" i="29"/>
  <c r="N24" i="29"/>
  <c r="F24" i="29" s="1"/>
  <c r="N56" i="29"/>
  <c r="N49" i="29"/>
  <c r="N45" i="29"/>
  <c r="N54" i="29" s="1"/>
  <c r="N52" i="29"/>
  <c r="N58" i="29" s="1"/>
  <c r="F58" i="29" s="1"/>
  <c r="F49" i="29" l="1"/>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I118" i="30"/>
  <c r="N25" i="29"/>
  <c r="N26" i="29"/>
  <c r="N29" i="29"/>
  <c r="N35" i="29"/>
  <c r="N36" i="29"/>
  <c r="N38" i="29"/>
  <c r="N39" i="29"/>
  <c r="N40" i="29"/>
  <c r="N43" i="29"/>
  <c r="N44" i="29"/>
  <c r="N46" i="29"/>
  <c r="N47" i="29"/>
  <c r="N48" i="29"/>
  <c r="N51" i="29"/>
  <c r="N53" i="29"/>
  <c r="N55" i="29"/>
  <c r="N59" i="29"/>
  <c r="N60" i="29"/>
  <c r="N62" i="29"/>
  <c r="N63" i="29"/>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R90" i="30"/>
  <c r="R87" i="30"/>
  <c r="AD90" i="30"/>
  <c r="AD87" i="30"/>
  <c r="R89" i="30"/>
  <c r="R84" i="30"/>
  <c r="A105" i="30"/>
  <c r="G30" i="30"/>
  <c r="AO89" i="30"/>
  <c r="AO84" i="30"/>
  <c r="AI86" i="30"/>
  <c r="AI83" i="30"/>
  <c r="AI79" i="30"/>
  <c r="Q90" i="30"/>
  <c r="Q87" i="30"/>
  <c r="AH89" i="30"/>
  <c r="AH84" i="30"/>
  <c r="AG86" i="30"/>
  <c r="AG83" i="30"/>
  <c r="AG79" i="30"/>
  <c r="U86" i="30"/>
  <c r="U83" i="30"/>
  <c r="U79" i="30"/>
  <c r="AP89" i="30"/>
  <c r="AP84" i="30"/>
  <c r="AN90" i="30"/>
  <c r="AN87" i="30"/>
  <c r="S90" i="30"/>
  <c r="S87" i="30"/>
  <c r="AP90" i="30"/>
  <c r="AL89" i="30"/>
  <c r="AL84" i="30"/>
  <c r="M90" i="30"/>
  <c r="M87" i="30"/>
  <c r="AM90" i="30"/>
  <c r="AM87" i="30"/>
  <c r="AP86" i="30"/>
  <c r="AP83" i="30"/>
  <c r="AP79" i="30"/>
  <c r="J89" i="30"/>
  <c r="J84" i="30"/>
  <c r="AA89" i="30"/>
  <c r="AA84" i="30"/>
  <c r="I89" i="30"/>
  <c r="I84" i="30"/>
  <c r="AJ86" i="30"/>
  <c r="AJ83" i="30"/>
  <c r="AJ79" i="30"/>
  <c r="V89" i="30"/>
  <c r="V84" i="30"/>
  <c r="C105" i="30"/>
  <c r="G28" i="30"/>
  <c r="B89" i="30"/>
  <c r="B84" i="30"/>
  <c r="X89" i="30"/>
  <c r="X84" i="30"/>
  <c r="AM86" i="30"/>
  <c r="AM83" i="30"/>
  <c r="AM79" i="30"/>
  <c r="AE86" i="30"/>
  <c r="AE83" i="30"/>
  <c r="AE79" i="30"/>
  <c r="AF89" i="30"/>
  <c r="AF84" i="30"/>
  <c r="K89" i="30"/>
  <c r="K84" i="30"/>
  <c r="F89" i="30"/>
  <c r="F84" i="30"/>
  <c r="B105" i="30"/>
  <c r="L88" i="30"/>
  <c r="I86" i="30"/>
  <c r="I83" i="30"/>
  <c r="I79" i="30"/>
  <c r="O90" i="30"/>
  <c r="O87" i="30"/>
  <c r="G90" i="30"/>
  <c r="G87" i="30"/>
  <c r="AK90" i="30"/>
  <c r="AK87" i="30"/>
  <c r="Q89" i="30"/>
  <c r="Q84" i="30"/>
  <c r="L87" i="30"/>
  <c r="L90" i="30"/>
  <c r="T89" i="30"/>
  <c r="T84" i="30"/>
  <c r="G89" i="30"/>
  <c r="G84" i="30"/>
  <c r="AG90" i="30"/>
  <c r="AG87" i="30"/>
  <c r="R79" i="30"/>
  <c r="R83" i="30"/>
  <c r="R86" i="30"/>
  <c r="AH90" i="30"/>
  <c r="AH87" i="30"/>
  <c r="U89" i="30"/>
  <c r="U84" i="30"/>
  <c r="K79" i="30"/>
  <c r="K83" i="30"/>
  <c r="K86" i="30"/>
  <c r="Z90" i="30"/>
  <c r="Z87" i="30"/>
  <c r="AO79" i="30"/>
  <c r="AO83" i="30"/>
  <c r="AO86" i="30"/>
  <c r="L79" i="30"/>
  <c r="L83" i="30"/>
  <c r="L86" i="30"/>
  <c r="V90" i="30"/>
  <c r="V87" i="30"/>
  <c r="E89" i="30"/>
  <c r="E84" i="30"/>
  <c r="W79" i="30"/>
  <c r="W83" i="30"/>
  <c r="W86" i="30"/>
  <c r="C89" i="30"/>
  <c r="C84" i="30"/>
  <c r="AN79" i="30"/>
  <c r="AN83" i="30"/>
  <c r="AN86" i="30"/>
  <c r="G86" i="30"/>
  <c r="G83" i="30"/>
  <c r="G79" i="30"/>
  <c r="AM89" i="30"/>
  <c r="AM84" i="30"/>
  <c r="M89" i="30"/>
  <c r="M84" i="30"/>
  <c r="T90" i="30"/>
  <c r="T87" i="30"/>
  <c r="AA86" i="30"/>
  <c r="AA83" i="30"/>
  <c r="AA79" i="30"/>
  <c r="P89" i="30"/>
  <c r="P84" i="30"/>
  <c r="F86" i="30"/>
  <c r="F83" i="30"/>
  <c r="F79" i="30"/>
  <c r="X86" i="30"/>
  <c r="X83" i="30"/>
  <c r="X79" i="30"/>
  <c r="AI90" i="30"/>
  <c r="AI87" i="30"/>
  <c r="AC79" i="30"/>
  <c r="AC83" i="30"/>
  <c r="AC86" i="30"/>
  <c r="C79" i="30"/>
  <c r="C83" i="30"/>
  <c r="C86" i="30"/>
  <c r="S79" i="30"/>
  <c r="S83" i="30"/>
  <c r="S86" i="30"/>
  <c r="F90" i="30"/>
  <c r="F87" i="30"/>
  <c r="AF90" i="30"/>
  <c r="AF87" i="30"/>
  <c r="S89" i="30"/>
  <c r="S84" i="30"/>
  <c r="N90" i="30"/>
  <c r="N87" i="30"/>
  <c r="Q86" i="30"/>
  <c r="Q83" i="30"/>
  <c r="Q79" i="30"/>
  <c r="AA90" i="30"/>
  <c r="AA87" i="30"/>
  <c r="O89" i="30"/>
  <c r="O84" i="30"/>
  <c r="Y89" i="30"/>
  <c r="Y84" i="30"/>
  <c r="H89" i="30"/>
  <c r="H84" i="30"/>
  <c r="AD89" i="30"/>
  <c r="AD84" i="30"/>
  <c r="AE89" i="30"/>
  <c r="AE84" i="30"/>
  <c r="AE90" i="30"/>
  <c r="AE87" i="30"/>
  <c r="U90" i="30"/>
  <c r="U87" i="30"/>
  <c r="AC89" i="30"/>
  <c r="AC84" i="30"/>
  <c r="P79" i="30"/>
  <c r="P83" i="30"/>
  <c r="P86" i="30"/>
  <c r="AD79" i="30"/>
  <c r="AD83" i="30"/>
  <c r="AD86" i="30"/>
  <c r="I90" i="30"/>
  <c r="I87" i="30"/>
  <c r="O79" i="30"/>
  <c r="O83" i="30"/>
  <c r="O86" i="30"/>
  <c r="J90" i="30"/>
  <c r="J87" i="30"/>
  <c r="AK79" i="30"/>
  <c r="AK83" i="30"/>
  <c r="AK86" i="30"/>
  <c r="AF79" i="30"/>
  <c r="AF83" i="30"/>
  <c r="AF86" i="30"/>
  <c r="M79" i="30"/>
  <c r="M83" i="30"/>
  <c r="M86" i="30"/>
  <c r="D90" i="30"/>
  <c r="D87" i="30"/>
  <c r="AO90" i="30"/>
  <c r="AO87" i="30"/>
  <c r="V79" i="30"/>
  <c r="V83" i="30"/>
  <c r="V86" i="30"/>
  <c r="C90" i="30"/>
  <c r="C87" i="30"/>
  <c r="Y90" i="30"/>
  <c r="Y87" i="30"/>
  <c r="W89" i="30"/>
  <c r="W84" i="30"/>
  <c r="AN89" i="30"/>
  <c r="AN84" i="30"/>
  <c r="J79" i="30"/>
  <c r="J83" i="30"/>
  <c r="J86" i="30"/>
  <c r="AL79" i="30"/>
  <c r="AL83" i="30"/>
  <c r="AL86" i="30"/>
  <c r="N89" i="30"/>
  <c r="N84" i="30"/>
  <c r="AL90" i="30"/>
  <c r="AL87" i="30"/>
  <c r="D89" i="30"/>
  <c r="D84" i="30"/>
  <c r="AP87" i="30"/>
  <c r="A101" i="30"/>
  <c r="B102" i="30"/>
  <c r="Z79" i="30"/>
  <c r="Z83" i="30"/>
  <c r="Z86" i="30"/>
  <c r="AJ90" i="30"/>
  <c r="AJ87" i="30"/>
  <c r="W90" i="30"/>
  <c r="W87" i="30"/>
  <c r="AC90" i="30"/>
  <c r="AC87" i="30"/>
  <c r="AH79" i="30"/>
  <c r="AH83" i="30"/>
  <c r="AH86" i="30"/>
  <c r="Z89" i="30"/>
  <c r="Z84" i="30"/>
  <c r="AB79" i="30"/>
  <c r="AB83" i="30"/>
  <c r="AB86" i="30"/>
  <c r="L89" i="30"/>
  <c r="L84" i="30"/>
  <c r="X90" i="30"/>
  <c r="X87" i="30"/>
  <c r="T79" i="30"/>
  <c r="T83" i="30"/>
  <c r="T86" i="30"/>
  <c r="E79" i="30"/>
  <c r="E83" i="30"/>
  <c r="E86" i="30"/>
  <c r="H87" i="30"/>
  <c r="H90" i="30"/>
  <c r="N79" i="30"/>
  <c r="N83" i="30"/>
  <c r="N86" i="30"/>
  <c r="D79" i="30"/>
  <c r="D83" i="30"/>
  <c r="D86" i="30"/>
  <c r="P87" i="30"/>
  <c r="P90" i="30"/>
  <c r="H79" i="30"/>
  <c r="H83" i="30"/>
  <c r="H86" i="30"/>
  <c r="AG89" i="30"/>
  <c r="AG84" i="30"/>
  <c r="AB87" i="30"/>
  <c r="AB90" i="30"/>
  <c r="AB89" i="30"/>
  <c r="AB84" i="30"/>
  <c r="B87" i="30"/>
  <c r="B90" i="30"/>
  <c r="G29" i="30"/>
  <c r="D105" i="30"/>
  <c r="E87" i="30"/>
  <c r="E90" i="30"/>
  <c r="AJ89" i="30"/>
  <c r="AJ84" i="30"/>
  <c r="AI89" i="30"/>
  <c r="AI84" i="30"/>
  <c r="AE88" i="30"/>
  <c r="AH88" i="30"/>
  <c r="AK88" i="30"/>
  <c r="W88" i="30"/>
  <c r="U88" i="30"/>
  <c r="AA88" i="30"/>
  <c r="Y88" i="30"/>
  <c r="AL88" i="30"/>
  <c r="S88" i="30"/>
  <c r="Q88" i="30"/>
  <c r="AN88" i="30"/>
  <c r="B88" i="30"/>
  <c r="E88" i="30"/>
  <c r="H88" i="30"/>
  <c r="AC88" i="30"/>
  <c r="AF88" i="30"/>
  <c r="J88" i="30"/>
  <c r="AJ88" i="30"/>
  <c r="X88" i="30"/>
  <c r="V88" i="30"/>
  <c r="AD88" i="30"/>
  <c r="P88" i="30"/>
  <c r="AP88" i="30"/>
  <c r="AO88" i="30"/>
  <c r="R88" i="30"/>
  <c r="AB88" i="30"/>
  <c r="G88" i="30"/>
  <c r="Z88" i="30"/>
  <c r="N88" i="30"/>
  <c r="I88" i="30"/>
  <c r="AG88" i="30"/>
  <c r="O88" i="30"/>
  <c r="AI88" i="30"/>
  <c r="M88" i="30"/>
  <c r="F88" i="30"/>
  <c r="T88" i="30"/>
  <c r="D88" i="30"/>
  <c r="C88" i="30"/>
  <c r="AM88" i="30"/>
  <c r="K88" i="30"/>
  <c r="Y79" i="30"/>
  <c r="Y83" i="30"/>
  <c r="Y86" i="30"/>
  <c r="AK84" i="30"/>
  <c r="AK89" i="30"/>
  <c r="B79" i="30"/>
  <c r="B83" i="30"/>
  <c r="B86" i="30"/>
  <c r="K87" i="30"/>
  <c r="K90" i="30"/>
</calcChain>
</file>

<file path=xl/sharedStrings.xml><?xml version="1.0" encoding="utf-8"?>
<sst xmlns="http://schemas.openxmlformats.org/spreadsheetml/2006/main" count="1434" uniqueCount="657">
  <si>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</si>
  <si>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</si>
  <si>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</si>
  <si>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</si>
  <si>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</si>
  <si>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</si>
  <si>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</si>
  <si>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</si>
  <si>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</si>
  <si>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</si>
  <si>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</si>
  <si>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</si>
  <si>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</si>
  <si>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</si>
  <si>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</si>
  <si>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</si>
  <si>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</si>
  <si>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</si>
  <si>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</si>
  <si>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</si>
  <si>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</si>
  <si>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</si>
  <si>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</si>
  <si>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</si>
  <si>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</si>
  <si>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</si>
  <si>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</si>
  <si>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</si>
  <si>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</si>
  <si>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</si>
  <si>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</si>
  <si>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</si>
  <si>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</si>
  <si>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</si>
  <si>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</si>
  <si>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</si>
  <si>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</si>
  <si>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</si>
  <si>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</si>
  <si>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</si>
  <si>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</si>
  <si>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</si>
  <si>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</si>
  <si>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</si>
  <si>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</si>
  <si>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</si>
  <si>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</si>
  <si>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</si>
  <si>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</si>
  <si>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</si>
  <si>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</si>
  <si>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</si>
  <si>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</si>
  <si>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</si>
  <si>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</si>
  <si>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</si>
  <si>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</si>
  <si>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</si>
  <si>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</si>
  <si>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</si>
  <si>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</si>
  <si>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</si>
  <si>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</si>
  <si>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</si>
  <si>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</si>
  <si>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</si>
  <si>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</si>
  <si>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</si>
  <si>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</si>
  <si>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</si>
  <si>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</si>
  <si>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</si>
  <si>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</si>
  <si>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</si>
  <si>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</si>
  <si>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</si>
  <si>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</si>
  <si>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</si>
  <si>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</si>
  <si>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</si>
  <si>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</si>
  <si>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</si>
  <si>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</si>
  <si>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</si>
  <si>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</si>
  <si>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</si>
  <si>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</si>
  <si>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</si>
  <si>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</si>
  <si>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</si>
  <si>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</si>
  <si>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</si>
  <si>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</si>
  <si>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</si>
  <si>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</si>
  <si>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</si>
  <si>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</si>
  <si>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</si>
  <si>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</si>
  <si>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</si>
  <si>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</si>
  <si>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</si>
  <si>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</si>
  <si>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</si>
  <si>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</si>
  <si>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</si>
  <si>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</si>
  <si>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</si>
  <si>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</si>
  <si>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</si>
  <si>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</si>
  <si>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</si>
  <si>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</si>
  <si>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</si>
  <si>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</si>
  <si>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</si>
  <si>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</si>
  <si>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</si>
  <si>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</si>
  <si>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</si>
  <si>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</si>
  <si>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</si>
  <si>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</si>
  <si>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</si>
  <si>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</si>
  <si>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</si>
  <si>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</si>
  <si>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</si>
  <si>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</si>
  <si>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</si>
  <si>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</si>
  <si>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</si>
  <si>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</si>
  <si>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</si>
  <si>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</si>
  <si>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</si>
  <si>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</si>
  <si>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</si>
  <si>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</si>
  <si>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</si>
  <si>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</si>
  <si>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</si>
  <si>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</si>
  <si>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</si>
  <si>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</si>
  <si>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</si>
  <si>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</si>
  <si>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</si>
  <si>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</si>
  <si>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</si>
  <si>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</si>
  <si>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</si>
  <si>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</si>
  <si>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</si>
  <si>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</si>
  <si>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</si>
  <si>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</si>
  <si>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</si>
  <si>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</si>
  <si>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</si>
  <si>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</si>
  <si>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</si>
  <si>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</si>
  <si>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</si>
  <si>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</si>
  <si>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</si>
  <si>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</si>
  <si>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</si>
  <si>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</si>
  <si>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</si>
  <si>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</si>
  <si>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</si>
  <si>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</si>
  <si>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</si>
  <si>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</si>
  <si>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</si>
  <si>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</si>
  <si>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</si>
  <si>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</si>
  <si>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</si>
  <si>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</si>
  <si>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</si>
  <si>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</si>
  <si>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</si>
  <si>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</si>
  <si>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</si>
  <si>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</si>
  <si>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</si>
  <si>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</si>
  <si>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</si>
  <si>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</si>
  <si>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</si>
  <si>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</si>
  <si>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</si>
  <si>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</si>
  <si>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</si>
  <si>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</si>
  <si>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</si>
  <si>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</si>
  <si>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</si>
  <si>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</si>
  <si>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</si>
  <si>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</si>
  <si>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</si>
  <si>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</si>
  <si>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</si>
  <si>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</si>
  <si>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</si>
  <si>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</si>
  <si>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</si>
  <si>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</si>
  <si>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</si>
  <si>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</si>
  <si>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</si>
  <si>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</si>
  <si>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</si>
  <si>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</si>
  <si>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</si>
  <si>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</si>
  <si>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</si>
  <si>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</si>
  <si>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</si>
  <si>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</si>
  <si>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</si>
  <si>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</si>
  <si>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</si>
  <si>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</si>
  <si>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</si>
  <si>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</si>
  <si>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</si>
  <si>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</si>
  <si>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</si>
  <si>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</si>
  <si>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</si>
  <si>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</si>
  <si>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</si>
  <si>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</si>
  <si>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</si>
  <si>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</si>
  <si>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</si>
  <si>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</si>
  <si>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</si>
  <si>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</si>
  <si>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</si>
  <si>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</si>
  <si>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</si>
  <si>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</si>
  <si>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</si>
  <si>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</si>
  <si>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</si>
  <si>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</si>
  <si>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</si>
  <si>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</si>
  <si>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</si>
  <si>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</si>
  <si>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</si>
  <si>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</si>
  <si>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</si>
  <si>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</si>
  <si>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</si>
  <si>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</si>
  <si>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</si>
  <si>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</si>
  <si>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</si>
  <si>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</si>
  <si>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</si>
  <si>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</si>
  <si>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</si>
  <si>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</si>
  <si>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</si>
  <si>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</si>
  <si>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</si>
  <si>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</si>
  <si>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</si>
  <si>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</si>
  <si>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</si>
  <si>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</si>
  <si>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</si>
  <si>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</si>
  <si>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</si>
  <si>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</si>
  <si>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</si>
  <si>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</si>
  <si>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</si>
  <si>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</si>
  <si>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</si>
  <si>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</si>
  <si>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</si>
  <si>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</si>
  <si>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</si>
  <si>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</si>
  <si>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</si>
  <si>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</si>
  <si>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</si>
  <si>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</si>
  <si>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</si>
  <si>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</si>
  <si>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</si>
  <si>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</si>
  <si>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</si>
  <si>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</si>
  <si>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</si>
  <si>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</si>
  <si>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</si>
  <si>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</si>
  <si>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</si>
  <si>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</si>
  <si>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</si>
  <si>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</si>
  <si>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</si>
  <si>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</si>
  <si>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</si>
  <si>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</si>
  <si>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</si>
  <si>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</si>
  <si>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</si>
  <si>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</si>
  <si>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</si>
  <si>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</si>
  <si>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</si>
  <si>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</si>
  <si>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</si>
  <si>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</si>
  <si>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</si>
  <si>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</si>
  <si>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</si>
  <si>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</si>
  <si>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</si>
  <si>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</si>
  <si>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</si>
  <si>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</si>
  <si>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</si>
  <si>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</si>
  <si>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</si>
  <si>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</si>
  <si>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</si>
  <si>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</si>
  <si>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</si>
  <si>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</si>
  <si>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</si>
  <si>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</si>
  <si>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</si>
  <si>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</si>
  <si>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</si>
  <si>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</si>
  <si>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</si>
  <si>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</si>
  <si>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</si>
  <si>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</si>
  <si>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</si>
  <si>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</si>
  <si>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</si>
  <si>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</si>
  <si>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</si>
  <si>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</si>
  <si>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</si>
  <si>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</si>
  <si>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</si>
  <si>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</si>
  <si>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</si>
  <si>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</si>
  <si>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</si>
  <si>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</si>
  <si>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</si>
  <si>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</si>
  <si>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</si>
  <si>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</si>
  <si>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</si>
  <si>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</si>
  <si>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</si>
  <si>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</si>
  <si>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</si>
  <si>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</si>
  <si>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</si>
  <si>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</si>
  <si>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</si>
  <si>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</si>
  <si>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</si>
  <si>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</si>
  <si>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</si>
  <si>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</si>
  <si>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</si>
  <si>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</si>
  <si>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</si>
  <si>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</si>
  <si>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</si>
  <si>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</si>
  <si>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</si>
  <si>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</si>
  <si>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</si>
  <si>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</si>
  <si>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</si>
  <si>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</si>
  <si>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</si>
  <si>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</si>
  <si>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</si>
  <si>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</si>
  <si>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</si>
  <si>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</si>
  <si>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</si>
  <si>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</si>
  <si>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</si>
  <si>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</si>
  <si>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</si>
  <si>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</si>
  <si>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</si>
  <si>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</si>
  <si>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</si>
  <si>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</si>
  <si>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</si>
  <si>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</si>
  <si>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</si>
  <si>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</si>
  <si>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</si>
  <si>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</si>
  <si>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</si>
  <si>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</si>
  <si>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</si>
  <si>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</si>
  <si>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</si>
  <si>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</si>
  <si>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</si>
  <si>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</si>
  <si>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</si>
  <si>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</si>
  <si>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</si>
  <si>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</si>
  <si>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</si>
  <si>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</si>
  <si>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</si>
  <si>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</si>
  <si>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</si>
  <si>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</si>
  <si>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</si>
  <si>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</si>
  <si>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</si>
  <si>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</si>
  <si>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</si>
  <si>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</si>
  <si>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</si>
  <si>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</si>
  <si>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</si>
  <si>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</si>
  <si>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</si>
  <si>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</si>
  <si>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</si>
  <si>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</si>
  <si>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</si>
  <si>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</si>
  <si>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</si>
  <si>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</si>
  <si>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</si>
  <si>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</si>
  <si>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</si>
  <si>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</si>
  <si>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</si>
  <si>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</si>
  <si>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</si>
  <si>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</si>
  <si>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</si>
  <si>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</si>
  <si>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</si>
  <si>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</si>
  <si>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</si>
  <si>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</si>
  <si>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</si>
  <si>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</si>
  <si>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</si>
  <si>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</si>
  <si>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</si>
  <si>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</si>
  <si>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</si>
  <si>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</si>
  <si>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</si>
  <si>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</si>
  <si>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</si>
  <si>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</si>
  <si>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</si>
  <si>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</si>
  <si>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</si>
  <si>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</si>
  <si>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</si>
  <si>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</si>
  <si>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</si>
  <si>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</si>
  <si>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</si>
  <si>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</si>
  <si>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</si>
  <si>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</si>
  <si>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</si>
  <si>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</si>
  <si>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</si>
  <si>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</si>
  <si>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</si>
  <si>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</si>
  <si>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</si>
  <si>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</si>
  <si>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</si>
  <si>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</si>
  <si>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</si>
  <si>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</si>
  <si>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</si>
  <si>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</si>
  <si>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</si>
  <si>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</si>
  <si>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</si>
  <si>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</si>
  <si>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</si>
  <si>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</si>
  <si>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</si>
  <si>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</si>
  <si>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</si>
  <si>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</si>
  <si>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</si>
  <si>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</si>
  <si>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</si>
  <si>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</si>
  <si>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</si>
  <si>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</si>
  <si>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</si>
  <si>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</si>
  <si>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</si>
  <si>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</si>
  <si>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</si>
  <si>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</si>
  <si>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</si>
  <si>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</si>
  <si>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</si>
  <si>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</si>
  <si>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</si>
  <si>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</si>
  <si>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</si>
  <si>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</si>
  <si>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</si>
  <si>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</si>
  <si>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</si>
  <si>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</si>
  <si>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</si>
  <si>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</si>
  <si>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</si>
  <si>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</si>
  <si>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</si>
  <si>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</si>
  <si>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</si>
  <si>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</si>
  <si>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</si>
  <si>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</si>
  <si>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</si>
  <si>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</si>
  <si>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</si>
  <si>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</si>
  <si>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</si>
  <si>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</si>
  <si>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</si>
  <si>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</si>
  <si>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</si>
  <si>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</si>
  <si>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</si>
  <si>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</si>
  <si>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</si>
  <si>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</si>
  <si>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</si>
  <si>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</si>
  <si>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</si>
  <si>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</si>
  <si>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</si>
  <si>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</si>
  <si>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</si>
  <si>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</si>
  <si>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</si>
  <si>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</si>
  <si>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</si>
  <si>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</si>
  <si>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</si>
  <si>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</si>
  <si>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</si>
  <si>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</si>
  <si>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</si>
  <si>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</si>
  <si>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</si>
  <si>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</si>
  <si>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</si>
  <si>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</si>
  <si>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</si>
  <si>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</si>
  <si>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</si>
  <si>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</si>
  <si>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</si>
  <si>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</si>
  <si>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</si>
  <si>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</si>
  <si>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</si>
  <si>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</si>
  <si>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</si>
  <si>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</si>
  <si>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</si>
  <si>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</si>
  <si>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</si>
  <si>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</si>
  <si>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</si>
  <si>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</si>
  <si>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</si>
  <si>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</si>
  <si>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</si>
  <si>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</si>
  <si>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</si>
  <si>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</si>
  <si>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</si>
  <si>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</si>
  <si>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</si>
  <si>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</si>
  <si>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</si>
  <si>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</si>
  <si>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</si>
  <si>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</si>
  <si>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</si>
  <si>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</si>
  <si>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</si>
  <si>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</si>
  <si>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</si>
  <si>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</si>
  <si>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</si>
  <si>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</si>
  <si>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</si>
  <si>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</si>
  <si>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</si>
  <si>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</si>
  <si>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</si>
  <si>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</si>
  <si>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</si>
  <si>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</si>
  <si>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</si>
  <si>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</si>
  <si>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</si>
  <si>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</si>
  <si>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</si>
  <si>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</si>
  <si>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З</t>
  </si>
  <si>
    <t>завершен</t>
  </si>
  <si>
    <t>введен</t>
  </si>
  <si>
    <t>Строительство сетей электроснабжения квартала жилых домов в г Пионерском, ул Октябрьская , 52</t>
  </si>
  <si>
    <t>г. Пионерский</t>
  </si>
  <si>
    <t>Пионерский</t>
  </si>
  <si>
    <t>L_21-07</t>
  </si>
  <si>
    <t>Строительство сетей электроснабжения квартала жилых домов в г Пионерском, ул Октябрьская , 13</t>
  </si>
  <si>
    <t>16-01/19тп от 10.06.2019</t>
  </si>
  <si>
    <t>Строительство   2 КЛ 15 кВ сеч 3х240 мм2 протяженностью 2х50 м, ТП с трансформаторами 1х250 кВА</t>
  </si>
  <si>
    <t>ТМГ-15/0,4кВ 250кВА</t>
  </si>
  <si>
    <t>Электроснабжение квартала жилых домов в г Пионерском, ул Октябрьская , 13</t>
  </si>
  <si>
    <t>квартала жилых домов в г Пионерском, ул Октябрьская , 13, создание 2-й категории надёжности электроснабжения.</t>
  </si>
  <si>
    <t>Квартал жилых домов в г. Пионерский, ул. Октябрьская, 13</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</si>
  <si>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2х250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83 м</t>
  </si>
  <si>
    <t>КЛ от соединительной муфты КЛ 15-313 до 1 с ТП 12</t>
  </si>
  <si>
    <t>КЛ от соединительной муфты КЛ 15-313 до 2 с ТП 12</t>
  </si>
  <si>
    <t>XRUHAKXS -20kV 3 (1х240/50)</t>
  </si>
  <si>
    <t>СтроительствоТП 15/0,4 кВ, 2 КЛ 15 кВ , протяженностью 0,083 км</t>
  </si>
  <si>
    <t>2 КЛ 15 кВ сеч 3(1х240/50) мм2, протяженностью 0,083 км,  ТП 2х250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</si>
</sst>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14" fontId="10" fillId="0" borderId="1" xfId="2" applyNumberFormat="1" applyBorder="1" applyAlignment="1">
      <alignment horizontal="center" vertical="center" wrapText="1" shrinkToFit="1"/>
    </xf>
    <xf numFmtId="14" fontId="10" fillId="0" borderId="1" xfId="2" applyNumberFormat="1" applyBorder="1" applyAlignment="1">
      <alignment horizontal="center" vertical="center" shrinkToFi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2"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8" t="s">
        <v>630</v>
      </c>
      <c r="B5" s="418"/>
      <c r="C5" s="418"/>
      <c r="D5" s="105"/>
      <c r="E5" s="105"/>
      <c r="F5" s="105"/>
      <c r="G5" s="105"/>
      <c r="H5" s="105"/>
      <c r="I5" s="105"/>
      <c r="J5" s="105"/>
    </row>
    <row r="6" spans="1:22" s="11" customFormat="1" ht="18.75" x14ac:dyDescent="0.3">
      <c r="A6" s="16"/>
      <c r="F6" s="15"/>
      <c r="G6" s="15"/>
      <c r="H6" s="14"/>
    </row>
    <row r="7" spans="1:22" s="11" customFormat="1" ht="18.75" x14ac:dyDescent="0.2">
      <c r="A7" s="422" t="s">
        <v>7</v>
      </c>
      <c r="B7" s="422"/>
      <c r="C7" s="4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3" t="s">
        <v>544</v>
      </c>
      <c r="B9" s="423"/>
      <c r="C9" s="423"/>
      <c r="D9" s="7"/>
      <c r="E9" s="7"/>
      <c r="F9" s="7"/>
      <c r="G9" s="7"/>
      <c r="H9" s="7"/>
      <c r="I9" s="12"/>
      <c r="J9" s="12"/>
      <c r="K9" s="12"/>
      <c r="L9" s="12"/>
      <c r="M9" s="12"/>
      <c r="N9" s="12"/>
      <c r="O9" s="12"/>
      <c r="P9" s="12"/>
      <c r="Q9" s="12"/>
      <c r="R9" s="12"/>
      <c r="S9" s="12"/>
      <c r="T9" s="12"/>
      <c r="U9" s="12"/>
      <c r="V9" s="12"/>
    </row>
    <row r="10" spans="1:22" s="11" customFormat="1" ht="18.75" x14ac:dyDescent="0.2">
      <c r="A10" s="419" t="s">
        <v>6</v>
      </c>
      <c r="B10" s="419"/>
      <c r="C10" s="4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3" t="s">
        <v>643</v>
      </c>
      <c r="B12" s="423"/>
      <c r="C12" s="423"/>
      <c r="D12" s="7"/>
      <c r="E12" s="7"/>
      <c r="F12" s="7"/>
      <c r="G12" s="7"/>
      <c r="H12" s="7"/>
      <c r="I12" s="12"/>
      <c r="J12" s="12"/>
      <c r="K12" s="12"/>
      <c r="L12" s="12"/>
      <c r="M12" s="12"/>
      <c r="N12" s="12"/>
      <c r="O12" s="12"/>
      <c r="P12" s="12"/>
      <c r="Q12" s="12"/>
      <c r="R12" s="12"/>
      <c r="S12" s="12"/>
      <c r="T12" s="12"/>
      <c r="U12" s="12"/>
      <c r="V12" s="12"/>
    </row>
    <row r="13" spans="1:22" s="11" customFormat="1" ht="18.75" x14ac:dyDescent="0.2">
      <c r="A13" s="419" t="s">
        <v>5</v>
      </c>
      <c r="B13" s="419"/>
      <c r="C13" s="4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0" t="s">
        <v>644</v>
      </c>
      <c r="B15" s="420"/>
      <c r="C15" s="420"/>
      <c r="D15" s="7"/>
      <c r="E15" s="7"/>
      <c r="F15" s="7"/>
      <c r="G15" s="7"/>
      <c r="H15" s="7"/>
      <c r="I15" s="7"/>
      <c r="J15" s="7"/>
      <c r="K15" s="7"/>
      <c r="L15" s="7"/>
      <c r="M15" s="7"/>
      <c r="N15" s="7"/>
      <c r="O15" s="7"/>
      <c r="P15" s="7"/>
      <c r="Q15" s="7"/>
      <c r="R15" s="7"/>
      <c r="S15" s="7"/>
      <c r="T15" s="7"/>
      <c r="U15" s="7"/>
      <c r="V15" s="7"/>
    </row>
    <row r="16" spans="1:22" s="3" customFormat="1" ht="15" customHeight="1" x14ac:dyDescent="0.2">
      <c r="A16" s="419" t="s">
        <v>4</v>
      </c>
      <c r="B16" s="419"/>
      <c r="C16" s="4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0" t="s">
        <v>408</v>
      </c>
      <c r="B18" s="421"/>
      <c r="C18" s="4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632</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633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5"/>
      <c r="B24" s="416"/>
      <c r="C24" s="417"/>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604</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605</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641</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606</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607</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608</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5"/>
      <c r="B39" s="416"/>
      <c r="C39" s="417"/>
      <c r="D39" s="18"/>
      <c r="E39" s="18"/>
      <c r="F39" s="18"/>
      <c r="G39" s="18"/>
      <c r="H39" s="18"/>
      <c r="I39" s="18"/>
      <c r="J39" s="18"/>
      <c r="K39" s="18"/>
      <c r="L39" s="18"/>
      <c r="M39" s="18"/>
      <c r="N39" s="18"/>
      <c r="O39" s="18"/>
      <c r="P39" s="18"/>
      <c r="Q39" s="18"/>
      <c r="R39" s="18"/>
      <c r="S39" s="18"/>
      <c r="T39" s="18"/>
      <c r="U39" s="18"/>
      <c r="V39" s="18"/>
    </row>
    <row r="40" spans="1:22" ht="78.75" x14ac:dyDescent="0.25">
      <c r="A40" s="19" t="s">
        <v>369</v>
      </c>
      <c r="B40" s="30" t="s">
        <v>420</v>
      </c>
      <c r="C40" s="20" t="s">
        <v>651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5"/>
      <c r="B47" s="416"/>
      <c r="C47" s="41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7.4695150000000003</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6.6786376700000005</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7" t="str">
        <f>'1. паспорт местоположение'!A5:C5</f>
        <v>Год раскрытия информации: 2022 год</v>
      </c>
      <c r="B4" s="507"/>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7"/>
      <c r="AC4" s="507"/>
    </row>
    <row r="5" spans="1:29" ht="18.75" x14ac:dyDescent="0.3">
      <c r="A5" s="44"/>
      <c r="B5" s="44"/>
      <c r="C5" s="44"/>
      <c r="D5" s="44"/>
      <c r="E5" s="44"/>
      <c r="F5" s="44"/>
      <c r="L5" s="44"/>
      <c r="M5" s="44"/>
      <c r="T5" s="44"/>
      <c r="U5" s="44"/>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8" t="str">
        <f>'1. паспорт местоположение'!A9:C9</f>
        <v xml:space="preserve">Акционерное общество "Западная энергетическая компания" </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8" t="str">
        <f>'1. паспорт местоположение'!A12:C12</f>
        <v>L_21-07</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9" t="str">
        <f>'1. паспорт местоположение'!A15:C15</f>
        <v>Строительство сетей электроснабжения квартала жилых домов в г Пионерском, ул Октябрьская , 13</v>
      </c>
      <c r="B14" s="509"/>
      <c r="C14" s="509"/>
      <c r="D14" s="509"/>
      <c r="E14" s="509"/>
      <c r="F14" s="509"/>
      <c r="G14" s="509"/>
      <c r="H14" s="509"/>
      <c r="I14" s="509"/>
      <c r="J14" s="509"/>
      <c r="K14" s="509"/>
      <c r="L14" s="509"/>
      <c r="M14" s="509"/>
      <c r="N14" s="509"/>
      <c r="O14" s="509"/>
      <c r="P14" s="509"/>
      <c r="Q14" s="509"/>
      <c r="R14" s="509"/>
      <c r="S14" s="509"/>
      <c r="T14" s="509"/>
      <c r="U14" s="509"/>
      <c r="V14" s="509"/>
      <c r="W14" s="509"/>
      <c r="X14" s="509"/>
      <c r="Y14" s="509"/>
      <c r="Z14" s="509"/>
      <c r="AA14" s="509"/>
      <c r="AB14" s="509"/>
      <c r="AC14" s="509"/>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2" t="s">
        <v>393</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1" t="s">
        <v>183</v>
      </c>
      <c r="B20" s="501" t="s">
        <v>182</v>
      </c>
      <c r="C20" s="496" t="s">
        <v>181</v>
      </c>
      <c r="D20" s="496"/>
      <c r="E20" s="511" t="s">
        <v>180</v>
      </c>
      <c r="F20" s="511"/>
      <c r="G20" s="501" t="s">
        <v>423</v>
      </c>
      <c r="H20" s="504" t="s">
        <v>424</v>
      </c>
      <c r="I20" s="505"/>
      <c r="J20" s="505"/>
      <c r="K20" s="505"/>
      <c r="L20" s="504" t="s">
        <v>425</v>
      </c>
      <c r="M20" s="505"/>
      <c r="N20" s="505"/>
      <c r="O20" s="505"/>
      <c r="P20" s="504" t="s">
        <v>426</v>
      </c>
      <c r="Q20" s="505"/>
      <c r="R20" s="505"/>
      <c r="S20" s="505"/>
      <c r="T20" s="504" t="s">
        <v>438</v>
      </c>
      <c r="U20" s="505"/>
      <c r="V20" s="505"/>
      <c r="W20" s="505"/>
      <c r="X20" s="504" t="s">
        <v>439</v>
      </c>
      <c r="Y20" s="505"/>
      <c r="Z20" s="505"/>
      <c r="AA20" s="505"/>
      <c r="AB20" s="513" t="s">
        <v>179</v>
      </c>
      <c r="AC20" s="513"/>
      <c r="AD20" s="65"/>
      <c r="AE20" s="65"/>
      <c r="AF20" s="65"/>
    </row>
    <row r="21" spans="1:32" ht="99.75" customHeight="1" x14ac:dyDescent="0.25">
      <c r="A21" s="502"/>
      <c r="B21" s="502"/>
      <c r="C21" s="496"/>
      <c r="D21" s="496"/>
      <c r="E21" s="511"/>
      <c r="F21" s="511"/>
      <c r="G21" s="502"/>
      <c r="H21" s="496" t="s">
        <v>2</v>
      </c>
      <c r="I21" s="496"/>
      <c r="J21" s="496" t="s">
        <v>9</v>
      </c>
      <c r="K21" s="496"/>
      <c r="L21" s="496" t="s">
        <v>2</v>
      </c>
      <c r="M21" s="496"/>
      <c r="N21" s="496" t="s">
        <v>9</v>
      </c>
      <c r="O21" s="496"/>
      <c r="P21" s="496" t="s">
        <v>2</v>
      </c>
      <c r="Q21" s="496"/>
      <c r="R21" s="496" t="s">
        <v>178</v>
      </c>
      <c r="S21" s="496"/>
      <c r="T21" s="496" t="s">
        <v>2</v>
      </c>
      <c r="U21" s="496"/>
      <c r="V21" s="496" t="s">
        <v>178</v>
      </c>
      <c r="W21" s="496"/>
      <c r="X21" s="496" t="s">
        <v>2</v>
      </c>
      <c r="Y21" s="496"/>
      <c r="Z21" s="496" t="s">
        <v>178</v>
      </c>
      <c r="AA21" s="496"/>
      <c r="AB21" s="513"/>
      <c r="AC21" s="513"/>
    </row>
    <row r="22" spans="1:32" ht="89.25" customHeight="1" x14ac:dyDescent="0.25">
      <c r="A22" s="503"/>
      <c r="B22" s="503"/>
      <c r="C22" s="62" t="s">
        <v>2</v>
      </c>
      <c r="D22" s="62" t="s">
        <v>178</v>
      </c>
      <c r="E22" s="64" t="s">
        <v>437</v>
      </c>
      <c r="F22" s="64" t="s">
        <v>482</v>
      </c>
      <c r="G22" s="50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9"/>
      <c r="C66" s="499"/>
      <c r="D66" s="499"/>
      <c r="E66" s="499"/>
      <c r="F66" s="499"/>
      <c r="G66" s="499"/>
      <c r="H66" s="499"/>
      <c r="I66" s="49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0"/>
      <c r="C68" s="500"/>
      <c r="D68" s="500"/>
      <c r="E68" s="500"/>
      <c r="F68" s="500"/>
      <c r="G68" s="500"/>
      <c r="H68" s="500"/>
      <c r="I68" s="50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9"/>
      <c r="C70" s="499"/>
      <c r="D70" s="499"/>
      <c r="E70" s="499"/>
      <c r="F70" s="499"/>
      <c r="G70" s="499"/>
      <c r="H70" s="499"/>
      <c r="I70" s="49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9"/>
      <c r="C72" s="499"/>
      <c r="D72" s="499"/>
      <c r="E72" s="499"/>
      <c r="F72" s="499"/>
      <c r="G72" s="499"/>
      <c r="H72" s="499"/>
      <c r="I72" s="49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0"/>
      <c r="C73" s="500"/>
      <c r="D73" s="500"/>
      <c r="E73" s="500"/>
      <c r="F73" s="500"/>
      <c r="G73" s="500"/>
      <c r="H73" s="500"/>
      <c r="I73" s="50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9"/>
      <c r="C74" s="499"/>
      <c r="D74" s="499"/>
      <c r="E74" s="499"/>
      <c r="F74" s="499"/>
      <c r="G74" s="499"/>
      <c r="H74" s="499"/>
      <c r="I74" s="49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6"/>
      <c r="C75" s="506"/>
      <c r="D75" s="506"/>
      <c r="E75" s="506"/>
      <c r="F75" s="506"/>
      <c r="G75" s="506"/>
      <c r="H75" s="506"/>
      <c r="I75" s="50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8"/>
      <c r="C77" s="498"/>
      <c r="D77" s="498"/>
      <c r="E77" s="498"/>
      <c r="F77" s="498"/>
      <c r="G77" s="498"/>
      <c r="H77" s="498"/>
      <c r="I77" s="49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B2" zoomScale="70" zoomScaleNormal="70" zoomScaleSheetLayoutView="70" workbookViewId="0">
      <selection activeCell="D41" sqref="D4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8" t="str">
        <f>'6.1. Паспорт сетевой график'!A5:K5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404"/>
    </row>
    <row r="6" spans="1:29" ht="18.75" x14ac:dyDescent="0.25">
      <c r="A6" s="518" t="s">
        <v>7</v>
      </c>
      <c r="B6" s="518"/>
      <c r="C6" s="518"/>
      <c r="D6" s="518"/>
      <c r="E6" s="518"/>
      <c r="F6" s="518"/>
      <c r="G6" s="518"/>
      <c r="H6" s="518"/>
      <c r="I6" s="518"/>
      <c r="J6" s="518"/>
      <c r="K6" s="518"/>
      <c r="L6" s="518"/>
      <c r="M6" s="518"/>
      <c r="N6" s="518"/>
      <c r="O6" s="518"/>
      <c r="P6" s="518"/>
      <c r="Q6" s="518"/>
      <c r="R6" s="518"/>
      <c r="S6" s="518"/>
      <c r="T6" s="518"/>
      <c r="U6" s="518"/>
      <c r="V6" s="518"/>
      <c r="W6" s="518"/>
      <c r="X6" s="518"/>
      <c r="Y6" s="518"/>
      <c r="Z6" s="518"/>
      <c r="AA6" s="518"/>
      <c r="AB6" s="518"/>
      <c r="AC6" s="518"/>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9" t="str">
        <f>'6.1. Паспорт сетевой график'!A9</f>
        <v xml:space="preserve">Акционерное общество "Западная энергетическая компания" </v>
      </c>
      <c r="B8" s="519"/>
      <c r="C8" s="519"/>
      <c r="D8" s="519"/>
      <c r="E8" s="519"/>
      <c r="F8" s="519"/>
      <c r="G8" s="519"/>
      <c r="H8" s="519"/>
      <c r="I8" s="519"/>
      <c r="J8" s="519"/>
      <c r="K8" s="519"/>
      <c r="L8" s="519"/>
      <c r="M8" s="519"/>
      <c r="N8" s="519"/>
      <c r="O8" s="519"/>
      <c r="P8" s="519"/>
      <c r="Q8" s="519"/>
      <c r="R8" s="519"/>
      <c r="S8" s="519"/>
      <c r="T8" s="519"/>
      <c r="U8" s="519"/>
      <c r="V8" s="519"/>
      <c r="W8" s="519"/>
      <c r="X8" s="519"/>
      <c r="Y8" s="519"/>
      <c r="Z8" s="519"/>
      <c r="AA8" s="519"/>
      <c r="AB8" s="519"/>
      <c r="AC8" s="519"/>
    </row>
    <row r="9" spans="1:29" ht="18.75" customHeight="1" x14ac:dyDescent="0.25">
      <c r="A9" s="516" t="s">
        <v>6</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9" t="str">
        <f>'6.1. Паспорт сетевой график'!A12</f>
        <v>L_21-07</v>
      </c>
      <c r="B11" s="519"/>
      <c r="C11" s="519"/>
      <c r="D11" s="519"/>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row>
    <row r="12" spans="1:29" x14ac:dyDescent="0.25">
      <c r="A12" s="516" t="s">
        <v>5</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5" t="str">
        <f>'6.1. Паспорт сетевой график'!A15</f>
        <v>Строительство сетей электроснабжения квартала жилых домов в г Пионерском, ул Октябрьская , 13</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row>
    <row r="15" spans="1:29" ht="15.75" customHeight="1" x14ac:dyDescent="0.25">
      <c r="A15" s="516" t="s">
        <v>4</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2" ht="18.75" x14ac:dyDescent="0.3">
      <c r="U17" s="66"/>
      <c r="V17" s="66"/>
      <c r="W17" s="66"/>
      <c r="X17" s="66"/>
      <c r="Y17" s="211"/>
      <c r="Z17" s="211"/>
      <c r="AA17" s="211"/>
      <c r="AB17" s="211"/>
      <c r="AC17" s="211"/>
      <c r="AF17" s="211"/>
    </row>
    <row r="18" spans="1:32" x14ac:dyDescent="0.25">
      <c r="A18" s="512" t="s">
        <v>393</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ht="49.5" hidden="1" customHeight="1" x14ac:dyDescent="0.25">
      <c r="E19" s="64" t="s">
        <v>598</v>
      </c>
      <c r="F19" s="64" t="s">
        <v>599</v>
      </c>
      <c r="G19" s="64" t="s">
        <v>600</v>
      </c>
      <c r="H19" s="44" t="s">
        <v>601</v>
      </c>
      <c r="L19" s="44" t="s">
        <v>602</v>
      </c>
      <c r="P19" s="44" t="s">
        <v>603</v>
      </c>
    </row>
    <row r="20" spans="1:32" ht="33" customHeight="1" x14ac:dyDescent="0.25">
      <c r="A20" s="501" t="s">
        <v>183</v>
      </c>
      <c r="B20" s="501" t="s">
        <v>182</v>
      </c>
      <c r="C20" s="496" t="s">
        <v>181</v>
      </c>
      <c r="D20" s="496"/>
      <c r="E20" s="517" t="s">
        <v>180</v>
      </c>
      <c r="F20" s="517"/>
      <c r="G20" s="501" t="s">
        <v>625</v>
      </c>
      <c r="H20" s="504">
        <v>2020</v>
      </c>
      <c r="I20" s="505"/>
      <c r="J20" s="505"/>
      <c r="K20" s="514"/>
      <c r="L20" s="504">
        <v>2021</v>
      </c>
      <c r="M20" s="505"/>
      <c r="N20" s="505"/>
      <c r="O20" s="514"/>
      <c r="P20" s="504">
        <v>2022</v>
      </c>
      <c r="Q20" s="505"/>
      <c r="R20" s="505"/>
      <c r="S20" s="514"/>
      <c r="T20" s="504">
        <v>2023</v>
      </c>
      <c r="U20" s="505"/>
      <c r="V20" s="505"/>
      <c r="W20" s="514"/>
      <c r="X20" s="504">
        <v>2024</v>
      </c>
      <c r="Y20" s="505"/>
      <c r="Z20" s="505"/>
      <c r="AA20" s="505"/>
      <c r="AB20" s="513" t="s">
        <v>179</v>
      </c>
      <c r="AC20" s="513"/>
      <c r="AD20" s="406"/>
      <c r="AE20" s="406"/>
      <c r="AF20" s="406"/>
    </row>
    <row r="21" spans="1:32" ht="99.75" customHeight="1" x14ac:dyDescent="0.25">
      <c r="A21" s="502"/>
      <c r="B21" s="502"/>
      <c r="C21" s="496"/>
      <c r="D21" s="496"/>
      <c r="E21" s="517"/>
      <c r="F21" s="517"/>
      <c r="G21" s="502"/>
      <c r="H21" s="496" t="s">
        <v>2</v>
      </c>
      <c r="I21" s="496"/>
      <c r="J21" s="496" t="s">
        <v>629</v>
      </c>
      <c r="K21" s="496"/>
      <c r="L21" s="496" t="s">
        <v>2</v>
      </c>
      <c r="M21" s="496"/>
      <c r="N21" s="496" t="s">
        <v>629</v>
      </c>
      <c r="O21" s="496"/>
      <c r="P21" s="496" t="s">
        <v>2</v>
      </c>
      <c r="Q21" s="496"/>
      <c r="R21" s="496" t="s">
        <v>178</v>
      </c>
      <c r="S21" s="496"/>
      <c r="T21" s="496" t="s">
        <v>2</v>
      </c>
      <c r="U21" s="496"/>
      <c r="V21" s="496" t="s">
        <v>178</v>
      </c>
      <c r="W21" s="496"/>
      <c r="X21" s="496" t="s">
        <v>2</v>
      </c>
      <c r="Y21" s="496"/>
      <c r="Z21" s="496" t="s">
        <v>178</v>
      </c>
      <c r="AA21" s="496"/>
      <c r="AB21" s="513"/>
      <c r="AC21" s="513"/>
    </row>
    <row r="22" spans="1:32" ht="89.25" customHeight="1" x14ac:dyDescent="0.25">
      <c r="A22" s="503"/>
      <c r="B22" s="503"/>
      <c r="C22" s="401" t="s">
        <v>2</v>
      </c>
      <c r="D22" s="401" t="s">
        <v>178</v>
      </c>
      <c r="E22" s="64" t="s">
        <v>545</v>
      </c>
      <c r="F22" s="64" t="s">
        <v>631</v>
      </c>
      <c r="G22" s="50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610</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397">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117">
        <v>7.4695150000000003</v>
      </c>
      <c r="E24" s="117">
        <f>D24</f>
        <v>7.4695150000000003</v>
      </c>
      <c r="F24" s="119">
        <f>D24-G24-J24-N24</f>
        <v>0</v>
      </c>
      <c r="G24" s="119">
        <v>0</v>
      </c>
      <c r="H24" s="117" t="s">
        <v>537</v>
      </c>
      <c r="I24" s="117">
        <f>SUM(I25:I29)</f>
        <v>0</v>
      </c>
      <c r="J24" s="119">
        <v>0</v>
      </c>
      <c r="K24" s="117">
        <f>SUM(K25:K29)</f>
        <v>0</v>
      </c>
      <c r="L24" s="117" t="s">
        <v>537</v>
      </c>
      <c r="M24" s="117">
        <f t="shared" ref="M24:Y24" si="0">SUM(M25:M29)</f>
        <v>0</v>
      </c>
      <c r="N24" s="117">
        <f>N25+N26+N27+N28+N29</f>
        <v>7.4695150000000003</v>
      </c>
      <c r="O24" s="117">
        <f t="shared" ref="O24" si="1">SUM(O25:O29)</f>
        <v>0</v>
      </c>
      <c r="P24" s="119">
        <v>0</v>
      </c>
      <c r="Q24" s="117">
        <f t="shared" si="0"/>
        <v>0</v>
      </c>
      <c r="R24" s="119">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7.4695150000000003</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9">
        <v>0</v>
      </c>
      <c r="S25" s="119">
        <v>0</v>
      </c>
      <c r="T25" s="119">
        <v>0</v>
      </c>
      <c r="U25" s="119">
        <v>0</v>
      </c>
      <c r="V25" s="119">
        <v>0</v>
      </c>
      <c r="W25" s="119">
        <v>0</v>
      </c>
      <c r="X25" s="119">
        <v>0</v>
      </c>
      <c r="Y25" s="119">
        <v>0</v>
      </c>
      <c r="Z25" s="119">
        <v>0</v>
      </c>
      <c r="AA25" s="119">
        <v>0</v>
      </c>
      <c r="AB25" s="117" t="s">
        <v>537</v>
      </c>
      <c r="AC25" s="117">
        <f t="shared" ref="AC25:AC64" si="7">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9">
        <v>0</v>
      </c>
      <c r="S26" s="119">
        <v>0</v>
      </c>
      <c r="T26" s="119">
        <v>0</v>
      </c>
      <c r="U26" s="119">
        <v>0</v>
      </c>
      <c r="V26" s="119">
        <v>0</v>
      </c>
      <c r="W26" s="119">
        <v>0</v>
      </c>
      <c r="X26" s="119">
        <v>0</v>
      </c>
      <c r="Y26" s="119">
        <v>0</v>
      </c>
      <c r="Z26" s="119">
        <v>0</v>
      </c>
      <c r="AA26" s="119">
        <v>0</v>
      </c>
      <c r="AB26" s="117" t="s">
        <v>537</v>
      </c>
      <c r="AC26" s="117">
        <f t="shared" si="7"/>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9">
        <v>0</v>
      </c>
      <c r="S27" s="119">
        <v>0</v>
      </c>
      <c r="T27" s="119">
        <v>0</v>
      </c>
      <c r="U27" s="119">
        <v>0</v>
      </c>
      <c r="V27" s="119">
        <f>V24</f>
        <v>0</v>
      </c>
      <c r="W27" s="119">
        <v>0</v>
      </c>
      <c r="X27" s="119">
        <v>0</v>
      </c>
      <c r="Y27" s="119">
        <v>0</v>
      </c>
      <c r="Z27" s="119">
        <f>Z24</f>
        <v>0</v>
      </c>
      <c r="AA27" s="119">
        <v>0</v>
      </c>
      <c r="AB27" s="117" t="s">
        <v>537</v>
      </c>
      <c r="AC27" s="117">
        <f t="shared" si="7"/>
        <v>0</v>
      </c>
    </row>
    <row r="28" spans="1:32" x14ac:dyDescent="0.25">
      <c r="A28" s="57" t="s">
        <v>171</v>
      </c>
      <c r="B28" s="33" t="s">
        <v>538</v>
      </c>
      <c r="C28" s="117" t="s">
        <v>537</v>
      </c>
      <c r="D28" s="117">
        <v>7.4695150000000003</v>
      </c>
      <c r="E28" s="117">
        <f t="shared" si="4"/>
        <v>7.4695150000000003</v>
      </c>
      <c r="F28" s="119">
        <f t="shared" si="5"/>
        <v>0</v>
      </c>
      <c r="G28" s="119">
        <v>0</v>
      </c>
      <c r="H28" s="117" t="s">
        <v>537</v>
      </c>
      <c r="I28" s="119">
        <v>0</v>
      </c>
      <c r="J28" s="119">
        <v>0</v>
      </c>
      <c r="K28" s="119">
        <v>0</v>
      </c>
      <c r="L28" s="117" t="s">
        <v>537</v>
      </c>
      <c r="M28" s="119">
        <v>0</v>
      </c>
      <c r="N28" s="411">
        <v>7.4695150000000003</v>
      </c>
      <c r="O28" s="119">
        <v>0</v>
      </c>
      <c r="P28" s="119">
        <v>0</v>
      </c>
      <c r="Q28" s="119">
        <v>0</v>
      </c>
      <c r="R28" s="119">
        <v>0</v>
      </c>
      <c r="S28" s="119">
        <v>0</v>
      </c>
      <c r="T28" s="119">
        <v>0</v>
      </c>
      <c r="U28" s="119">
        <v>0</v>
      </c>
      <c r="V28" s="119">
        <v>0</v>
      </c>
      <c r="W28" s="119">
        <v>0</v>
      </c>
      <c r="X28" s="119">
        <v>0</v>
      </c>
      <c r="Y28" s="119">
        <v>0</v>
      </c>
      <c r="Z28" s="119">
        <v>0</v>
      </c>
      <c r="AA28" s="119">
        <v>0</v>
      </c>
      <c r="AB28" s="117" t="s">
        <v>537</v>
      </c>
      <c r="AC28" s="117">
        <f t="shared" si="7"/>
        <v>7.4695150000000003</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9">
        <v>0</v>
      </c>
      <c r="S29" s="119">
        <v>0</v>
      </c>
      <c r="T29" s="119">
        <v>0</v>
      </c>
      <c r="U29" s="119">
        <v>0</v>
      </c>
      <c r="V29" s="119">
        <v>0</v>
      </c>
      <c r="W29" s="119">
        <v>0</v>
      </c>
      <c r="X29" s="119">
        <v>0</v>
      </c>
      <c r="Y29" s="119">
        <v>0</v>
      </c>
      <c r="Z29" s="119">
        <v>0</v>
      </c>
      <c r="AA29" s="119">
        <v>0</v>
      </c>
      <c r="AB29" s="117" t="s">
        <v>537</v>
      </c>
      <c r="AC29" s="117">
        <f t="shared" si="7"/>
        <v>0</v>
      </c>
    </row>
    <row r="30" spans="1:32" s="407" customFormat="1" ht="47.25" x14ac:dyDescent="0.25">
      <c r="A30" s="60" t="s">
        <v>61</v>
      </c>
      <c r="B30" s="59" t="s">
        <v>167</v>
      </c>
      <c r="C30" s="117" t="s">
        <v>537</v>
      </c>
      <c r="D30" s="411">
        <f>SUM(D31:D34)</f>
        <v>6.6786376700000005</v>
      </c>
      <c r="E30" s="117">
        <f t="shared" si="4"/>
        <v>6.6786376700000005</v>
      </c>
      <c r="F30" s="119">
        <f t="shared" si="5"/>
        <v>0</v>
      </c>
      <c r="G30" s="119">
        <v>0</v>
      </c>
      <c r="H30" s="117" t="s">
        <v>537</v>
      </c>
      <c r="I30" s="117">
        <v>0</v>
      </c>
      <c r="J30" s="119">
        <v>0</v>
      </c>
      <c r="K30" s="117">
        <v>0</v>
      </c>
      <c r="L30" s="117" t="s">
        <v>537</v>
      </c>
      <c r="M30" s="117">
        <v>0</v>
      </c>
      <c r="N30" s="411">
        <v>6.6786376700000005</v>
      </c>
      <c r="O30" s="117">
        <v>0</v>
      </c>
      <c r="P30" s="119">
        <v>0</v>
      </c>
      <c r="Q30" s="117">
        <v>0</v>
      </c>
      <c r="R30" s="119">
        <v>0</v>
      </c>
      <c r="S30" s="117">
        <v>0</v>
      </c>
      <c r="T30" s="119">
        <v>0</v>
      </c>
      <c r="U30" s="117">
        <v>0</v>
      </c>
      <c r="V30" s="117">
        <v>0</v>
      </c>
      <c r="W30" s="117">
        <v>0</v>
      </c>
      <c r="X30" s="119">
        <v>0</v>
      </c>
      <c r="Y30" s="117">
        <v>0</v>
      </c>
      <c r="Z30" s="117">
        <v>0</v>
      </c>
      <c r="AA30" s="117">
        <v>0</v>
      </c>
      <c r="AB30" s="117" t="s">
        <v>537</v>
      </c>
      <c r="AC30" s="117">
        <f t="shared" si="7"/>
        <v>6.6786376700000005</v>
      </c>
      <c r="AD30" s="44"/>
      <c r="AE30" s="44"/>
      <c r="AF30" s="44"/>
    </row>
    <row r="31" spans="1:32" x14ac:dyDescent="0.25">
      <c r="A31" s="60" t="s">
        <v>166</v>
      </c>
      <c r="B31" s="33" t="s">
        <v>165</v>
      </c>
      <c r="C31" s="117" t="s">
        <v>537</v>
      </c>
      <c r="D31" s="411">
        <v>8.9300000000000004E-2</v>
      </c>
      <c r="E31" s="117">
        <f t="shared" si="4"/>
        <v>8.9300000000000004E-2</v>
      </c>
      <c r="F31" s="119">
        <f t="shared" si="5"/>
        <v>0</v>
      </c>
      <c r="G31" s="119">
        <v>0</v>
      </c>
      <c r="H31" s="117" t="s">
        <v>537</v>
      </c>
      <c r="I31" s="119">
        <v>0</v>
      </c>
      <c r="J31" s="119">
        <v>0</v>
      </c>
      <c r="K31" s="119">
        <v>0</v>
      </c>
      <c r="L31" s="117" t="s">
        <v>537</v>
      </c>
      <c r="M31" s="119">
        <v>0</v>
      </c>
      <c r="N31" s="411">
        <v>8.9300000000000004E-2</v>
      </c>
      <c r="O31" s="119">
        <v>0</v>
      </c>
      <c r="P31" s="119">
        <v>0</v>
      </c>
      <c r="Q31" s="119">
        <v>0</v>
      </c>
      <c r="R31" s="119">
        <v>0</v>
      </c>
      <c r="S31" s="119">
        <v>0</v>
      </c>
      <c r="T31" s="119">
        <v>0</v>
      </c>
      <c r="U31" s="119">
        <v>0</v>
      </c>
      <c r="V31" s="119">
        <v>0</v>
      </c>
      <c r="W31" s="119">
        <v>0</v>
      </c>
      <c r="X31" s="119">
        <v>0</v>
      </c>
      <c r="Y31" s="119">
        <v>0</v>
      </c>
      <c r="Z31" s="119">
        <v>0</v>
      </c>
      <c r="AA31" s="119">
        <v>0</v>
      </c>
      <c r="AB31" s="117" t="s">
        <v>537</v>
      </c>
      <c r="AC31" s="117">
        <f t="shared" si="7"/>
        <v>8.9300000000000004E-2</v>
      </c>
    </row>
    <row r="32" spans="1:32" ht="31.5" x14ac:dyDescent="0.25">
      <c r="A32" s="60" t="s">
        <v>164</v>
      </c>
      <c r="B32" s="33" t="s">
        <v>163</v>
      </c>
      <c r="C32" s="117" t="s">
        <v>537</v>
      </c>
      <c r="D32" s="411">
        <v>2.6854269999999998</v>
      </c>
      <c r="E32" s="117">
        <f t="shared" si="4"/>
        <v>2.6854269999999998</v>
      </c>
      <c r="F32" s="119">
        <f t="shared" si="5"/>
        <v>0</v>
      </c>
      <c r="G32" s="119">
        <v>0</v>
      </c>
      <c r="H32" s="117" t="s">
        <v>537</v>
      </c>
      <c r="I32" s="119">
        <v>0</v>
      </c>
      <c r="J32" s="119">
        <v>0</v>
      </c>
      <c r="K32" s="119">
        <v>0</v>
      </c>
      <c r="L32" s="117" t="s">
        <v>537</v>
      </c>
      <c r="M32" s="119">
        <v>0</v>
      </c>
      <c r="N32" s="411">
        <v>2.6854269999999998</v>
      </c>
      <c r="O32" s="119">
        <v>0</v>
      </c>
      <c r="P32" s="119">
        <v>0</v>
      </c>
      <c r="Q32" s="119">
        <v>0</v>
      </c>
      <c r="R32" s="119">
        <v>0</v>
      </c>
      <c r="S32" s="119">
        <v>0</v>
      </c>
      <c r="T32" s="119">
        <v>0</v>
      </c>
      <c r="U32" s="119">
        <v>0</v>
      </c>
      <c r="V32" s="119">
        <v>0</v>
      </c>
      <c r="W32" s="119">
        <v>0</v>
      </c>
      <c r="X32" s="119">
        <v>0</v>
      </c>
      <c r="Y32" s="119">
        <v>0</v>
      </c>
      <c r="Z32" s="119">
        <v>0</v>
      </c>
      <c r="AA32" s="119">
        <v>0</v>
      </c>
      <c r="AB32" s="117" t="s">
        <v>537</v>
      </c>
      <c r="AC32" s="117">
        <f t="shared" si="7"/>
        <v>2.6854269999999998</v>
      </c>
    </row>
    <row r="33" spans="1:29" x14ac:dyDescent="0.25">
      <c r="A33" s="60" t="s">
        <v>162</v>
      </c>
      <c r="B33" s="33" t="s">
        <v>161</v>
      </c>
      <c r="C33" s="117" t="s">
        <v>537</v>
      </c>
      <c r="D33" s="411">
        <v>3.9039106700000001</v>
      </c>
      <c r="E33" s="117">
        <f t="shared" si="4"/>
        <v>3.9039106700000001</v>
      </c>
      <c r="F33" s="119">
        <f t="shared" si="5"/>
        <v>0</v>
      </c>
      <c r="G33" s="119">
        <v>0</v>
      </c>
      <c r="H33" s="117" t="s">
        <v>537</v>
      </c>
      <c r="I33" s="119">
        <v>0</v>
      </c>
      <c r="J33" s="119">
        <v>0</v>
      </c>
      <c r="K33" s="119">
        <v>0</v>
      </c>
      <c r="L33" s="117" t="s">
        <v>537</v>
      </c>
      <c r="M33" s="119">
        <v>0</v>
      </c>
      <c r="N33" s="411">
        <v>3.9039106700000001</v>
      </c>
      <c r="O33" s="119">
        <v>0</v>
      </c>
      <c r="P33" s="119">
        <v>0</v>
      </c>
      <c r="Q33" s="119">
        <v>0</v>
      </c>
      <c r="R33" s="119">
        <v>0</v>
      </c>
      <c r="S33" s="119">
        <v>0</v>
      </c>
      <c r="T33" s="119">
        <v>0</v>
      </c>
      <c r="U33" s="119">
        <v>0</v>
      </c>
      <c r="V33" s="119">
        <v>0</v>
      </c>
      <c r="W33" s="119">
        <v>0</v>
      </c>
      <c r="X33" s="119">
        <v>0</v>
      </c>
      <c r="Y33" s="119">
        <v>0</v>
      </c>
      <c r="Z33" s="119">
        <v>0</v>
      </c>
      <c r="AA33" s="119">
        <v>0</v>
      </c>
      <c r="AB33" s="117" t="s">
        <v>537</v>
      </c>
      <c r="AC33" s="117">
        <f t="shared" si="7"/>
        <v>3.9039106700000001</v>
      </c>
    </row>
    <row r="34" spans="1:29" x14ac:dyDescent="0.25">
      <c r="A34" s="60" t="s">
        <v>160</v>
      </c>
      <c r="B34" s="33" t="s">
        <v>159</v>
      </c>
      <c r="C34" s="117" t="s">
        <v>537</v>
      </c>
      <c r="D34" s="411">
        <v>0</v>
      </c>
      <c r="E34" s="117">
        <f t="shared" si="4"/>
        <v>0</v>
      </c>
      <c r="F34" s="119">
        <f t="shared" si="5"/>
        <v>0</v>
      </c>
      <c r="G34" s="119">
        <v>0</v>
      </c>
      <c r="H34" s="117" t="s">
        <v>537</v>
      </c>
      <c r="I34" s="119">
        <v>0</v>
      </c>
      <c r="J34" s="119">
        <v>0</v>
      </c>
      <c r="K34" s="119">
        <v>0</v>
      </c>
      <c r="L34" s="117" t="s">
        <v>537</v>
      </c>
      <c r="M34" s="119">
        <v>0</v>
      </c>
      <c r="N34" s="411">
        <v>0</v>
      </c>
      <c r="O34" s="119">
        <v>0</v>
      </c>
      <c r="P34" s="119">
        <v>0</v>
      </c>
      <c r="Q34" s="119">
        <v>0</v>
      </c>
      <c r="R34" s="119">
        <v>0</v>
      </c>
      <c r="S34" s="119">
        <v>0</v>
      </c>
      <c r="T34" s="119">
        <v>0</v>
      </c>
      <c r="U34" s="119">
        <v>0</v>
      </c>
      <c r="V34" s="119">
        <v>0</v>
      </c>
      <c r="W34" s="119">
        <v>0</v>
      </c>
      <c r="X34" s="119">
        <v>0</v>
      </c>
      <c r="Y34" s="119">
        <v>0</v>
      </c>
      <c r="Z34" s="119">
        <v>0</v>
      </c>
      <c r="AA34" s="119">
        <v>0</v>
      </c>
      <c r="AB34" s="117" t="s">
        <v>537</v>
      </c>
      <c r="AC34" s="117">
        <f t="shared" si="7"/>
        <v>0</v>
      </c>
    </row>
    <row r="35" spans="1:29" s="407"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7"/>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7"/>
        <v>0</v>
      </c>
    </row>
    <row r="37" spans="1:29" x14ac:dyDescent="0.25">
      <c r="A37" s="57" t="s">
        <v>155</v>
      </c>
      <c r="B37" s="212" t="s">
        <v>145</v>
      </c>
      <c r="C37" s="117" t="s">
        <v>537</v>
      </c>
      <c r="D37" s="411">
        <v>0.5</v>
      </c>
      <c r="E37" s="117">
        <f t="shared" si="4"/>
        <v>0.5</v>
      </c>
      <c r="F37" s="119">
        <f t="shared" si="5"/>
        <v>0</v>
      </c>
      <c r="G37" s="119">
        <v>0</v>
      </c>
      <c r="H37" s="117" t="s">
        <v>537</v>
      </c>
      <c r="I37" s="119">
        <v>0</v>
      </c>
      <c r="J37" s="119">
        <v>0</v>
      </c>
      <c r="K37" s="119">
        <v>0</v>
      </c>
      <c r="L37" s="117" t="s">
        <v>537</v>
      </c>
      <c r="M37" s="119">
        <v>0</v>
      </c>
      <c r="N37" s="117">
        <v>0.5</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7"/>
        <v>0.5</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7"/>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7"/>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7"/>
        <v>0</v>
      </c>
    </row>
    <row r="41" spans="1:29" x14ac:dyDescent="0.25">
      <c r="A41" s="57" t="s">
        <v>151</v>
      </c>
      <c r="B41" s="33" t="s">
        <v>137</v>
      </c>
      <c r="C41" s="117" t="s">
        <v>537</v>
      </c>
      <c r="D41" s="411">
        <f>0.083*2</f>
        <v>0.16600000000000001</v>
      </c>
      <c r="E41" s="117">
        <f t="shared" si="4"/>
        <v>0.16600000000000001</v>
      </c>
      <c r="F41" s="119">
        <f t="shared" si="5"/>
        <v>0</v>
      </c>
      <c r="G41" s="119">
        <v>0</v>
      </c>
      <c r="H41" s="117" t="s">
        <v>537</v>
      </c>
      <c r="I41" s="119">
        <v>0</v>
      </c>
      <c r="J41" s="119">
        <v>0</v>
      </c>
      <c r="K41" s="119">
        <v>0</v>
      </c>
      <c r="L41" s="117" t="s">
        <v>537</v>
      </c>
      <c r="M41" s="119">
        <v>0</v>
      </c>
      <c r="N41" s="117">
        <f>D41</f>
        <v>0.16600000000000001</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7"/>
        <v>0.16600000000000001</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7"/>
        <v>0</v>
      </c>
    </row>
    <row r="43" spans="1:29" s="407" customFormat="1" x14ac:dyDescent="0.25">
      <c r="A43" s="60" t="s">
        <v>59</v>
      </c>
      <c r="B43" s="59" t="s">
        <v>149</v>
      </c>
      <c r="C43" s="117" t="s">
        <v>537</v>
      </c>
      <c r="D43" s="117">
        <v>0</v>
      </c>
      <c r="E43" s="117">
        <f t="shared" si="4"/>
        <v>0</v>
      </c>
      <c r="F43" s="119">
        <f t="shared" si="5"/>
        <v>0</v>
      </c>
      <c r="G43" s="119">
        <v>0</v>
      </c>
      <c r="H43" s="117" t="s">
        <v>537</v>
      </c>
      <c r="I43" s="117">
        <v>0</v>
      </c>
      <c r="J43" s="119">
        <v>0</v>
      </c>
      <c r="K43" s="117">
        <v>0</v>
      </c>
      <c r="L43" s="117" t="s">
        <v>537</v>
      </c>
      <c r="M43" s="117">
        <v>0</v>
      </c>
      <c r="N43" s="117">
        <f t="shared" si="6"/>
        <v>0</v>
      </c>
      <c r="O43" s="117">
        <v>0</v>
      </c>
      <c r="P43" s="119">
        <v>0</v>
      </c>
      <c r="Q43" s="117">
        <v>0</v>
      </c>
      <c r="R43" s="119">
        <v>0</v>
      </c>
      <c r="S43" s="117">
        <v>0</v>
      </c>
      <c r="T43" s="119">
        <v>0</v>
      </c>
      <c r="U43" s="117">
        <v>0</v>
      </c>
      <c r="V43" s="117">
        <v>0</v>
      </c>
      <c r="W43" s="117">
        <v>0</v>
      </c>
      <c r="X43" s="119">
        <v>0</v>
      </c>
      <c r="Y43" s="117">
        <v>0</v>
      </c>
      <c r="Z43" s="117">
        <v>0</v>
      </c>
      <c r="AA43" s="117">
        <v>0</v>
      </c>
      <c r="AB43" s="117" t="s">
        <v>537</v>
      </c>
      <c r="AC43" s="117">
        <f t="shared" si="7"/>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7"/>
        <v>0</v>
      </c>
    </row>
    <row r="45" spans="1:29" x14ac:dyDescent="0.25">
      <c r="A45" s="57" t="s">
        <v>146</v>
      </c>
      <c r="B45" s="33" t="s">
        <v>145</v>
      </c>
      <c r="C45" s="117" t="s">
        <v>537</v>
      </c>
      <c r="D45" s="411">
        <f>D37</f>
        <v>0.5</v>
      </c>
      <c r="E45" s="117">
        <f t="shared" si="4"/>
        <v>0.5</v>
      </c>
      <c r="F45" s="119">
        <f t="shared" si="5"/>
        <v>0</v>
      </c>
      <c r="G45" s="119">
        <v>0</v>
      </c>
      <c r="H45" s="117" t="s">
        <v>537</v>
      </c>
      <c r="I45" s="119">
        <v>0</v>
      </c>
      <c r="J45" s="119">
        <v>0</v>
      </c>
      <c r="K45" s="119">
        <v>0</v>
      </c>
      <c r="L45" s="117" t="s">
        <v>537</v>
      </c>
      <c r="M45" s="119">
        <v>0</v>
      </c>
      <c r="N45" s="117">
        <f>N37</f>
        <v>0.5</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7"/>
        <v>0.5</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7"/>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7"/>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7"/>
        <v>0</v>
      </c>
    </row>
    <row r="49" spans="1:29" x14ac:dyDescent="0.25">
      <c r="A49" s="57" t="s">
        <v>138</v>
      </c>
      <c r="B49" s="33" t="s">
        <v>137</v>
      </c>
      <c r="C49" s="117" t="s">
        <v>537</v>
      </c>
      <c r="D49" s="411">
        <f>D41</f>
        <v>0.16600000000000001</v>
      </c>
      <c r="E49" s="117">
        <f t="shared" si="4"/>
        <v>0.16600000000000001</v>
      </c>
      <c r="F49" s="119">
        <f t="shared" si="5"/>
        <v>0</v>
      </c>
      <c r="G49" s="119">
        <v>0</v>
      </c>
      <c r="H49" s="117" t="s">
        <v>537</v>
      </c>
      <c r="I49" s="119">
        <v>0</v>
      </c>
      <c r="J49" s="119">
        <v>0</v>
      </c>
      <c r="K49" s="119">
        <v>0</v>
      </c>
      <c r="L49" s="117" t="s">
        <v>537</v>
      </c>
      <c r="M49" s="119">
        <v>0</v>
      </c>
      <c r="N49" s="117">
        <f>N41</f>
        <v>0.16600000000000001</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7"/>
        <v>0.16600000000000001</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7"/>
        <v>0</v>
      </c>
    </row>
    <row r="51" spans="1:29" s="407"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7"/>
        <v>0</v>
      </c>
    </row>
    <row r="52" spans="1:29" x14ac:dyDescent="0.25">
      <c r="A52" s="57" t="s">
        <v>134</v>
      </c>
      <c r="B52" s="33" t="s">
        <v>133</v>
      </c>
      <c r="C52" s="117" t="s">
        <v>537</v>
      </c>
      <c r="D52" s="411">
        <f>D30</f>
        <v>6.6786376700000005</v>
      </c>
      <c r="E52" s="117">
        <f t="shared" si="4"/>
        <v>6.6786376700000005</v>
      </c>
      <c r="F52" s="119">
        <f t="shared" si="5"/>
        <v>0</v>
      </c>
      <c r="G52" s="119">
        <v>0</v>
      </c>
      <c r="H52" s="117" t="s">
        <v>537</v>
      </c>
      <c r="I52" s="119">
        <v>0</v>
      </c>
      <c r="J52" s="119">
        <v>0</v>
      </c>
      <c r="K52" s="119">
        <v>0</v>
      </c>
      <c r="L52" s="117" t="s">
        <v>537</v>
      </c>
      <c r="M52" s="119">
        <v>0</v>
      </c>
      <c r="N52" s="117">
        <f>N30</f>
        <v>6.6786376700000005</v>
      </c>
      <c r="O52" s="119">
        <v>0</v>
      </c>
      <c r="P52" s="119">
        <v>0</v>
      </c>
      <c r="Q52" s="119">
        <v>0</v>
      </c>
      <c r="R52" s="119">
        <v>0</v>
      </c>
      <c r="S52" s="119">
        <v>0</v>
      </c>
      <c r="T52" s="119">
        <v>0</v>
      </c>
      <c r="U52" s="119">
        <v>0</v>
      </c>
      <c r="V52" s="119">
        <v>0</v>
      </c>
      <c r="W52" s="119">
        <v>0</v>
      </c>
      <c r="X52" s="119">
        <v>0</v>
      </c>
      <c r="Y52" s="119">
        <v>0</v>
      </c>
      <c r="Z52" s="119">
        <v>0</v>
      </c>
      <c r="AA52" s="119">
        <v>0</v>
      </c>
      <c r="AB52" s="117" t="s">
        <v>537</v>
      </c>
      <c r="AC52" s="117">
        <f t="shared" si="7"/>
        <v>6.6786376700000005</v>
      </c>
    </row>
    <row r="53" spans="1:29" x14ac:dyDescent="0.25">
      <c r="A53" s="57" t="s">
        <v>132</v>
      </c>
      <c r="B53" s="33" t="s">
        <v>126</v>
      </c>
      <c r="C53" s="117" t="s">
        <v>537</v>
      </c>
      <c r="D53" s="411">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7"/>
        <v>0</v>
      </c>
    </row>
    <row r="54" spans="1:29" x14ac:dyDescent="0.25">
      <c r="A54" s="57" t="s">
        <v>131</v>
      </c>
      <c r="B54" s="212" t="s">
        <v>125</v>
      </c>
      <c r="C54" s="117" t="s">
        <v>537</v>
      </c>
      <c r="D54" s="411">
        <f>D37</f>
        <v>0.5</v>
      </c>
      <c r="E54" s="117">
        <f t="shared" si="4"/>
        <v>0.5</v>
      </c>
      <c r="F54" s="119">
        <f t="shared" si="5"/>
        <v>0</v>
      </c>
      <c r="G54" s="119">
        <v>0</v>
      </c>
      <c r="H54" s="117" t="s">
        <v>537</v>
      </c>
      <c r="I54" s="119">
        <v>0</v>
      </c>
      <c r="J54" s="119">
        <v>0</v>
      </c>
      <c r="K54" s="119">
        <v>0</v>
      </c>
      <c r="L54" s="117" t="s">
        <v>537</v>
      </c>
      <c r="M54" s="119">
        <v>0</v>
      </c>
      <c r="N54" s="117">
        <f>N45</f>
        <v>0.5</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7"/>
        <v>0.5</v>
      </c>
    </row>
    <row r="55" spans="1:29" x14ac:dyDescent="0.25">
      <c r="A55" s="57" t="s">
        <v>130</v>
      </c>
      <c r="B55" s="212" t="s">
        <v>124</v>
      </c>
      <c r="C55" s="117" t="s">
        <v>537</v>
      </c>
      <c r="D55" s="411">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7"/>
        <v>0</v>
      </c>
    </row>
    <row r="56" spans="1:29" x14ac:dyDescent="0.25">
      <c r="A56" s="57" t="s">
        <v>129</v>
      </c>
      <c r="B56" s="212" t="s">
        <v>123</v>
      </c>
      <c r="C56" s="117" t="s">
        <v>537</v>
      </c>
      <c r="D56" s="411">
        <f>D41</f>
        <v>0.16600000000000001</v>
      </c>
      <c r="E56" s="117">
        <f t="shared" si="4"/>
        <v>0.16600000000000001</v>
      </c>
      <c r="F56" s="119">
        <f t="shared" si="5"/>
        <v>0</v>
      </c>
      <c r="G56" s="119">
        <v>0</v>
      </c>
      <c r="H56" s="117" t="s">
        <v>537</v>
      </c>
      <c r="I56" s="119">
        <v>0</v>
      </c>
      <c r="J56" s="119">
        <v>0</v>
      </c>
      <c r="K56" s="119">
        <v>0</v>
      </c>
      <c r="L56" s="117" t="s">
        <v>537</v>
      </c>
      <c r="M56" s="119">
        <v>0</v>
      </c>
      <c r="N56" s="117">
        <f>N41</f>
        <v>0.16600000000000001</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7"/>
        <v>0.16600000000000001</v>
      </c>
    </row>
    <row r="57" spans="1:29" ht="18.75" x14ac:dyDescent="0.25">
      <c r="A57" s="57" t="s">
        <v>128</v>
      </c>
      <c r="B57" s="212" t="s">
        <v>543</v>
      </c>
      <c r="C57" s="117" t="s">
        <v>537</v>
      </c>
      <c r="D57" s="411">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7"/>
        <v>0</v>
      </c>
    </row>
    <row r="58" spans="1:29" s="407" customFormat="1" ht="36.75" customHeight="1" x14ac:dyDescent="0.25">
      <c r="A58" s="60" t="s">
        <v>56</v>
      </c>
      <c r="B58" s="213" t="s">
        <v>207</v>
      </c>
      <c r="C58" s="117" t="s">
        <v>537</v>
      </c>
      <c r="D58" s="411">
        <f>D30</f>
        <v>6.6786376700000005</v>
      </c>
      <c r="E58" s="117">
        <f t="shared" si="4"/>
        <v>6.6786376700000005</v>
      </c>
      <c r="F58" s="119">
        <f t="shared" si="5"/>
        <v>0</v>
      </c>
      <c r="G58" s="119">
        <v>0</v>
      </c>
      <c r="H58" s="117" t="s">
        <v>537</v>
      </c>
      <c r="I58" s="117">
        <v>0</v>
      </c>
      <c r="J58" s="119">
        <v>0</v>
      </c>
      <c r="K58" s="117">
        <v>0</v>
      </c>
      <c r="L58" s="117" t="s">
        <v>537</v>
      </c>
      <c r="M58" s="117">
        <v>0</v>
      </c>
      <c r="N58" s="117">
        <f>N52</f>
        <v>6.6786376700000005</v>
      </c>
      <c r="O58" s="117">
        <v>0</v>
      </c>
      <c r="P58" s="119">
        <v>0</v>
      </c>
      <c r="Q58" s="117">
        <v>0</v>
      </c>
      <c r="R58" s="119">
        <v>0</v>
      </c>
      <c r="S58" s="117">
        <v>0</v>
      </c>
      <c r="T58" s="119">
        <v>0</v>
      </c>
      <c r="U58" s="117">
        <v>0</v>
      </c>
      <c r="V58" s="117">
        <v>0</v>
      </c>
      <c r="W58" s="117">
        <v>0</v>
      </c>
      <c r="X58" s="119">
        <v>0</v>
      </c>
      <c r="Y58" s="117">
        <v>0</v>
      </c>
      <c r="Z58" s="117">
        <v>0</v>
      </c>
      <c r="AA58" s="117">
        <v>0</v>
      </c>
      <c r="AB58" s="117" t="s">
        <v>537</v>
      </c>
      <c r="AC58" s="117">
        <f t="shared" si="7"/>
        <v>6.6786376700000005</v>
      </c>
    </row>
    <row r="59" spans="1:29" s="407"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7"/>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7"/>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7"/>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7"/>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7"/>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7"/>
        <v>0</v>
      </c>
    </row>
    <row r="65" spans="1:28" x14ac:dyDescent="0.25">
      <c r="A65" s="53"/>
      <c r="B65" s="54"/>
      <c r="C65" s="54"/>
      <c r="D65" s="54"/>
      <c r="E65" s="54"/>
      <c r="F65" s="54"/>
      <c r="G65" s="54"/>
    </row>
    <row r="66" spans="1:28" ht="54" customHeight="1" x14ac:dyDescent="0.25">
      <c r="B66" s="499"/>
      <c r="C66" s="499"/>
      <c r="D66" s="499"/>
      <c r="E66" s="499"/>
      <c r="F66" s="499"/>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500"/>
      <c r="C68" s="500"/>
      <c r="D68" s="500"/>
      <c r="E68" s="500"/>
      <c r="F68" s="500"/>
      <c r="G68" s="400"/>
    </row>
    <row r="70" spans="1:28" ht="36.75" customHeight="1" x14ac:dyDescent="0.25">
      <c r="B70" s="499"/>
      <c r="C70" s="499"/>
      <c r="D70" s="499"/>
      <c r="E70" s="499"/>
      <c r="F70" s="499"/>
      <c r="G70" s="399"/>
    </row>
    <row r="71" spans="1:28" x14ac:dyDescent="0.25">
      <c r="B71" s="51"/>
      <c r="C71" s="51"/>
      <c r="D71" s="51"/>
      <c r="E71" s="51"/>
      <c r="F71" s="51"/>
    </row>
    <row r="72" spans="1:28" ht="51" customHeight="1" x14ac:dyDescent="0.25">
      <c r="B72" s="499"/>
      <c r="C72" s="499"/>
      <c r="D72" s="499"/>
      <c r="E72" s="499"/>
      <c r="F72" s="499"/>
      <c r="G72" s="399"/>
    </row>
    <row r="73" spans="1:28" ht="32.25" customHeight="1" x14ac:dyDescent="0.25">
      <c r="B73" s="500"/>
      <c r="C73" s="500"/>
      <c r="D73" s="500"/>
      <c r="E73" s="500"/>
      <c r="F73" s="500"/>
      <c r="G73" s="400"/>
    </row>
    <row r="74" spans="1:28" ht="51.75" customHeight="1" x14ac:dyDescent="0.25">
      <c r="B74" s="499"/>
      <c r="C74" s="499"/>
      <c r="D74" s="499"/>
      <c r="E74" s="499"/>
      <c r="F74" s="499"/>
      <c r="G74" s="399"/>
    </row>
    <row r="75" spans="1:28" ht="21.75" customHeight="1" x14ac:dyDescent="0.25">
      <c r="B75" s="506"/>
      <c r="C75" s="506"/>
      <c r="D75" s="506"/>
      <c r="E75" s="506"/>
      <c r="F75" s="506"/>
      <c r="G75" s="402"/>
    </row>
    <row r="76" spans="1:28" ht="23.25" customHeight="1" x14ac:dyDescent="0.25">
      <c r="B76" s="46"/>
      <c r="C76" s="46"/>
      <c r="D76" s="46"/>
      <c r="E76" s="46"/>
      <c r="F76" s="46"/>
    </row>
    <row r="77" spans="1:28" ht="18.75" customHeight="1" x14ac:dyDescent="0.25">
      <c r="B77" s="498"/>
      <c r="C77" s="498"/>
      <c r="D77" s="498"/>
      <c r="E77" s="498"/>
      <c r="F77" s="498"/>
      <c r="G77" s="398"/>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N26" sqref="N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ht="15.75"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9" t="s">
        <v>6</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ht="15.75" x14ac:dyDescent="0.25">
      <c r="A12" s="430" t="str">
        <f>'1. паспорт местоположение'!A12:C12</f>
        <v>L_21-07</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29" t="s">
        <v>5</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15.75" x14ac:dyDescent="0.25">
      <c r="A15" s="423" t="str">
        <f>'1. паспорт местоположение'!A15:C15</f>
        <v>Строительство сетей электроснабжения квартала жилых домов в г Пионерском, ул Октябрьская , 13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9" t="s">
        <v>4</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180"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180" customFormat="1" x14ac:dyDescent="0.25">
      <c r="A21" s="534" t="s">
        <v>406</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180" customFormat="1" ht="58.5" customHeight="1" x14ac:dyDescent="0.25">
      <c r="A22" s="535" t="s">
        <v>50</v>
      </c>
      <c r="B22" s="539" t="s">
        <v>22</v>
      </c>
      <c r="C22" s="525" t="s">
        <v>49</v>
      </c>
      <c r="D22" s="525" t="s">
        <v>48</v>
      </c>
      <c r="E22" s="542" t="s">
        <v>416</v>
      </c>
      <c r="F22" s="543"/>
      <c r="G22" s="543"/>
      <c r="H22" s="543"/>
      <c r="I22" s="543"/>
      <c r="J22" s="543"/>
      <c r="K22" s="543"/>
      <c r="L22" s="544"/>
      <c r="M22" s="525" t="s">
        <v>47</v>
      </c>
      <c r="N22" s="525" t="s">
        <v>46</v>
      </c>
      <c r="O22" s="525" t="s">
        <v>45</v>
      </c>
      <c r="P22" s="520" t="s">
        <v>228</v>
      </c>
      <c r="Q22" s="520" t="s">
        <v>44</v>
      </c>
      <c r="R22" s="520" t="s">
        <v>43</v>
      </c>
      <c r="S22" s="520" t="s">
        <v>42</v>
      </c>
      <c r="T22" s="520"/>
      <c r="U22" s="545" t="s">
        <v>41</v>
      </c>
      <c r="V22" s="545"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8" t="s">
        <v>23</v>
      </c>
    </row>
    <row r="23" spans="1:48" s="180" customFormat="1" ht="64.5" customHeight="1" x14ac:dyDescent="0.25">
      <c r="A23" s="536"/>
      <c r="B23" s="540"/>
      <c r="C23" s="538"/>
      <c r="D23" s="538"/>
      <c r="E23" s="530" t="s">
        <v>21</v>
      </c>
      <c r="F23" s="521" t="s">
        <v>126</v>
      </c>
      <c r="G23" s="521" t="s">
        <v>125</v>
      </c>
      <c r="H23" s="521" t="s">
        <v>124</v>
      </c>
      <c r="I23" s="523" t="s">
        <v>353</v>
      </c>
      <c r="J23" s="523" t="s">
        <v>354</v>
      </c>
      <c r="K23" s="523" t="s">
        <v>355</v>
      </c>
      <c r="L23" s="521" t="s">
        <v>74</v>
      </c>
      <c r="M23" s="538"/>
      <c r="N23" s="538"/>
      <c r="O23" s="538"/>
      <c r="P23" s="520"/>
      <c r="Q23" s="520"/>
      <c r="R23" s="520"/>
      <c r="S23" s="532" t="s">
        <v>2</v>
      </c>
      <c r="T23" s="532" t="s">
        <v>9</v>
      </c>
      <c r="U23" s="545"/>
      <c r="V23" s="545"/>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6" t="s">
        <v>9</v>
      </c>
      <c r="AR23" s="520"/>
      <c r="AS23" s="520"/>
      <c r="AT23" s="520"/>
      <c r="AU23" s="520"/>
      <c r="AV23" s="529"/>
    </row>
    <row r="24" spans="1:48" s="180" customFormat="1" ht="96.75" customHeight="1" x14ac:dyDescent="0.25">
      <c r="A24" s="537"/>
      <c r="B24" s="541"/>
      <c r="C24" s="526"/>
      <c r="D24" s="526"/>
      <c r="E24" s="531"/>
      <c r="F24" s="522"/>
      <c r="G24" s="522"/>
      <c r="H24" s="522"/>
      <c r="I24" s="524"/>
      <c r="J24" s="524"/>
      <c r="K24" s="524"/>
      <c r="L24" s="522"/>
      <c r="M24" s="526"/>
      <c r="N24" s="526"/>
      <c r="O24" s="526"/>
      <c r="P24" s="520"/>
      <c r="Q24" s="520"/>
      <c r="R24" s="520"/>
      <c r="S24" s="533"/>
      <c r="T24" s="533"/>
      <c r="U24" s="545"/>
      <c r="V24" s="545"/>
      <c r="W24" s="520"/>
      <c r="X24" s="520"/>
      <c r="Y24" s="520"/>
      <c r="Z24" s="520"/>
      <c r="AA24" s="520"/>
      <c r="AB24" s="520"/>
      <c r="AC24" s="520"/>
      <c r="AD24" s="520"/>
      <c r="AE24" s="520"/>
      <c r="AF24" s="181" t="s">
        <v>11</v>
      </c>
      <c r="AG24" s="181" t="s">
        <v>10</v>
      </c>
      <c r="AH24" s="182" t="s">
        <v>2</v>
      </c>
      <c r="AI24" s="182" t="s">
        <v>9</v>
      </c>
      <c r="AJ24" s="526"/>
      <c r="AK24" s="526"/>
      <c r="AL24" s="526"/>
      <c r="AM24" s="526"/>
      <c r="AN24" s="526"/>
      <c r="AO24" s="526"/>
      <c r="AP24" s="526"/>
      <c r="AQ24" s="547"/>
      <c r="AR24" s="520"/>
      <c r="AS24" s="520"/>
      <c r="AT24" s="520"/>
      <c r="AU24" s="520"/>
      <c r="AV24" s="529"/>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0.5</v>
      </c>
      <c r="H26" s="187"/>
      <c r="I26" s="187"/>
      <c r="J26" s="187"/>
      <c r="K26" s="187">
        <f>0.083*2</f>
        <v>0.16600000000000001</v>
      </c>
      <c r="L26" s="187"/>
      <c r="M26" s="187" t="s">
        <v>611</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31" zoomScale="90" zoomScaleNormal="90" zoomScaleSheetLayoutView="90" workbookViewId="0">
      <selection activeCell="B26" sqref="B26"/>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3" t="str">
        <f>'1. паспорт местоположение'!A5:C5</f>
        <v>Год раскрытия информации: 2022 год</v>
      </c>
      <c r="B5" s="553"/>
      <c r="C5" s="68"/>
      <c r="D5" s="68"/>
      <c r="E5" s="68"/>
      <c r="F5" s="68"/>
      <c r="G5" s="68"/>
      <c r="H5" s="68"/>
    </row>
    <row r="6" spans="1:8" ht="18.75" x14ac:dyDescent="0.3">
      <c r="A6" s="101"/>
      <c r="B6" s="101"/>
      <c r="C6" s="101"/>
      <c r="D6" s="101"/>
      <c r="E6" s="101"/>
      <c r="F6" s="101"/>
      <c r="G6" s="101"/>
      <c r="H6" s="101"/>
    </row>
    <row r="7" spans="1:8" ht="18.75" x14ac:dyDescent="0.25">
      <c r="A7" s="425" t="s">
        <v>7</v>
      </c>
      <c r="B7" s="425"/>
      <c r="C7" s="138"/>
      <c r="D7" s="138"/>
      <c r="E7" s="138"/>
      <c r="F7" s="138"/>
      <c r="G7" s="138"/>
      <c r="H7" s="138"/>
    </row>
    <row r="8" spans="1:8" ht="18.75" x14ac:dyDescent="0.25">
      <c r="A8" s="138"/>
      <c r="B8" s="138"/>
      <c r="C8" s="138"/>
      <c r="D8" s="138"/>
      <c r="E8" s="138"/>
      <c r="F8" s="138"/>
      <c r="G8" s="138"/>
      <c r="H8" s="138"/>
    </row>
    <row r="9" spans="1:8" x14ac:dyDescent="0.25">
      <c r="A9" s="423" t="str">
        <f>'1. паспорт местоположение'!A9:C9</f>
        <v xml:space="preserve">Акционерное общество "Западная энергетическая компания" </v>
      </c>
      <c r="B9" s="423"/>
      <c r="C9" s="140"/>
      <c r="D9" s="140"/>
      <c r="E9" s="140"/>
      <c r="F9" s="140"/>
      <c r="G9" s="140"/>
      <c r="H9" s="140"/>
    </row>
    <row r="10" spans="1:8" x14ac:dyDescent="0.25">
      <c r="A10" s="429" t="s">
        <v>6</v>
      </c>
      <c r="B10" s="429"/>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3" t="str">
        <f>'1. паспорт местоположение'!A12:C12</f>
        <v>L_21-07</v>
      </c>
      <c r="B12" s="423"/>
      <c r="C12" s="140"/>
      <c r="D12" s="140"/>
      <c r="E12" s="140"/>
      <c r="F12" s="140"/>
      <c r="G12" s="140"/>
      <c r="H12" s="140"/>
    </row>
    <row r="13" spans="1:8" x14ac:dyDescent="0.25">
      <c r="A13" s="429" t="s">
        <v>5</v>
      </c>
      <c r="B13" s="429"/>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8" t="str">
        <f>'1. паспорт местоположение'!A15:C15</f>
        <v>Строительство сетей электроснабжения квартала жилых домов в г Пионерском, ул Октябрьская , 13</v>
      </c>
      <c r="B15" s="458"/>
      <c r="C15" s="140"/>
      <c r="D15" s="140"/>
      <c r="E15" s="140"/>
      <c r="F15" s="140"/>
      <c r="G15" s="140"/>
      <c r="H15" s="140"/>
    </row>
    <row r="16" spans="1:8" x14ac:dyDescent="0.25">
      <c r="A16" s="429" t="s">
        <v>4</v>
      </c>
      <c r="B16" s="429"/>
      <c r="C16" s="141"/>
      <c r="D16" s="141"/>
      <c r="E16" s="141"/>
      <c r="F16" s="141"/>
      <c r="G16" s="141"/>
      <c r="H16" s="141"/>
    </row>
    <row r="17" spans="1:2" x14ac:dyDescent="0.25">
      <c r="B17" s="75"/>
    </row>
    <row r="18" spans="1:2" ht="33.75" customHeight="1" x14ac:dyDescent="0.25">
      <c r="A18" s="548" t="s">
        <v>407</v>
      </c>
      <c r="B18" s="549"/>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квартала жилых домов в г Пионерском, ул Октябрьская , 13</v>
      </c>
    </row>
    <row r="22" spans="1:2" ht="30" customHeight="1" thickBot="1" x14ac:dyDescent="0.3">
      <c r="A22" s="77" t="s">
        <v>305</v>
      </c>
      <c r="B22" s="78" t="str">
        <f>'1. паспорт местоположение'!C27</f>
        <v>г. Пионерский</v>
      </c>
    </row>
    <row r="23" spans="1:2" ht="30.75" thickBot="1" x14ac:dyDescent="0.3">
      <c r="A23" s="77" t="s">
        <v>289</v>
      </c>
      <c r="B23" s="79" t="s">
        <v>640</v>
      </c>
    </row>
    <row r="24" spans="1:2" ht="16.5" thickBot="1" x14ac:dyDescent="0.3">
      <c r="A24" s="77" t="s">
        <v>306</v>
      </c>
      <c r="B24" s="79">
        <f>'6.2. Паспорт фин осв ввод'!D45</f>
        <v>0.5</v>
      </c>
    </row>
    <row r="25" spans="1:2" ht="16.5" thickBot="1" x14ac:dyDescent="0.3">
      <c r="A25" s="80" t="s">
        <v>307</v>
      </c>
      <c r="B25" s="392">
        <f>'6.1. Паспорт сетевой график'!H53</f>
        <v>44227</v>
      </c>
    </row>
    <row r="26" spans="1:2" ht="16.5" thickBot="1" x14ac:dyDescent="0.3">
      <c r="A26" s="81" t="s">
        <v>308</v>
      </c>
      <c r="B26" s="388" t="s">
        <v>638</v>
      </c>
    </row>
    <row r="27" spans="1:2" ht="29.25" thickBot="1" x14ac:dyDescent="0.3">
      <c r="A27" s="88" t="s">
        <v>623</v>
      </c>
      <c r="B27" s="389">
        <f>'6.2. Паспорт фин осв ввод'!D24</f>
        <v>7.4695150000000003</v>
      </c>
    </row>
    <row r="28" spans="1:2" ht="42" customHeight="1" thickBot="1" x14ac:dyDescent="0.3">
      <c r="A28" s="83" t="s">
        <v>309</v>
      </c>
      <c r="B28" s="83" t="s">
        <v>597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44134</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639</v>
      </c>
    </row>
    <row r="137" spans="1:2" ht="28.5" customHeight="1" x14ac:dyDescent="0.25">
      <c r="A137" s="82" t="s">
        <v>345</v>
      </c>
      <c r="B137" s="550" t="s">
        <v>542</v>
      </c>
    </row>
    <row r="138" spans="1:2" x14ac:dyDescent="0.25">
      <c r="A138" s="86" t="s">
        <v>346</v>
      </c>
      <c r="B138" s="551"/>
    </row>
    <row r="139" spans="1:2" x14ac:dyDescent="0.25">
      <c r="A139" s="86" t="s">
        <v>347</v>
      </c>
      <c r="B139" s="551"/>
    </row>
    <row r="140" spans="1:2" x14ac:dyDescent="0.25">
      <c r="A140" s="86" t="s">
        <v>348</v>
      </c>
      <c r="B140" s="551"/>
    </row>
    <row r="141" spans="1:2" x14ac:dyDescent="0.25">
      <c r="A141" s="86" t="s">
        <v>349</v>
      </c>
      <c r="B141" s="551"/>
    </row>
    <row r="142" spans="1:2" ht="16.5" thickBot="1" x14ac:dyDescent="0.3">
      <c r="A142" s="96" t="s">
        <v>350</v>
      </c>
      <c r="B142" s="552"/>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C19" zoomScaleSheetLayoutView="100" workbookViewId="0">
      <selection activeCell="E19" sqref="E19:E20"/>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row>
    <row r="5" spans="1:28" s="17" customFormat="1" ht="15.75" x14ac:dyDescent="0.2">
      <c r="A5" s="135"/>
    </row>
    <row r="6" spans="1:28" s="17" customFormat="1" ht="18.75" x14ac:dyDescent="0.2">
      <c r="A6" s="425" t="s">
        <v>7</v>
      </c>
      <c r="B6" s="425"/>
      <c r="C6" s="425"/>
      <c r="D6" s="425"/>
      <c r="E6" s="425"/>
      <c r="F6" s="425"/>
      <c r="G6" s="425"/>
      <c r="H6" s="425"/>
      <c r="I6" s="425"/>
      <c r="J6" s="425"/>
      <c r="K6" s="425"/>
      <c r="L6" s="425"/>
      <c r="M6" s="425"/>
      <c r="N6" s="425"/>
      <c r="O6" s="425"/>
      <c r="P6" s="425"/>
      <c r="Q6" s="425"/>
      <c r="R6" s="425"/>
      <c r="S6" s="425"/>
      <c r="T6" s="138"/>
      <c r="U6" s="138"/>
      <c r="V6" s="138"/>
      <c r="W6" s="138"/>
      <c r="X6" s="138"/>
      <c r="Y6" s="138"/>
      <c r="Z6" s="138"/>
      <c r="AA6" s="138"/>
      <c r="AB6" s="138"/>
    </row>
    <row r="7" spans="1:28" s="17" customFormat="1" ht="18.75" x14ac:dyDescent="0.2">
      <c r="A7" s="425"/>
      <c r="B7" s="425"/>
      <c r="C7" s="425"/>
      <c r="D7" s="425"/>
      <c r="E7" s="425"/>
      <c r="F7" s="425"/>
      <c r="G7" s="425"/>
      <c r="H7" s="425"/>
      <c r="I7" s="425"/>
      <c r="J7" s="425"/>
      <c r="K7" s="425"/>
      <c r="L7" s="425"/>
      <c r="M7" s="425"/>
      <c r="N7" s="425"/>
      <c r="O7" s="425"/>
      <c r="P7" s="425"/>
      <c r="Q7" s="425"/>
      <c r="R7" s="425"/>
      <c r="S7" s="425"/>
      <c r="T7" s="138"/>
      <c r="U7" s="138"/>
      <c r="V7" s="138"/>
      <c r="W7" s="138"/>
      <c r="X7" s="138"/>
      <c r="Y7" s="138"/>
      <c r="Z7" s="138"/>
      <c r="AA7" s="138"/>
      <c r="AB7" s="138"/>
    </row>
    <row r="8" spans="1:28" s="17" customFormat="1" ht="18.75" x14ac:dyDescent="0.2">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138"/>
      <c r="U8" s="138"/>
      <c r="V8" s="138"/>
      <c r="W8" s="138"/>
      <c r="X8" s="138"/>
      <c r="Y8" s="138"/>
      <c r="Z8" s="138"/>
      <c r="AA8" s="138"/>
      <c r="AB8" s="138"/>
    </row>
    <row r="9" spans="1:28" s="17" customFormat="1" ht="18.75" x14ac:dyDescent="0.2">
      <c r="A9" s="429" t="s">
        <v>6</v>
      </c>
      <c r="B9" s="429"/>
      <c r="C9" s="429"/>
      <c r="D9" s="429"/>
      <c r="E9" s="429"/>
      <c r="F9" s="429"/>
      <c r="G9" s="429"/>
      <c r="H9" s="429"/>
      <c r="I9" s="429"/>
      <c r="J9" s="429"/>
      <c r="K9" s="429"/>
      <c r="L9" s="429"/>
      <c r="M9" s="429"/>
      <c r="N9" s="429"/>
      <c r="O9" s="429"/>
      <c r="P9" s="429"/>
      <c r="Q9" s="429"/>
      <c r="R9" s="429"/>
      <c r="S9" s="429"/>
      <c r="T9" s="138"/>
      <c r="U9" s="138"/>
      <c r="V9" s="138"/>
      <c r="W9" s="138"/>
      <c r="X9" s="138"/>
      <c r="Y9" s="138"/>
      <c r="Z9" s="138"/>
      <c r="AA9" s="138"/>
      <c r="AB9" s="138"/>
    </row>
    <row r="10" spans="1:28" s="17" customFormat="1" ht="18.75" x14ac:dyDescent="0.2">
      <c r="A10" s="425"/>
      <c r="B10" s="425"/>
      <c r="C10" s="425"/>
      <c r="D10" s="425"/>
      <c r="E10" s="425"/>
      <c r="F10" s="425"/>
      <c r="G10" s="425"/>
      <c r="H10" s="425"/>
      <c r="I10" s="425"/>
      <c r="J10" s="425"/>
      <c r="K10" s="425"/>
      <c r="L10" s="425"/>
      <c r="M10" s="425"/>
      <c r="N10" s="425"/>
      <c r="O10" s="425"/>
      <c r="P10" s="425"/>
      <c r="Q10" s="425"/>
      <c r="R10" s="425"/>
      <c r="S10" s="425"/>
      <c r="T10" s="138"/>
      <c r="U10" s="138"/>
      <c r="V10" s="138"/>
      <c r="W10" s="138"/>
      <c r="X10" s="138"/>
      <c r="Y10" s="138"/>
      <c r="Z10" s="138"/>
      <c r="AA10" s="138"/>
      <c r="AB10" s="138"/>
    </row>
    <row r="11" spans="1:28" s="17" customFormat="1" ht="18.75" x14ac:dyDescent="0.2">
      <c r="A11" s="430" t="str">
        <f>'1. паспорт местоположение'!A12:C12</f>
        <v>L_21-07</v>
      </c>
      <c r="B11" s="430"/>
      <c r="C11" s="430"/>
      <c r="D11" s="430"/>
      <c r="E11" s="430"/>
      <c r="F11" s="430"/>
      <c r="G11" s="430"/>
      <c r="H11" s="430"/>
      <c r="I11" s="430"/>
      <c r="J11" s="430"/>
      <c r="K11" s="430"/>
      <c r="L11" s="430"/>
      <c r="M11" s="430"/>
      <c r="N11" s="430"/>
      <c r="O11" s="430"/>
      <c r="P11" s="430"/>
      <c r="Q11" s="430"/>
      <c r="R11" s="430"/>
      <c r="S11" s="430"/>
      <c r="T11" s="138"/>
      <c r="U11" s="138"/>
      <c r="V11" s="138"/>
      <c r="W11" s="138"/>
      <c r="X11" s="138"/>
      <c r="Y11" s="138"/>
      <c r="Z11" s="138"/>
      <c r="AA11" s="138"/>
      <c r="AB11" s="138"/>
    </row>
    <row r="12" spans="1:28" s="17" customFormat="1" ht="18.75" x14ac:dyDescent="0.2">
      <c r="A12" s="429" t="s">
        <v>5</v>
      </c>
      <c r="B12" s="429"/>
      <c r="C12" s="429"/>
      <c r="D12" s="429"/>
      <c r="E12" s="429"/>
      <c r="F12" s="429"/>
      <c r="G12" s="429"/>
      <c r="H12" s="429"/>
      <c r="I12" s="429"/>
      <c r="J12" s="429"/>
      <c r="K12" s="429"/>
      <c r="L12" s="429"/>
      <c r="M12" s="429"/>
      <c r="N12" s="429"/>
      <c r="O12" s="429"/>
      <c r="P12" s="429"/>
      <c r="Q12" s="429"/>
      <c r="R12" s="429"/>
      <c r="S12" s="429"/>
      <c r="T12" s="138"/>
      <c r="U12" s="138"/>
      <c r="V12" s="138"/>
      <c r="W12" s="138"/>
      <c r="X12" s="138"/>
      <c r="Y12" s="138"/>
      <c r="Z12" s="138"/>
      <c r="AA12" s="138"/>
      <c r="AB12" s="138"/>
    </row>
    <row r="13" spans="1:28" s="136"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39"/>
      <c r="U13" s="139"/>
      <c r="V13" s="139"/>
      <c r="W13" s="139"/>
      <c r="X13" s="139"/>
      <c r="Y13" s="139"/>
      <c r="Z13" s="139"/>
      <c r="AA13" s="139"/>
      <c r="AB13" s="139"/>
    </row>
    <row r="14" spans="1:28" s="137" customFormat="1" ht="15.75" x14ac:dyDescent="0.2">
      <c r="A14" s="423" t="str">
        <f>'1. паспорт местоположение'!A15:C15</f>
        <v>Строительство сетей электроснабжения квартала жилых домов в г Пионерском, ул Октябрьская , 13</v>
      </c>
      <c r="B14" s="423"/>
      <c r="C14" s="423"/>
      <c r="D14" s="423"/>
      <c r="E14" s="423"/>
      <c r="F14" s="423"/>
      <c r="G14" s="423"/>
      <c r="H14" s="423"/>
      <c r="I14" s="423"/>
      <c r="J14" s="423"/>
      <c r="K14" s="423"/>
      <c r="L14" s="423"/>
      <c r="M14" s="423"/>
      <c r="N14" s="423"/>
      <c r="O14" s="423"/>
      <c r="P14" s="423"/>
      <c r="Q14" s="423"/>
      <c r="R14" s="423"/>
      <c r="S14" s="423"/>
      <c r="T14" s="140"/>
      <c r="U14" s="140"/>
      <c r="V14" s="140"/>
      <c r="W14" s="140"/>
      <c r="X14" s="140"/>
      <c r="Y14" s="140"/>
      <c r="Z14" s="140"/>
      <c r="AA14" s="140"/>
      <c r="AB14" s="140"/>
    </row>
    <row r="15" spans="1:28" s="137" customFormat="1" ht="15" customHeight="1" x14ac:dyDescent="0.2">
      <c r="A15" s="429" t="s">
        <v>4</v>
      </c>
      <c r="B15" s="429"/>
      <c r="C15" s="429"/>
      <c r="D15" s="429"/>
      <c r="E15" s="429"/>
      <c r="F15" s="429"/>
      <c r="G15" s="429"/>
      <c r="H15" s="429"/>
      <c r="I15" s="429"/>
      <c r="J15" s="429"/>
      <c r="K15" s="429"/>
      <c r="L15" s="429"/>
      <c r="M15" s="429"/>
      <c r="N15" s="429"/>
      <c r="O15" s="429"/>
      <c r="P15" s="429"/>
      <c r="Q15" s="429"/>
      <c r="R15" s="429"/>
      <c r="S15" s="429"/>
      <c r="T15" s="141"/>
      <c r="U15" s="141"/>
      <c r="V15" s="141"/>
      <c r="W15" s="141"/>
      <c r="X15" s="141"/>
      <c r="Y15" s="141"/>
      <c r="Z15" s="141"/>
      <c r="AA15" s="141"/>
      <c r="AB15" s="141"/>
    </row>
    <row r="16" spans="1:28" s="137"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142"/>
      <c r="U16" s="142"/>
      <c r="V16" s="142"/>
      <c r="W16" s="142"/>
      <c r="X16" s="142"/>
      <c r="Y16" s="142"/>
    </row>
    <row r="17" spans="1:28" s="137" customFormat="1" ht="45.75" customHeight="1" x14ac:dyDescent="0.2">
      <c r="A17" s="433" t="s">
        <v>382</v>
      </c>
      <c r="B17" s="433"/>
      <c r="C17" s="433"/>
      <c r="D17" s="433"/>
      <c r="E17" s="433"/>
      <c r="F17" s="433"/>
      <c r="G17" s="433"/>
      <c r="H17" s="433"/>
      <c r="I17" s="433"/>
      <c r="J17" s="433"/>
      <c r="K17" s="433"/>
      <c r="L17" s="433"/>
      <c r="M17" s="433"/>
      <c r="N17" s="433"/>
      <c r="O17" s="433"/>
      <c r="P17" s="433"/>
      <c r="Q17" s="433"/>
      <c r="R17" s="433"/>
      <c r="S17" s="433"/>
      <c r="T17" s="143"/>
      <c r="U17" s="143"/>
      <c r="V17" s="143"/>
      <c r="W17" s="143"/>
      <c r="X17" s="143"/>
      <c r="Y17" s="143"/>
      <c r="Z17" s="143"/>
      <c r="AA17" s="143"/>
      <c r="AB17" s="143"/>
    </row>
    <row r="18" spans="1:28" s="137"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142"/>
      <c r="U18" s="142"/>
      <c r="V18" s="142"/>
      <c r="W18" s="142"/>
      <c r="X18" s="142"/>
      <c r="Y18" s="142"/>
    </row>
    <row r="19" spans="1:28" s="137" customFormat="1" ht="54" customHeight="1" x14ac:dyDescent="0.2">
      <c r="A19" s="424" t="s">
        <v>3</v>
      </c>
      <c r="B19" s="424" t="s">
        <v>94</v>
      </c>
      <c r="C19" s="426" t="s">
        <v>303</v>
      </c>
      <c r="D19" s="424" t="s">
        <v>302</v>
      </c>
      <c r="E19" s="424" t="s">
        <v>93</v>
      </c>
      <c r="F19" s="424" t="s">
        <v>92</v>
      </c>
      <c r="G19" s="424" t="s">
        <v>298</v>
      </c>
      <c r="H19" s="424" t="s">
        <v>91</v>
      </c>
      <c r="I19" s="424" t="s">
        <v>90</v>
      </c>
      <c r="J19" s="424" t="s">
        <v>89</v>
      </c>
      <c r="K19" s="424" t="s">
        <v>88</v>
      </c>
      <c r="L19" s="424" t="s">
        <v>87</v>
      </c>
      <c r="M19" s="424" t="s">
        <v>86</v>
      </c>
      <c r="N19" s="424" t="s">
        <v>85</v>
      </c>
      <c r="O19" s="424" t="s">
        <v>84</v>
      </c>
      <c r="P19" s="424" t="s">
        <v>83</v>
      </c>
      <c r="Q19" s="424" t="s">
        <v>301</v>
      </c>
      <c r="R19" s="424"/>
      <c r="S19" s="428" t="s">
        <v>376</v>
      </c>
      <c r="T19" s="142"/>
      <c r="U19" s="142"/>
      <c r="V19" s="142"/>
      <c r="W19" s="142"/>
      <c r="X19" s="142"/>
      <c r="Y19" s="142"/>
    </row>
    <row r="20" spans="1:28" s="137" customFormat="1" ht="180.75" customHeight="1" x14ac:dyDescent="0.2">
      <c r="A20" s="424"/>
      <c r="B20" s="424"/>
      <c r="C20" s="427"/>
      <c r="D20" s="424"/>
      <c r="E20" s="424"/>
      <c r="F20" s="424"/>
      <c r="G20" s="424"/>
      <c r="H20" s="424"/>
      <c r="I20" s="424"/>
      <c r="J20" s="424"/>
      <c r="K20" s="424"/>
      <c r="L20" s="424"/>
      <c r="M20" s="424"/>
      <c r="N20" s="424"/>
      <c r="O20" s="424"/>
      <c r="P20" s="424"/>
      <c r="Q20" s="144" t="s">
        <v>299</v>
      </c>
      <c r="R20" s="145" t="s">
        <v>300</v>
      </c>
      <c r="S20" s="428"/>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645</v>
      </c>
      <c r="C22" s="230" t="s">
        <v>624</v>
      </c>
      <c r="D22" s="230" t="s">
        <v>634</v>
      </c>
      <c r="E22" s="230" t="s">
        <v>642</v>
      </c>
      <c r="F22" s="230" t="s">
        <v>537</v>
      </c>
      <c r="G22" s="230" t="s">
        <v>650</v>
      </c>
      <c r="H22" s="412">
        <v>0.27795999999999998</v>
      </c>
      <c r="I22" s="230">
        <v>0</v>
      </c>
      <c r="J22" s="230">
        <v>0</v>
      </c>
      <c r="K22" s="230" t="s">
        <v>635</v>
      </c>
      <c r="L22" s="230">
        <v>2</v>
      </c>
      <c r="M22" s="230">
        <v>0.5</v>
      </c>
      <c r="N22" s="230">
        <v>1</v>
      </c>
      <c r="O22" s="230" t="s">
        <v>537</v>
      </c>
      <c r="P22" s="230" t="s">
        <v>537</v>
      </c>
      <c r="Q22" s="378" t="s">
        <v>646</v>
      </c>
      <c r="R22" s="231" t="s">
        <v>537</v>
      </c>
      <c r="S22" s="410">
        <v>8.9888630000000003</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7" zoomScale="80" zoomScaleNormal="60" zoomScaleSheetLayoutView="80" workbookViewId="0">
      <selection activeCell="D27" sqref="D27:D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8" t="str">
        <f>'1. паспорт местоположение'!A5:C5</f>
        <v>Год раскрытия информации: 2022 год</v>
      </c>
      <c r="B6" s="418"/>
      <c r="C6" s="418"/>
      <c r="D6" s="418"/>
      <c r="E6" s="418"/>
      <c r="F6" s="418"/>
      <c r="G6" s="418"/>
      <c r="H6" s="418"/>
      <c r="I6" s="418"/>
      <c r="J6" s="418"/>
      <c r="K6" s="418"/>
      <c r="L6" s="418"/>
      <c r="M6" s="418"/>
      <c r="N6" s="418"/>
      <c r="O6" s="418"/>
      <c r="P6" s="418"/>
      <c r="Q6" s="418"/>
      <c r="R6" s="418"/>
      <c r="S6" s="418"/>
      <c r="T6" s="418"/>
    </row>
    <row r="7" spans="1:20" s="17" customFormat="1" x14ac:dyDescent="0.2">
      <c r="A7" s="135"/>
      <c r="H7" s="134"/>
    </row>
    <row r="8" spans="1:20" s="17"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7"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7" customFormat="1" ht="18.75" customHeight="1" x14ac:dyDescent="0.2">
      <c r="A10" s="423" t="str">
        <f>'1. паспорт местоположение'!A9:C9</f>
        <v xml:space="preserve">Акционерное общество "Западная энергетическая компания" </v>
      </c>
      <c r="B10" s="423"/>
      <c r="C10" s="423"/>
      <c r="D10" s="423"/>
      <c r="E10" s="423"/>
      <c r="F10" s="423"/>
      <c r="G10" s="423"/>
      <c r="H10" s="423"/>
      <c r="I10" s="423"/>
      <c r="J10" s="423"/>
      <c r="K10" s="423"/>
      <c r="L10" s="423"/>
      <c r="M10" s="423"/>
      <c r="N10" s="423"/>
      <c r="O10" s="423"/>
      <c r="P10" s="423"/>
      <c r="Q10" s="423"/>
      <c r="R10" s="423"/>
      <c r="S10" s="423"/>
      <c r="T10" s="423"/>
    </row>
    <row r="11" spans="1:20" s="17" customFormat="1" ht="18.75" customHeight="1" x14ac:dyDescent="0.2">
      <c r="A11" s="429" t="s">
        <v>6</v>
      </c>
      <c r="B11" s="429"/>
      <c r="C11" s="429"/>
      <c r="D11" s="429"/>
      <c r="E11" s="429"/>
      <c r="F11" s="429"/>
      <c r="G11" s="429"/>
      <c r="H11" s="429"/>
      <c r="I11" s="429"/>
      <c r="J11" s="429"/>
      <c r="K11" s="429"/>
      <c r="L11" s="429"/>
      <c r="M11" s="429"/>
      <c r="N11" s="429"/>
      <c r="O11" s="429"/>
      <c r="P11" s="429"/>
      <c r="Q11" s="429"/>
      <c r="R11" s="429"/>
      <c r="S11" s="429"/>
      <c r="T11" s="429"/>
    </row>
    <row r="12" spans="1:20" s="17"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7" customFormat="1" ht="18.75" customHeight="1" x14ac:dyDescent="0.2">
      <c r="A13" s="430" t="str">
        <f>'1. паспорт местоположение'!A12:C12</f>
        <v>L_21-07</v>
      </c>
      <c r="B13" s="430"/>
      <c r="C13" s="430"/>
      <c r="D13" s="430"/>
      <c r="E13" s="430"/>
      <c r="F13" s="430"/>
      <c r="G13" s="430"/>
      <c r="H13" s="430"/>
      <c r="I13" s="430"/>
      <c r="J13" s="430"/>
      <c r="K13" s="430"/>
      <c r="L13" s="430"/>
      <c r="M13" s="430"/>
      <c r="N13" s="430"/>
      <c r="O13" s="430"/>
      <c r="P13" s="430"/>
      <c r="Q13" s="430"/>
      <c r="R13" s="430"/>
      <c r="S13" s="430"/>
      <c r="T13" s="430"/>
    </row>
    <row r="14" spans="1:20" s="17" customFormat="1" ht="18.75" customHeight="1" x14ac:dyDescent="0.2">
      <c r="A14" s="429" t="s">
        <v>5</v>
      </c>
      <c r="B14" s="429"/>
      <c r="C14" s="429"/>
      <c r="D14" s="429"/>
      <c r="E14" s="429"/>
      <c r="F14" s="429"/>
      <c r="G14" s="429"/>
      <c r="H14" s="429"/>
      <c r="I14" s="429"/>
      <c r="J14" s="429"/>
      <c r="K14" s="429"/>
      <c r="L14" s="429"/>
      <c r="M14" s="429"/>
      <c r="N14" s="429"/>
      <c r="O14" s="429"/>
      <c r="P14" s="429"/>
      <c r="Q14" s="429"/>
      <c r="R14" s="429"/>
      <c r="S14" s="429"/>
      <c r="T14" s="429"/>
    </row>
    <row r="15" spans="1:20" s="136"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137" customFormat="1" x14ac:dyDescent="0.2">
      <c r="A16" s="423" t="str">
        <f>'1. паспорт местоположение'!A15:C15</f>
        <v>Строительство сетей электроснабжения квартала жилых домов в г Пионерском, ул Октябрьская , 13</v>
      </c>
      <c r="B16" s="423"/>
      <c r="C16" s="423"/>
      <c r="D16" s="423"/>
      <c r="E16" s="423"/>
      <c r="F16" s="423"/>
      <c r="G16" s="423"/>
      <c r="H16" s="423"/>
      <c r="I16" s="423"/>
      <c r="J16" s="423"/>
      <c r="K16" s="423"/>
      <c r="L16" s="423"/>
      <c r="M16" s="423"/>
      <c r="N16" s="423"/>
      <c r="O16" s="423"/>
      <c r="P16" s="423"/>
      <c r="Q16" s="423"/>
      <c r="R16" s="423"/>
      <c r="S16" s="423"/>
      <c r="T16" s="423"/>
    </row>
    <row r="17" spans="1:20" s="137" customFormat="1" ht="15" customHeight="1" x14ac:dyDescent="0.2">
      <c r="A17" s="429" t="s">
        <v>4</v>
      </c>
      <c r="B17" s="429"/>
      <c r="C17" s="429"/>
      <c r="D17" s="429"/>
      <c r="E17" s="429"/>
      <c r="F17" s="429"/>
      <c r="G17" s="429"/>
      <c r="H17" s="429"/>
      <c r="I17" s="429"/>
      <c r="J17" s="429"/>
      <c r="K17" s="429"/>
      <c r="L17" s="429"/>
      <c r="M17" s="429"/>
      <c r="N17" s="429"/>
      <c r="O17" s="429"/>
      <c r="P17" s="429"/>
      <c r="Q17" s="429"/>
      <c r="R17" s="429"/>
      <c r="S17" s="429"/>
      <c r="T17" s="429"/>
    </row>
    <row r="18" spans="1:20" s="137"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20" s="137" customFormat="1" ht="15" customHeight="1" x14ac:dyDescent="0.2">
      <c r="A19" s="449" t="s">
        <v>387</v>
      </c>
      <c r="B19" s="449"/>
      <c r="C19" s="449"/>
      <c r="D19" s="449"/>
      <c r="E19" s="449"/>
      <c r="F19" s="449"/>
      <c r="G19" s="449"/>
      <c r="H19" s="449"/>
      <c r="I19" s="449"/>
      <c r="J19" s="449"/>
      <c r="K19" s="449"/>
      <c r="L19" s="449"/>
      <c r="M19" s="449"/>
      <c r="N19" s="449"/>
      <c r="O19" s="449"/>
      <c r="P19" s="449"/>
      <c r="Q19" s="449"/>
      <c r="R19" s="449"/>
      <c r="S19" s="449"/>
      <c r="T19" s="449"/>
    </row>
    <row r="20" spans="1:20" s="41"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20" ht="46.5" customHeight="1" x14ac:dyDescent="0.25">
      <c r="A21" s="443" t="s">
        <v>3</v>
      </c>
      <c r="B21" s="436" t="s">
        <v>200</v>
      </c>
      <c r="C21" s="437"/>
      <c r="D21" s="440" t="s">
        <v>116</v>
      </c>
      <c r="E21" s="436" t="s">
        <v>415</v>
      </c>
      <c r="F21" s="437"/>
      <c r="G21" s="436" t="s">
        <v>239</v>
      </c>
      <c r="H21" s="437"/>
      <c r="I21" s="436" t="s">
        <v>115</v>
      </c>
      <c r="J21" s="437"/>
      <c r="K21" s="440" t="s">
        <v>114</v>
      </c>
      <c r="L21" s="436" t="s">
        <v>113</v>
      </c>
      <c r="M21" s="437"/>
      <c r="N21" s="436" t="s">
        <v>441</v>
      </c>
      <c r="O21" s="437"/>
      <c r="P21" s="440" t="s">
        <v>112</v>
      </c>
      <c r="Q21" s="446" t="s">
        <v>111</v>
      </c>
      <c r="R21" s="447"/>
      <c r="S21" s="446" t="s">
        <v>110</v>
      </c>
      <c r="T21" s="448"/>
    </row>
    <row r="22" spans="1:20" ht="204.75" customHeight="1" x14ac:dyDescent="0.25">
      <c r="A22" s="444"/>
      <c r="B22" s="438"/>
      <c r="C22" s="439"/>
      <c r="D22" s="442"/>
      <c r="E22" s="438"/>
      <c r="F22" s="439"/>
      <c r="G22" s="438"/>
      <c r="H22" s="439"/>
      <c r="I22" s="438"/>
      <c r="J22" s="439"/>
      <c r="K22" s="441"/>
      <c r="L22" s="438"/>
      <c r="M22" s="439"/>
      <c r="N22" s="438"/>
      <c r="O22" s="439"/>
      <c r="P22" s="441"/>
      <c r="Q22" s="72" t="s">
        <v>109</v>
      </c>
      <c r="R22" s="72" t="s">
        <v>386</v>
      </c>
      <c r="S22" s="72" t="s">
        <v>108</v>
      </c>
      <c r="T22" s="72" t="s">
        <v>107</v>
      </c>
    </row>
    <row r="23" spans="1:20" ht="51.75" customHeight="1" x14ac:dyDescent="0.25">
      <c r="A23" s="445"/>
      <c r="B23" s="104" t="s">
        <v>105</v>
      </c>
      <c r="C23" s="104" t="s">
        <v>106</v>
      </c>
      <c r="D23" s="441"/>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636</v>
      </c>
      <c r="D25" s="380" t="s">
        <v>618</v>
      </c>
      <c r="E25" s="380"/>
      <c r="F25" s="380" t="s">
        <v>619</v>
      </c>
      <c r="G25" s="380"/>
      <c r="H25" s="380" t="s">
        <v>617</v>
      </c>
      <c r="I25" s="381"/>
      <c r="J25" s="381" t="s">
        <v>626</v>
      </c>
      <c r="K25" s="381"/>
      <c r="L25" s="381"/>
      <c r="M25" s="381" t="s">
        <v>612</v>
      </c>
      <c r="N25" s="380"/>
      <c r="O25" s="380"/>
      <c r="P25" s="381" t="s">
        <v>297</v>
      </c>
      <c r="Q25" s="381"/>
      <c r="R25" s="381"/>
      <c r="S25" s="381" t="s">
        <v>297</v>
      </c>
      <c r="T25" s="380" t="s">
        <v>297</v>
      </c>
    </row>
    <row r="26" spans="1:20" s="385" customFormat="1" ht="47.25" customHeight="1" x14ac:dyDescent="0.25">
      <c r="A26" s="380"/>
      <c r="B26" s="380"/>
      <c r="C26" s="380"/>
      <c r="D26" s="383" t="s">
        <v>620</v>
      </c>
      <c r="E26" s="383"/>
      <c r="F26" s="383" t="s">
        <v>621</v>
      </c>
      <c r="G26" s="383"/>
      <c r="H26" s="383" t="s">
        <v>622</v>
      </c>
      <c r="I26" s="381"/>
      <c r="J26" s="383">
        <v>2021</v>
      </c>
      <c r="K26" s="381"/>
      <c r="L26" s="381"/>
      <c r="M26" s="381" t="s">
        <v>613</v>
      </c>
      <c r="N26" s="384"/>
      <c r="O26" s="384"/>
      <c r="P26" s="381" t="s">
        <v>297</v>
      </c>
      <c r="Q26" s="380"/>
      <c r="R26" s="380"/>
      <c r="S26" s="384" t="s">
        <v>297</v>
      </c>
      <c r="T26" s="384" t="s">
        <v>297</v>
      </c>
    </row>
    <row r="27" spans="1:20" ht="24" customHeight="1" x14ac:dyDescent="0.25">
      <c r="A27" s="380"/>
      <c r="B27" s="380"/>
      <c r="C27" s="380"/>
      <c r="D27" s="383" t="s">
        <v>614</v>
      </c>
      <c r="E27" s="383"/>
      <c r="F27" s="383" t="s">
        <v>647</v>
      </c>
      <c r="G27" s="383"/>
      <c r="H27" s="383" t="s">
        <v>615</v>
      </c>
      <c r="I27" s="381"/>
      <c r="J27" s="383">
        <v>2021</v>
      </c>
      <c r="K27" s="381"/>
      <c r="L27" s="381"/>
      <c r="M27" s="381" t="s">
        <v>368</v>
      </c>
      <c r="N27" s="384"/>
      <c r="O27" s="384">
        <v>0.25</v>
      </c>
      <c r="P27" s="381" t="s">
        <v>297</v>
      </c>
      <c r="Q27" s="381"/>
      <c r="R27" s="381"/>
      <c r="S27" s="384" t="s">
        <v>297</v>
      </c>
      <c r="T27" s="384" t="s">
        <v>297</v>
      </c>
    </row>
    <row r="28" spans="1:20" ht="24" customHeight="1" x14ac:dyDescent="0.25">
      <c r="A28" s="380"/>
      <c r="B28" s="380"/>
      <c r="C28" s="380"/>
      <c r="D28" s="383" t="s">
        <v>614</v>
      </c>
      <c r="E28" s="383"/>
      <c r="F28" s="383" t="s">
        <v>647</v>
      </c>
      <c r="G28" s="383"/>
      <c r="H28" s="383" t="s">
        <v>616</v>
      </c>
      <c r="I28" s="381"/>
      <c r="J28" s="383">
        <v>2022</v>
      </c>
      <c r="K28" s="381"/>
      <c r="L28" s="381"/>
      <c r="M28" s="381" t="s">
        <v>368</v>
      </c>
      <c r="N28" s="384"/>
      <c r="O28" s="384">
        <v>0.25</v>
      </c>
      <c r="P28" s="381"/>
      <c r="Q28" s="381"/>
      <c r="R28" s="381"/>
      <c r="S28" s="384"/>
      <c r="T28" s="384"/>
    </row>
    <row r="29" spans="1:20" s="40" customFormat="1" ht="12.75" x14ac:dyDescent="0.2"/>
    <row r="30" spans="1:20" s="40" customFormat="1" ht="12.75" x14ac:dyDescent="0.2"/>
    <row r="31" spans="1:20" s="40" customFormat="1" ht="12.75" x14ac:dyDescent="0.2"/>
    <row r="32" spans="1:20" s="40" customFormat="1" ht="12.75" x14ac:dyDescent="0.2"/>
    <row r="33" spans="2:18" s="40" customFormat="1" ht="12.75" x14ac:dyDescent="0.2"/>
    <row r="34" spans="2:18" s="40" customFormat="1" ht="12.75" x14ac:dyDescent="0.2"/>
    <row r="35" spans="2:18" s="40" customFormat="1" ht="12.75" x14ac:dyDescent="0.2"/>
    <row r="36" spans="2:18" s="40" customFormat="1" ht="12.75" x14ac:dyDescent="0.2"/>
    <row r="37" spans="2:18" s="40" customFormat="1" ht="12.75" x14ac:dyDescent="0.2"/>
    <row r="38" spans="2:18" s="40" customFormat="1" ht="12.75" x14ac:dyDescent="0.2"/>
    <row r="39" spans="2:18" s="40" customFormat="1" ht="12.75" x14ac:dyDescent="0.2"/>
    <row r="40" spans="2:18" s="40" customFormat="1" ht="12.75" x14ac:dyDescent="0.2"/>
    <row r="41" spans="2:18" s="40" customFormat="1" ht="12.75" x14ac:dyDescent="0.2"/>
    <row r="42" spans="2:18" s="40" customFormat="1" ht="12.75" x14ac:dyDescent="0.2"/>
    <row r="43" spans="2:18" s="40" customFormat="1" ht="12.75" x14ac:dyDescent="0.2"/>
    <row r="44" spans="2:18" s="40" customFormat="1" ht="12.75" x14ac:dyDescent="0.2"/>
    <row r="45" spans="2:18" s="40" customFormat="1" ht="12.75" x14ac:dyDescent="0.2"/>
    <row r="46" spans="2:18" s="40" customFormat="1" ht="12.75" x14ac:dyDescent="0.2"/>
    <row r="47" spans="2:18" s="40" customFormat="1" ht="12.75" x14ac:dyDescent="0.2"/>
    <row r="48" spans="2:18" s="40" customFormat="1" x14ac:dyDescent="0.25">
      <c r="B48" s="38" t="s">
        <v>104</v>
      </c>
      <c r="C48" s="38"/>
      <c r="D48" s="38"/>
      <c r="E48" s="38"/>
      <c r="F48" s="38"/>
      <c r="G48" s="38"/>
      <c r="H48" s="38"/>
      <c r="I48" s="38"/>
      <c r="J48" s="38"/>
      <c r="K48" s="38"/>
      <c r="L48" s="38"/>
      <c r="M48" s="38"/>
      <c r="N48" s="38"/>
      <c r="O48" s="38"/>
      <c r="P48" s="38"/>
      <c r="Q48" s="38"/>
      <c r="R48" s="38"/>
    </row>
    <row r="49" spans="2:113" x14ac:dyDescent="0.25">
      <c r="B49" s="435" t="s">
        <v>421</v>
      </c>
      <c r="C49" s="435"/>
      <c r="D49" s="435"/>
      <c r="E49" s="435"/>
      <c r="F49" s="435"/>
      <c r="G49" s="435"/>
      <c r="H49" s="435"/>
      <c r="I49" s="435"/>
      <c r="J49" s="435"/>
      <c r="K49" s="435"/>
      <c r="L49" s="435"/>
      <c r="M49" s="435"/>
      <c r="N49" s="435"/>
      <c r="O49" s="435"/>
      <c r="P49" s="435"/>
      <c r="Q49" s="435"/>
      <c r="R49" s="435"/>
    </row>
    <row r="50" spans="2:113" x14ac:dyDescent="0.25">
      <c r="B50" s="38"/>
      <c r="C50" s="38"/>
      <c r="D50" s="38"/>
      <c r="E50" s="38"/>
      <c r="F50" s="38" t="s">
        <v>618</v>
      </c>
      <c r="G50" s="38"/>
      <c r="H50" s="38"/>
      <c r="I50" s="38"/>
      <c r="J50" s="38"/>
      <c r="K50" s="38"/>
      <c r="L50" s="38"/>
      <c r="M50" s="38"/>
      <c r="N50" s="38"/>
      <c r="O50" s="38"/>
      <c r="P50" s="38"/>
      <c r="Q50" s="38"/>
      <c r="R50" s="38"/>
      <c r="S50" s="38"/>
      <c r="T50" s="38"/>
      <c r="U50" s="38"/>
      <c r="V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x14ac:dyDescent="0.25">
      <c r="B51" s="37" t="s">
        <v>385</v>
      </c>
      <c r="C51" s="37"/>
      <c r="D51" s="37"/>
      <c r="E51" s="37"/>
      <c r="F51" s="35"/>
      <c r="G51" s="35"/>
      <c r="H51" s="37"/>
      <c r="I51" s="37"/>
      <c r="J51" s="37"/>
      <c r="K51" s="37"/>
      <c r="L51" s="37"/>
      <c r="M51" s="37"/>
      <c r="N51" s="37"/>
      <c r="O51" s="37"/>
      <c r="P51" s="37"/>
      <c r="Q51" s="37"/>
      <c r="R51" s="37"/>
      <c r="S51" s="39"/>
      <c r="T51" s="39"/>
      <c r="U51" s="39"/>
      <c r="V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row>
    <row r="52" spans="2:113" x14ac:dyDescent="0.25">
      <c r="B52" s="37" t="s">
        <v>103</v>
      </c>
      <c r="C52" s="37"/>
      <c r="D52" s="37"/>
      <c r="E52" s="37"/>
      <c r="F52" s="35"/>
      <c r="G52" s="35"/>
      <c r="H52" s="37"/>
      <c r="I52" s="37"/>
      <c r="J52" s="37"/>
      <c r="K52" s="37"/>
      <c r="L52" s="37"/>
      <c r="M52" s="37"/>
      <c r="N52" s="37"/>
      <c r="O52" s="37"/>
      <c r="P52" s="37"/>
      <c r="Q52" s="37"/>
      <c r="R52" s="37"/>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row>
    <row r="53" spans="2:113" s="35" customFormat="1" x14ac:dyDescent="0.25">
      <c r="B53" s="37" t="s">
        <v>102</v>
      </c>
      <c r="C53" s="37"/>
      <c r="D53" s="37"/>
      <c r="E53" s="37"/>
      <c r="H53" s="37"/>
      <c r="I53" s="37"/>
      <c r="J53" s="37"/>
      <c r="K53" s="37"/>
      <c r="L53" s="37"/>
      <c r="M53" s="37"/>
      <c r="N53" s="37"/>
      <c r="O53" s="37"/>
      <c r="P53" s="37"/>
      <c r="Q53" s="37"/>
      <c r="R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101</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100</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99</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B57" s="37" t="s">
        <v>98</v>
      </c>
      <c r="C57" s="37"/>
      <c r="D57" s="37"/>
      <c r="E57" s="37"/>
      <c r="H57" s="37"/>
      <c r="I57" s="37"/>
      <c r="J57" s="37"/>
      <c r="K57" s="37"/>
      <c r="L57" s="37"/>
      <c r="M57" s="37"/>
      <c r="N57" s="37"/>
      <c r="O57" s="37"/>
      <c r="P57" s="37"/>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B58" s="37" t="s">
        <v>97</v>
      </c>
      <c r="C58" s="37"/>
      <c r="D58" s="37"/>
      <c r="E58" s="37"/>
      <c r="H58" s="37"/>
      <c r="I58" s="37"/>
      <c r="J58" s="37"/>
      <c r="K58" s="37"/>
      <c r="L58" s="37"/>
      <c r="M58" s="37"/>
      <c r="N58" s="37"/>
      <c r="O58" s="37"/>
      <c r="P58" s="37"/>
      <c r="Q58" s="37"/>
      <c r="R58" s="37"/>
      <c r="S58" s="37"/>
      <c r="T58" s="37"/>
      <c r="U58" s="37"/>
      <c r="V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row r="59" spans="2:113" s="35" customFormat="1" x14ac:dyDescent="0.25">
      <c r="B59" s="37" t="s">
        <v>96</v>
      </c>
      <c r="C59" s="37"/>
      <c r="D59" s="37"/>
      <c r="E59" s="37"/>
      <c r="H59" s="37"/>
      <c r="I59" s="37"/>
      <c r="J59" s="37"/>
      <c r="K59" s="37"/>
      <c r="L59" s="37"/>
      <c r="M59" s="37"/>
      <c r="N59" s="37"/>
      <c r="O59" s="37"/>
      <c r="P59" s="37"/>
      <c r="Q59" s="37"/>
      <c r="R59" s="37"/>
      <c r="S59" s="37"/>
      <c r="T59" s="37"/>
      <c r="U59" s="37"/>
      <c r="V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row>
    <row r="60" spans="2:113" s="35" customFormat="1" x14ac:dyDescent="0.25">
      <c r="B60" s="37" t="s">
        <v>95</v>
      </c>
      <c r="C60" s="37"/>
      <c r="D60" s="37"/>
      <c r="E60" s="37"/>
      <c r="H60" s="37"/>
      <c r="I60" s="37"/>
      <c r="J60" s="37"/>
      <c r="K60" s="37"/>
      <c r="L60" s="37"/>
      <c r="M60" s="37"/>
      <c r="N60" s="37"/>
      <c r="O60" s="37"/>
      <c r="P60" s="37"/>
      <c r="Q60" s="37"/>
      <c r="R60" s="37"/>
      <c r="S60" s="37"/>
      <c r="T60" s="37"/>
      <c r="U60" s="37"/>
      <c r="V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row>
    <row r="61" spans="2:113" s="35" customFormat="1" x14ac:dyDescent="0.25">
      <c r="Q61" s="37"/>
      <c r="R61" s="37"/>
      <c r="S61" s="37"/>
      <c r="T61" s="37"/>
      <c r="U61" s="37"/>
      <c r="V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3" zoomScale="106" zoomScaleSheetLayoutView="106" workbookViewId="0">
      <selection activeCell="R25" sqref="R25:R27"/>
    </sheetView>
  </sheetViews>
  <sheetFormatPr defaultColWidth="10.7109375" defaultRowHeight="15.75" x14ac:dyDescent="0.25"/>
  <cols>
    <col min="1" max="2" width="10.7109375" style="34"/>
    <col min="3" max="3" width="13.7109375"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3" t="str">
        <f>'1. паспорт местоположение'!A9</f>
        <v xml:space="preserve">Акционерное общество "Западная энергетическая компания" </v>
      </c>
      <c r="F9" s="423"/>
      <c r="G9" s="423"/>
      <c r="H9" s="423"/>
      <c r="I9" s="423"/>
      <c r="J9" s="423"/>
      <c r="K9" s="423"/>
      <c r="L9" s="423"/>
      <c r="M9" s="423"/>
      <c r="N9" s="423"/>
      <c r="O9" s="423"/>
      <c r="P9" s="423"/>
      <c r="Q9" s="423"/>
      <c r="R9" s="423"/>
      <c r="S9" s="423"/>
      <c r="T9" s="423"/>
      <c r="U9" s="423"/>
      <c r="V9" s="423"/>
      <c r="W9" s="423"/>
      <c r="X9" s="423"/>
      <c r="Y9" s="423"/>
    </row>
    <row r="10" spans="1:27" s="17" customFormat="1" ht="18.75" customHeight="1" x14ac:dyDescent="0.2">
      <c r="E10" s="429" t="s">
        <v>6</v>
      </c>
      <c r="F10" s="429"/>
      <c r="G10" s="429"/>
      <c r="H10" s="429"/>
      <c r="I10" s="429"/>
      <c r="J10" s="429"/>
      <c r="K10" s="429"/>
      <c r="L10" s="429"/>
      <c r="M10" s="429"/>
      <c r="N10" s="429"/>
      <c r="O10" s="429"/>
      <c r="P10" s="429"/>
      <c r="Q10" s="429"/>
      <c r="R10" s="429"/>
      <c r="S10" s="429"/>
      <c r="T10" s="429"/>
      <c r="U10" s="429"/>
      <c r="V10" s="429"/>
      <c r="W10" s="429"/>
      <c r="X10" s="429"/>
      <c r="Y10" s="429"/>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3" t="str">
        <f>'1. паспорт местоположение'!A12</f>
        <v>L_21-07</v>
      </c>
      <c r="F12" s="423"/>
      <c r="G12" s="423"/>
      <c r="H12" s="423"/>
      <c r="I12" s="423"/>
      <c r="J12" s="423"/>
      <c r="K12" s="423"/>
      <c r="L12" s="423"/>
      <c r="M12" s="423"/>
      <c r="N12" s="423"/>
      <c r="O12" s="423"/>
      <c r="P12" s="423"/>
      <c r="Q12" s="423"/>
      <c r="R12" s="423"/>
      <c r="S12" s="423"/>
      <c r="T12" s="423"/>
      <c r="U12" s="423"/>
      <c r="V12" s="423"/>
      <c r="W12" s="423"/>
      <c r="X12" s="423"/>
      <c r="Y12" s="423"/>
    </row>
    <row r="13" spans="1:27" s="17" customFormat="1" ht="18.75" customHeight="1" x14ac:dyDescent="0.2">
      <c r="E13" s="429" t="s">
        <v>5</v>
      </c>
      <c r="F13" s="429"/>
      <c r="G13" s="429"/>
      <c r="H13" s="429"/>
      <c r="I13" s="429"/>
      <c r="J13" s="429"/>
      <c r="K13" s="429"/>
      <c r="L13" s="429"/>
      <c r="M13" s="429"/>
      <c r="N13" s="429"/>
      <c r="O13" s="429"/>
      <c r="P13" s="429"/>
      <c r="Q13" s="429"/>
      <c r="R13" s="429"/>
      <c r="S13" s="429"/>
      <c r="T13" s="429"/>
      <c r="U13" s="429"/>
      <c r="V13" s="429"/>
      <c r="W13" s="429"/>
      <c r="X13" s="429"/>
      <c r="Y13" s="429"/>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3" t="str">
        <f>'1. паспорт местоположение'!A15</f>
        <v>Строительство сетей электроснабжения квартала жилых домов в г Пионерском, ул Октябрьская , 13</v>
      </c>
      <c r="F15" s="423"/>
      <c r="G15" s="423"/>
      <c r="H15" s="423"/>
      <c r="I15" s="423"/>
      <c r="J15" s="423"/>
      <c r="K15" s="423"/>
      <c r="L15" s="423"/>
      <c r="M15" s="423"/>
      <c r="N15" s="423"/>
      <c r="O15" s="423"/>
      <c r="P15" s="423"/>
      <c r="Q15" s="423"/>
      <c r="R15" s="423"/>
      <c r="S15" s="423"/>
      <c r="T15" s="423"/>
      <c r="U15" s="423"/>
      <c r="V15" s="423"/>
      <c r="W15" s="423"/>
      <c r="X15" s="423"/>
      <c r="Y15" s="423"/>
    </row>
    <row r="16" spans="1:27" s="137" customFormat="1" ht="15" customHeight="1" x14ac:dyDescent="0.2">
      <c r="E16" s="429" t="s">
        <v>4</v>
      </c>
      <c r="F16" s="429"/>
      <c r="G16" s="429"/>
      <c r="H16" s="429"/>
      <c r="I16" s="429"/>
      <c r="J16" s="429"/>
      <c r="K16" s="429"/>
      <c r="L16" s="429"/>
      <c r="M16" s="429"/>
      <c r="N16" s="429"/>
      <c r="O16" s="429"/>
      <c r="P16" s="429"/>
      <c r="Q16" s="429"/>
      <c r="R16" s="429"/>
      <c r="S16" s="429"/>
      <c r="T16" s="429"/>
      <c r="U16" s="429"/>
      <c r="V16" s="429"/>
      <c r="W16" s="429"/>
      <c r="X16" s="429"/>
      <c r="Y16" s="429"/>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389</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41" customFormat="1" ht="21" customHeight="1" x14ac:dyDescent="0.25"/>
    <row r="21" spans="1:27" ht="15.75" customHeight="1" x14ac:dyDescent="0.25">
      <c r="A21" s="451" t="s">
        <v>3</v>
      </c>
      <c r="B21" s="454" t="s">
        <v>396</v>
      </c>
      <c r="C21" s="455"/>
      <c r="D21" s="454" t="s">
        <v>398</v>
      </c>
      <c r="E21" s="455"/>
      <c r="F21" s="446" t="s">
        <v>88</v>
      </c>
      <c r="G21" s="448"/>
      <c r="H21" s="448"/>
      <c r="I21" s="447"/>
      <c r="J21" s="451" t="s">
        <v>399</v>
      </c>
      <c r="K21" s="454" t="s">
        <v>400</v>
      </c>
      <c r="L21" s="455"/>
      <c r="M21" s="454" t="s">
        <v>401</v>
      </c>
      <c r="N21" s="455"/>
      <c r="O21" s="454" t="s">
        <v>388</v>
      </c>
      <c r="P21" s="455"/>
      <c r="Q21" s="454" t="s">
        <v>121</v>
      </c>
      <c r="R21" s="455"/>
      <c r="S21" s="451" t="s">
        <v>120</v>
      </c>
      <c r="T21" s="451" t="s">
        <v>402</v>
      </c>
      <c r="U21" s="451" t="s">
        <v>397</v>
      </c>
      <c r="V21" s="454" t="s">
        <v>119</v>
      </c>
      <c r="W21" s="455"/>
      <c r="X21" s="446" t="s">
        <v>111</v>
      </c>
      <c r="Y21" s="448"/>
      <c r="Z21" s="446" t="s">
        <v>110</v>
      </c>
      <c r="AA21" s="448"/>
    </row>
    <row r="22" spans="1:27" ht="216" customHeight="1" x14ac:dyDescent="0.25">
      <c r="A22" s="452"/>
      <c r="B22" s="456"/>
      <c r="C22" s="457"/>
      <c r="D22" s="456"/>
      <c r="E22" s="457"/>
      <c r="F22" s="446" t="s">
        <v>118</v>
      </c>
      <c r="G22" s="447"/>
      <c r="H22" s="446" t="s">
        <v>117</v>
      </c>
      <c r="I22" s="447"/>
      <c r="J22" s="453"/>
      <c r="K22" s="456"/>
      <c r="L22" s="457"/>
      <c r="M22" s="456"/>
      <c r="N22" s="457"/>
      <c r="O22" s="456"/>
      <c r="P22" s="457"/>
      <c r="Q22" s="456"/>
      <c r="R22" s="457"/>
      <c r="S22" s="453"/>
      <c r="T22" s="453"/>
      <c r="U22" s="453"/>
      <c r="V22" s="456"/>
      <c r="W22" s="457"/>
      <c r="X22" s="72" t="s">
        <v>109</v>
      </c>
      <c r="Y22" s="72" t="s">
        <v>386</v>
      </c>
      <c r="Z22" s="72" t="s">
        <v>108</v>
      </c>
      <c r="AA22" s="72" t="s">
        <v>107</v>
      </c>
    </row>
    <row r="23" spans="1:27" ht="60" customHeight="1" x14ac:dyDescent="0.25">
      <c r="A23" s="45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ht="78.75" x14ac:dyDescent="0.25">
      <c r="A25" s="114">
        <v>1</v>
      </c>
      <c r="B25" s="115" t="s">
        <v>297</v>
      </c>
      <c r="C25" s="114" t="s">
        <v>652</v>
      </c>
      <c r="D25" s="114" t="s">
        <v>297</v>
      </c>
      <c r="E25" s="114" t="s">
        <v>537</v>
      </c>
      <c r="F25" s="114" t="s">
        <v>537</v>
      </c>
      <c r="G25" s="114">
        <v>15</v>
      </c>
      <c r="H25" s="114" t="s">
        <v>537</v>
      </c>
      <c r="I25" s="114">
        <v>15</v>
      </c>
      <c r="J25" s="114">
        <v>2021</v>
      </c>
      <c r="K25" s="114" t="s">
        <v>537</v>
      </c>
      <c r="L25" s="114" t="s">
        <v>537</v>
      </c>
      <c r="M25" s="114" t="s">
        <v>537</v>
      </c>
      <c r="N25" s="114" t="s">
        <v>654</v>
      </c>
      <c r="O25" s="114" t="s">
        <v>537</v>
      </c>
      <c r="P25" s="114" t="s">
        <v>585</v>
      </c>
      <c r="Q25" s="114" t="s">
        <v>537</v>
      </c>
      <c r="R25" s="114">
        <v>8.3000000000000004E-2</v>
      </c>
      <c r="S25" s="114" t="s">
        <v>537</v>
      </c>
      <c r="T25" s="114" t="s">
        <v>537</v>
      </c>
      <c r="U25" s="114" t="s">
        <v>537</v>
      </c>
      <c r="V25" s="114" t="s">
        <v>537</v>
      </c>
      <c r="W25" s="114" t="s">
        <v>537</v>
      </c>
      <c r="X25" s="114" t="s">
        <v>537</v>
      </c>
      <c r="Y25" s="114" t="s">
        <v>537</v>
      </c>
      <c r="Z25" s="114" t="s">
        <v>537</v>
      </c>
      <c r="AA25" s="114" t="s">
        <v>537</v>
      </c>
    </row>
    <row r="26" spans="1:27" s="41" customFormat="1" ht="78.75" x14ac:dyDescent="0.25">
      <c r="A26" s="114">
        <v>2</v>
      </c>
      <c r="B26" s="114"/>
      <c r="C26" s="114" t="s">
        <v>653</v>
      </c>
      <c r="D26" s="114"/>
      <c r="E26" s="114" t="s">
        <v>537</v>
      </c>
      <c r="F26" s="114" t="s">
        <v>537</v>
      </c>
      <c r="G26" s="114">
        <v>15</v>
      </c>
      <c r="H26" s="114"/>
      <c r="I26" s="114">
        <v>15</v>
      </c>
      <c r="J26" s="114">
        <v>2021</v>
      </c>
      <c r="K26" s="114" t="s">
        <v>537</v>
      </c>
      <c r="L26" s="114" t="s">
        <v>537</v>
      </c>
      <c r="M26" s="114" t="s">
        <v>537</v>
      </c>
      <c r="N26" s="114" t="s">
        <v>654</v>
      </c>
      <c r="O26" s="114" t="s">
        <v>537</v>
      </c>
      <c r="P26" s="114" t="s">
        <v>585</v>
      </c>
      <c r="Q26" s="114" t="s">
        <v>537</v>
      </c>
      <c r="R26" s="114">
        <v>8.3000000000000004E-2</v>
      </c>
      <c r="S26" s="114" t="s">
        <v>537</v>
      </c>
      <c r="T26" s="114" t="s">
        <v>537</v>
      </c>
      <c r="U26" s="114" t="s">
        <v>537</v>
      </c>
      <c r="V26" s="114" t="s">
        <v>537</v>
      </c>
      <c r="W26" s="114" t="s">
        <v>537</v>
      </c>
      <c r="X26" s="114" t="s">
        <v>537</v>
      </c>
      <c r="Y26" s="114" t="s">
        <v>537</v>
      </c>
      <c r="Z26" s="114" t="s">
        <v>537</v>
      </c>
      <c r="AA26" s="114" t="s">
        <v>537</v>
      </c>
    </row>
    <row r="27" spans="1:27" x14ac:dyDescent="0.25">
      <c r="R27" s="34">
        <f>SUM(R25:R26)</f>
        <v>0.16600000000000001</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8" t="str">
        <f>'1. паспорт местоположение'!A5:C5</f>
        <v>Год раскрытия информации: 2022 год</v>
      </c>
      <c r="B5" s="418"/>
      <c r="C5" s="41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5" t="s">
        <v>7</v>
      </c>
      <c r="B7" s="425"/>
      <c r="C7" s="425"/>
      <c r="D7" s="138"/>
      <c r="E7" s="138"/>
      <c r="F7" s="138"/>
      <c r="G7" s="138"/>
      <c r="H7" s="138"/>
      <c r="I7" s="138"/>
      <c r="J7" s="138"/>
      <c r="K7" s="138"/>
      <c r="L7" s="138"/>
      <c r="M7" s="138"/>
      <c r="N7" s="138"/>
      <c r="O7" s="138"/>
      <c r="P7" s="138"/>
      <c r="Q7" s="138"/>
      <c r="R7" s="138"/>
      <c r="S7" s="138"/>
      <c r="T7" s="138"/>
      <c r="U7" s="138"/>
    </row>
    <row r="8" spans="1:29" s="17" customFormat="1" ht="18.75" x14ac:dyDescent="0.2">
      <c r="A8" s="425"/>
      <c r="B8" s="425"/>
      <c r="C8" s="425"/>
      <c r="D8" s="153"/>
      <c r="E8" s="153"/>
      <c r="F8" s="153"/>
      <c r="G8" s="153"/>
      <c r="H8" s="138"/>
      <c r="I8" s="138"/>
      <c r="J8" s="138"/>
      <c r="K8" s="138"/>
      <c r="L8" s="138"/>
      <c r="M8" s="138"/>
      <c r="N8" s="138"/>
      <c r="O8" s="138"/>
      <c r="P8" s="138"/>
      <c r="Q8" s="138"/>
      <c r="R8" s="138"/>
      <c r="S8" s="138"/>
      <c r="T8" s="138"/>
      <c r="U8" s="138"/>
    </row>
    <row r="9" spans="1:29" s="17" customFormat="1" ht="18.75" x14ac:dyDescent="0.2">
      <c r="A9" s="423" t="str">
        <f>'1. паспорт местоположение'!A9:C9</f>
        <v xml:space="preserve">Акционерное общество "Западная энергетическая компания" </v>
      </c>
      <c r="B9" s="423"/>
      <c r="C9" s="423"/>
      <c r="D9" s="140"/>
      <c r="E9" s="140"/>
      <c r="F9" s="140"/>
      <c r="G9" s="140"/>
      <c r="H9" s="138"/>
      <c r="I9" s="138"/>
      <c r="J9" s="138"/>
      <c r="K9" s="138"/>
      <c r="L9" s="138"/>
      <c r="M9" s="138"/>
      <c r="N9" s="138"/>
      <c r="O9" s="138"/>
      <c r="P9" s="138"/>
      <c r="Q9" s="138"/>
      <c r="R9" s="138"/>
      <c r="S9" s="138"/>
      <c r="T9" s="138"/>
      <c r="U9" s="138"/>
    </row>
    <row r="10" spans="1:29" s="17" customFormat="1" ht="18.75" x14ac:dyDescent="0.2">
      <c r="A10" s="429" t="s">
        <v>6</v>
      </c>
      <c r="B10" s="429"/>
      <c r="C10" s="429"/>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5"/>
      <c r="B11" s="425"/>
      <c r="C11" s="425"/>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3" t="str">
        <f>'1. паспорт местоположение'!A12:C12</f>
        <v>L_21-07</v>
      </c>
      <c r="B12" s="423"/>
      <c r="C12" s="423"/>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9" t="s">
        <v>5</v>
      </c>
      <c r="B13" s="429"/>
      <c r="C13" s="429"/>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31"/>
      <c r="B14" s="431"/>
      <c r="C14" s="431"/>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8" t="str">
        <f>'1. паспорт местоположение'!A15:C15</f>
        <v>Строительство сетей электроснабжения квартала жилых домов в г Пионерском, ул Октябрьская , 13</v>
      </c>
      <c r="B15" s="458"/>
      <c r="C15" s="458"/>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9" t="s">
        <v>4</v>
      </c>
      <c r="B16" s="429"/>
      <c r="C16" s="429"/>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32"/>
      <c r="B17" s="432"/>
      <c r="C17" s="432"/>
      <c r="D17" s="142"/>
      <c r="E17" s="142"/>
      <c r="F17" s="142"/>
      <c r="G17" s="142"/>
      <c r="H17" s="142"/>
      <c r="I17" s="142"/>
      <c r="J17" s="142"/>
      <c r="K17" s="142"/>
      <c r="L17" s="142"/>
      <c r="M17" s="142"/>
      <c r="N17" s="142"/>
      <c r="O17" s="142"/>
      <c r="P17" s="142"/>
      <c r="Q17" s="142"/>
      <c r="R17" s="142"/>
    </row>
    <row r="18" spans="1:21" s="137" customFormat="1" ht="27.75" customHeight="1" x14ac:dyDescent="0.2">
      <c r="A18" s="433" t="s">
        <v>381</v>
      </c>
      <c r="B18" s="433"/>
      <c r="C18" s="433"/>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648</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655</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656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637</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38"/>
      <c r="AB6" s="13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38"/>
      <c r="AB7" s="138"/>
    </row>
    <row r="8" spans="1:28" ht="15.75"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0"/>
      <c r="AB8" s="140"/>
    </row>
    <row r="9" spans="1:28" ht="15.75"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41"/>
      <c r="AB9" s="141"/>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38"/>
      <c r="AB10" s="138"/>
    </row>
    <row r="11" spans="1:28" ht="15.75" x14ac:dyDescent="0.25">
      <c r="A11" s="430" t="str">
        <f>'1. паспорт местоположение'!A12:C12</f>
        <v>L_21-07</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40"/>
      <c r="AB11" s="140"/>
    </row>
    <row r="12" spans="1:28" ht="15.75"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41"/>
      <c r="AB12" s="141"/>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60"/>
      <c r="AB13" s="160"/>
    </row>
    <row r="14" spans="1:28" ht="15.75" x14ac:dyDescent="0.25">
      <c r="A14" s="423" t="str">
        <f>'1. паспорт местоположение'!A15:C15</f>
        <v>Строительство сетей электроснабжения квартала жилых домов в г Пионерском, ул Октябрьская , 13</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0"/>
      <c r="AB14" s="140"/>
    </row>
    <row r="15" spans="1:28" ht="15.75"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41"/>
      <c r="AB15" s="141"/>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61"/>
      <c r="AB16" s="161"/>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61"/>
      <c r="AB17" s="161"/>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61"/>
      <c r="AB18" s="161"/>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61"/>
      <c r="AB19" s="161"/>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2"/>
      <c r="AB20" s="162"/>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2"/>
      <c r="AB21" s="162"/>
    </row>
    <row r="22" spans="1:28" x14ac:dyDescent="0.25">
      <c r="A22" s="460" t="s">
        <v>412</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3"/>
      <c r="AB22" s="163"/>
    </row>
    <row r="23" spans="1:28" ht="32.25" customHeight="1" x14ac:dyDescent="0.25">
      <c r="A23" s="462" t="s">
        <v>295</v>
      </c>
      <c r="B23" s="463"/>
      <c r="C23" s="463"/>
      <c r="D23" s="463"/>
      <c r="E23" s="463"/>
      <c r="F23" s="463"/>
      <c r="G23" s="463"/>
      <c r="H23" s="463"/>
      <c r="I23" s="463"/>
      <c r="J23" s="463"/>
      <c r="K23" s="463"/>
      <c r="L23" s="464"/>
      <c r="M23" s="461" t="s">
        <v>296</v>
      </c>
      <c r="N23" s="461"/>
      <c r="O23" s="461"/>
      <c r="P23" s="461"/>
      <c r="Q23" s="461"/>
      <c r="R23" s="461"/>
      <c r="S23" s="461"/>
      <c r="T23" s="461"/>
      <c r="U23" s="461"/>
      <c r="V23" s="461"/>
      <c r="W23" s="461"/>
      <c r="X23" s="461"/>
      <c r="Y23" s="461"/>
      <c r="Z23" s="461"/>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5" t="s">
        <v>7</v>
      </c>
      <c r="B7" s="425"/>
      <c r="C7" s="425"/>
      <c r="D7" s="425"/>
      <c r="E7" s="425"/>
      <c r="F7" s="425"/>
      <c r="G7" s="425"/>
      <c r="H7" s="425"/>
      <c r="I7" s="425"/>
      <c r="J7" s="425"/>
      <c r="K7" s="425"/>
      <c r="L7" s="425"/>
      <c r="M7" s="425"/>
      <c r="N7" s="425"/>
      <c r="O7" s="425"/>
      <c r="P7" s="138"/>
      <c r="Q7" s="138"/>
      <c r="R7" s="138"/>
      <c r="S7" s="138"/>
      <c r="T7" s="138"/>
      <c r="U7" s="138"/>
      <c r="V7" s="138"/>
      <c r="W7" s="138"/>
      <c r="X7" s="138"/>
      <c r="Y7" s="138"/>
      <c r="Z7" s="138"/>
    </row>
    <row r="8" spans="1:28" s="17" customFormat="1" ht="18.75" x14ac:dyDescent="0.2">
      <c r="A8" s="425"/>
      <c r="B8" s="425"/>
      <c r="C8" s="425"/>
      <c r="D8" s="425"/>
      <c r="E8" s="425"/>
      <c r="F8" s="425"/>
      <c r="G8" s="425"/>
      <c r="H8" s="425"/>
      <c r="I8" s="425"/>
      <c r="J8" s="425"/>
      <c r="K8" s="425"/>
      <c r="L8" s="425"/>
      <c r="M8" s="425"/>
      <c r="N8" s="425"/>
      <c r="O8" s="425"/>
      <c r="P8" s="138"/>
      <c r="Q8" s="138"/>
      <c r="R8" s="138"/>
      <c r="S8" s="138"/>
      <c r="T8" s="138"/>
      <c r="U8" s="138"/>
      <c r="V8" s="138"/>
      <c r="W8" s="138"/>
      <c r="X8" s="138"/>
      <c r="Y8" s="138"/>
      <c r="Z8" s="138"/>
    </row>
    <row r="9" spans="1:28" s="17" customFormat="1" ht="18.75" x14ac:dyDescent="0.2">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138"/>
      <c r="Q9" s="138"/>
      <c r="R9" s="138"/>
      <c r="S9" s="138"/>
      <c r="T9" s="138"/>
      <c r="U9" s="138"/>
      <c r="V9" s="138"/>
      <c r="W9" s="138"/>
      <c r="X9" s="138"/>
      <c r="Y9" s="138"/>
      <c r="Z9" s="138"/>
    </row>
    <row r="10" spans="1:28" s="17" customFormat="1" ht="18.75" x14ac:dyDescent="0.2">
      <c r="A10" s="429" t="s">
        <v>6</v>
      </c>
      <c r="B10" s="429"/>
      <c r="C10" s="429"/>
      <c r="D10" s="429"/>
      <c r="E10" s="429"/>
      <c r="F10" s="429"/>
      <c r="G10" s="429"/>
      <c r="H10" s="429"/>
      <c r="I10" s="429"/>
      <c r="J10" s="429"/>
      <c r="K10" s="429"/>
      <c r="L10" s="429"/>
      <c r="M10" s="429"/>
      <c r="N10" s="429"/>
      <c r="O10" s="429"/>
      <c r="P10" s="138"/>
      <c r="Q10" s="138"/>
      <c r="R10" s="138"/>
      <c r="S10" s="138"/>
      <c r="T10" s="138"/>
      <c r="U10" s="138"/>
      <c r="V10" s="138"/>
      <c r="W10" s="138"/>
      <c r="X10" s="138"/>
      <c r="Y10" s="138"/>
      <c r="Z10" s="138"/>
    </row>
    <row r="11" spans="1:28" s="17" customFormat="1" ht="18.75" x14ac:dyDescent="0.2">
      <c r="A11" s="425"/>
      <c r="B11" s="425"/>
      <c r="C11" s="425"/>
      <c r="D11" s="425"/>
      <c r="E11" s="425"/>
      <c r="F11" s="425"/>
      <c r="G11" s="425"/>
      <c r="H11" s="425"/>
      <c r="I11" s="425"/>
      <c r="J11" s="425"/>
      <c r="K11" s="425"/>
      <c r="L11" s="425"/>
      <c r="M11" s="425"/>
      <c r="N11" s="425"/>
      <c r="O11" s="425"/>
      <c r="P11" s="138"/>
      <c r="Q11" s="138"/>
      <c r="R11" s="138"/>
      <c r="S11" s="138"/>
      <c r="T11" s="138"/>
      <c r="U11" s="138"/>
      <c r="V11" s="138"/>
      <c r="W11" s="138"/>
      <c r="X11" s="138"/>
      <c r="Y11" s="138"/>
      <c r="Z11" s="138"/>
    </row>
    <row r="12" spans="1:28" s="17" customFormat="1" ht="18.75" x14ac:dyDescent="0.2">
      <c r="A12" s="430" t="str">
        <f>'1. паспорт местоположение'!A12:C12</f>
        <v>L_21-07</v>
      </c>
      <c r="B12" s="430"/>
      <c r="C12" s="430"/>
      <c r="D12" s="430"/>
      <c r="E12" s="430"/>
      <c r="F12" s="430"/>
      <c r="G12" s="430"/>
      <c r="H12" s="430"/>
      <c r="I12" s="430"/>
      <c r="J12" s="430"/>
      <c r="K12" s="430"/>
      <c r="L12" s="430"/>
      <c r="M12" s="430"/>
      <c r="N12" s="430"/>
      <c r="O12" s="430"/>
      <c r="P12" s="138"/>
      <c r="Q12" s="138"/>
      <c r="R12" s="138"/>
      <c r="S12" s="138"/>
      <c r="T12" s="138"/>
      <c r="U12" s="138"/>
      <c r="V12" s="138"/>
      <c r="W12" s="138"/>
      <c r="X12" s="138"/>
      <c r="Y12" s="138"/>
      <c r="Z12" s="138"/>
    </row>
    <row r="13" spans="1:28" s="17" customFormat="1" ht="18.75" x14ac:dyDescent="0.2">
      <c r="A13" s="429" t="s">
        <v>5</v>
      </c>
      <c r="B13" s="429"/>
      <c r="C13" s="429"/>
      <c r="D13" s="429"/>
      <c r="E13" s="429"/>
      <c r="F13" s="429"/>
      <c r="G13" s="429"/>
      <c r="H13" s="429"/>
      <c r="I13" s="429"/>
      <c r="J13" s="429"/>
      <c r="K13" s="429"/>
      <c r="L13" s="429"/>
      <c r="M13" s="429"/>
      <c r="N13" s="429"/>
      <c r="O13" s="429"/>
      <c r="P13" s="138"/>
      <c r="Q13" s="138"/>
      <c r="R13" s="138"/>
      <c r="S13" s="138"/>
      <c r="T13" s="138"/>
      <c r="U13" s="138"/>
      <c r="V13" s="138"/>
      <c r="W13" s="138"/>
      <c r="X13" s="138"/>
      <c r="Y13" s="138"/>
      <c r="Z13" s="138"/>
    </row>
    <row r="14" spans="1:28" s="136" customFormat="1" ht="15.75" customHeight="1" x14ac:dyDescent="0.2">
      <c r="A14" s="431"/>
      <c r="B14" s="431"/>
      <c r="C14" s="431"/>
      <c r="D14" s="431"/>
      <c r="E14" s="431"/>
      <c r="F14" s="431"/>
      <c r="G14" s="431"/>
      <c r="H14" s="431"/>
      <c r="I14" s="431"/>
      <c r="J14" s="431"/>
      <c r="K14" s="431"/>
      <c r="L14" s="431"/>
      <c r="M14" s="431"/>
      <c r="N14" s="431"/>
      <c r="O14" s="431"/>
      <c r="P14" s="139"/>
      <c r="Q14" s="139"/>
      <c r="R14" s="139"/>
      <c r="S14" s="139"/>
      <c r="T14" s="139"/>
      <c r="U14" s="139"/>
      <c r="V14" s="139"/>
      <c r="W14" s="139"/>
      <c r="X14" s="139"/>
      <c r="Y14" s="139"/>
      <c r="Z14" s="139"/>
    </row>
    <row r="15" spans="1:28" s="137" customFormat="1" ht="15.75" x14ac:dyDescent="0.2">
      <c r="A15" s="423" t="str">
        <f>'1. паспорт местоположение'!A15:C15</f>
        <v>Строительство сетей электроснабжения квартала жилых домов в г Пионерском, ул Октябрьская , 13</v>
      </c>
      <c r="B15" s="423"/>
      <c r="C15" s="423"/>
      <c r="D15" s="423"/>
      <c r="E15" s="423"/>
      <c r="F15" s="423"/>
      <c r="G15" s="423"/>
      <c r="H15" s="423"/>
      <c r="I15" s="423"/>
      <c r="J15" s="423"/>
      <c r="K15" s="423"/>
      <c r="L15" s="423"/>
      <c r="M15" s="423"/>
      <c r="N15" s="423"/>
      <c r="O15" s="423"/>
      <c r="P15" s="140"/>
      <c r="Q15" s="140"/>
      <c r="R15" s="140"/>
      <c r="S15" s="140"/>
      <c r="T15" s="140"/>
      <c r="U15" s="140"/>
      <c r="V15" s="140"/>
      <c r="W15" s="140"/>
      <c r="X15" s="140"/>
      <c r="Y15" s="140"/>
      <c r="Z15" s="140"/>
    </row>
    <row r="16" spans="1:28" s="137" customFormat="1" ht="15" customHeight="1" x14ac:dyDescent="0.2">
      <c r="A16" s="429" t="s">
        <v>4</v>
      </c>
      <c r="B16" s="429"/>
      <c r="C16" s="429"/>
      <c r="D16" s="429"/>
      <c r="E16" s="429"/>
      <c r="F16" s="429"/>
      <c r="G16" s="429"/>
      <c r="H16" s="429"/>
      <c r="I16" s="429"/>
      <c r="J16" s="429"/>
      <c r="K16" s="429"/>
      <c r="L16" s="429"/>
      <c r="M16" s="429"/>
      <c r="N16" s="429"/>
      <c r="O16" s="429"/>
      <c r="P16" s="141"/>
      <c r="Q16" s="141"/>
      <c r="R16" s="141"/>
      <c r="S16" s="141"/>
      <c r="T16" s="141"/>
      <c r="U16" s="141"/>
      <c r="V16" s="141"/>
      <c r="W16" s="141"/>
      <c r="X16" s="141"/>
      <c r="Y16" s="141"/>
      <c r="Z16" s="141"/>
    </row>
    <row r="17" spans="1:26" s="137" customFormat="1" ht="15" customHeight="1" x14ac:dyDescent="0.2">
      <c r="A17" s="432"/>
      <c r="B17" s="432"/>
      <c r="C17" s="432"/>
      <c r="D17" s="432"/>
      <c r="E17" s="432"/>
      <c r="F17" s="432"/>
      <c r="G17" s="432"/>
      <c r="H17" s="432"/>
      <c r="I17" s="432"/>
      <c r="J17" s="432"/>
      <c r="K17" s="432"/>
      <c r="L17" s="432"/>
      <c r="M17" s="432"/>
      <c r="N17" s="432"/>
      <c r="O17" s="432"/>
      <c r="P17" s="142"/>
      <c r="Q17" s="142"/>
      <c r="R17" s="142"/>
      <c r="S17" s="142"/>
      <c r="T17" s="142"/>
      <c r="U17" s="142"/>
      <c r="V17" s="142"/>
      <c r="W17" s="142"/>
    </row>
    <row r="18" spans="1:26" s="137" customFormat="1" ht="91.5" customHeight="1" x14ac:dyDescent="0.2">
      <c r="A18" s="470" t="s">
        <v>390</v>
      </c>
      <c r="B18" s="470"/>
      <c r="C18" s="470"/>
      <c r="D18" s="470"/>
      <c r="E18" s="470"/>
      <c r="F18" s="470"/>
      <c r="G18" s="470"/>
      <c r="H18" s="470"/>
      <c r="I18" s="470"/>
      <c r="J18" s="470"/>
      <c r="K18" s="470"/>
      <c r="L18" s="470"/>
      <c r="M18" s="470"/>
      <c r="N18" s="470"/>
      <c r="O18" s="470"/>
      <c r="P18" s="143"/>
      <c r="Q18" s="143"/>
      <c r="R18" s="143"/>
      <c r="S18" s="143"/>
      <c r="T18" s="143"/>
      <c r="U18" s="143"/>
      <c r="V18" s="143"/>
      <c r="W18" s="143"/>
      <c r="X18" s="143"/>
      <c r="Y18" s="143"/>
      <c r="Z18" s="143"/>
    </row>
    <row r="19" spans="1:26" s="137" customFormat="1" ht="78" customHeight="1" x14ac:dyDescent="0.2">
      <c r="A19" s="466" t="s">
        <v>3</v>
      </c>
      <c r="B19" s="466" t="s">
        <v>82</v>
      </c>
      <c r="C19" s="466" t="s">
        <v>81</v>
      </c>
      <c r="D19" s="466" t="s">
        <v>73</v>
      </c>
      <c r="E19" s="467" t="s">
        <v>80</v>
      </c>
      <c r="F19" s="468"/>
      <c r="G19" s="468"/>
      <c r="H19" s="468"/>
      <c r="I19" s="469"/>
      <c r="J19" s="466" t="s">
        <v>79</v>
      </c>
      <c r="K19" s="466"/>
      <c r="L19" s="466"/>
      <c r="M19" s="466"/>
      <c r="N19" s="466"/>
      <c r="O19" s="466"/>
      <c r="P19" s="142"/>
      <c r="Q19" s="142"/>
      <c r="R19" s="142"/>
      <c r="S19" s="142"/>
      <c r="T19" s="142"/>
      <c r="U19" s="142"/>
      <c r="V19" s="142"/>
      <c r="W19" s="142"/>
    </row>
    <row r="20" spans="1:26" s="137" customFormat="1" ht="51" customHeight="1" x14ac:dyDescent="0.2">
      <c r="A20" s="466"/>
      <c r="B20" s="466"/>
      <c r="C20" s="466"/>
      <c r="D20" s="466"/>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626</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3" zoomScale="90" zoomScaleNormal="90" workbookViewId="0">
      <selection activeCell="F209" sqref="F209"/>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6" t="str">
        <f>'1. паспорт местоположение'!A5:C5</f>
        <v>Год раскрытия информации: 2022 год</v>
      </c>
      <c r="B5" s="486"/>
      <c r="C5" s="486"/>
      <c r="D5" s="486"/>
      <c r="E5" s="486"/>
      <c r="F5" s="486"/>
      <c r="G5" s="486"/>
      <c r="H5" s="486"/>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7" t="s">
        <v>7</v>
      </c>
      <c r="B7" s="487"/>
      <c r="C7" s="487"/>
      <c r="D7" s="487"/>
      <c r="E7" s="487"/>
      <c r="F7" s="487"/>
      <c r="G7" s="487"/>
      <c r="H7" s="48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8" t="str">
        <f>'1. паспорт местоположение'!A9:C10</f>
        <v xml:space="preserve">Акционерное общество "Западная энергетическая компания" </v>
      </c>
      <c r="B9" s="488"/>
      <c r="C9" s="488"/>
      <c r="D9" s="488"/>
      <c r="E9" s="488"/>
      <c r="F9" s="488"/>
      <c r="G9" s="488"/>
      <c r="H9" s="488"/>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9" t="s">
        <v>6</v>
      </c>
      <c r="B10" s="489"/>
      <c r="C10" s="489"/>
      <c r="D10" s="489"/>
      <c r="E10" s="489"/>
      <c r="F10" s="489"/>
      <c r="G10" s="489"/>
      <c r="H10" s="489"/>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8" t="str">
        <f>'1. паспорт местоположение'!A12:C12</f>
        <v>L_21-07</v>
      </c>
      <c r="B12" s="488"/>
      <c r="C12" s="488"/>
      <c r="D12" s="488"/>
      <c r="E12" s="488"/>
      <c r="F12" s="488"/>
      <c r="G12" s="488"/>
      <c r="H12" s="488"/>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9" t="s">
        <v>5</v>
      </c>
      <c r="B13" s="489"/>
      <c r="C13" s="489"/>
      <c r="D13" s="489"/>
      <c r="E13" s="489"/>
      <c r="F13" s="489"/>
      <c r="G13" s="489"/>
      <c r="H13" s="489"/>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90" t="str">
        <f>'1. паспорт местоположение'!A15:C15</f>
        <v>Строительство сетей электроснабжения квартала жилых домов в г Пионерском, ул Октябрьская , 13</v>
      </c>
      <c r="B15" s="490"/>
      <c r="C15" s="490"/>
      <c r="D15" s="490"/>
      <c r="E15" s="490"/>
      <c r="F15" s="490"/>
      <c r="G15" s="490"/>
      <c r="H15" s="49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9" t="s">
        <v>4</v>
      </c>
      <c r="B16" s="489"/>
      <c r="C16" s="489"/>
      <c r="D16" s="489"/>
      <c r="E16" s="489"/>
      <c r="F16" s="489"/>
      <c r="G16" s="489"/>
      <c r="H16" s="489"/>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8" t="s">
        <v>391</v>
      </c>
      <c r="B18" s="488"/>
      <c r="C18" s="488"/>
      <c r="D18" s="488"/>
      <c r="E18" s="488"/>
      <c r="F18" s="488"/>
      <c r="G18" s="488"/>
      <c r="H18" s="488"/>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6224595.833333334</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3" t="s">
        <v>285</v>
      </c>
      <c r="E28" s="474"/>
      <c r="F28" s="475"/>
      <c r="G28" s="484">
        <f ca="1">IF(SUM(B89:L89)=0,"не окупается",SUM(B89:L89))</f>
        <v>6.7690686896417569</v>
      </c>
      <c r="H28" s="485"/>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6224.5958333333338</v>
      </c>
      <c r="C29" s="238"/>
      <c r="D29" s="473" t="s">
        <v>283</v>
      </c>
      <c r="E29" s="474"/>
      <c r="F29" s="475"/>
      <c r="G29" s="484">
        <f ca="1">IF(SUM(B90:L90)=0,"не окупается",SUM(B90:L90))</f>
        <v>7.9667678058425357</v>
      </c>
      <c r="H29" s="485"/>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3" t="s">
        <v>546</v>
      </c>
      <c r="E30" s="474"/>
      <c r="F30" s="475"/>
      <c r="G30" s="476">
        <f ca="1">L87</f>
        <v>2363773.0114256172</v>
      </c>
      <c r="H30" s="477"/>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8"/>
      <c r="E31" s="479"/>
      <c r="F31" s="480"/>
      <c r="G31" s="478"/>
      <c r="H31" s="480"/>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122047.59468610831</v>
      </c>
      <c r="E50" s="290">
        <f t="shared" ref="E50:M50" si="3">I108*(1+E49)</f>
        <v>212676.3388075504</v>
      </c>
      <c r="F50" s="290">
        <f t="shared" si="3"/>
        <v>334008.1900972579</v>
      </c>
      <c r="G50" s="290">
        <f t="shared" si="3"/>
        <v>466275.43337577197</v>
      </c>
      <c r="H50" s="290">
        <f t="shared" si="3"/>
        <v>610237.97343054158</v>
      </c>
      <c r="I50" s="290">
        <f t="shared" si="3"/>
        <v>894486.82145448774</v>
      </c>
      <c r="J50" s="290">
        <f t="shared" si="3"/>
        <v>936527.70206284861</v>
      </c>
      <c r="K50" s="290">
        <f t="shared" si="3"/>
        <v>980544.50405980239</v>
      </c>
      <c r="L50" s="290">
        <f t="shared" si="3"/>
        <v>1026630.095750613</v>
      </c>
      <c r="M50" s="290">
        <f t="shared" si="3"/>
        <v>1074881.7102508917</v>
      </c>
      <c r="N50" s="290">
        <f t="shared" ref="N50:AP50" si="4">N108*(1+N49)</f>
        <v>1125401.1506326837</v>
      </c>
      <c r="O50" s="290">
        <f t="shared" si="4"/>
        <v>1178295.0047124196</v>
      </c>
      <c r="P50" s="290">
        <f t="shared" si="4"/>
        <v>1233674.8699339032</v>
      </c>
      <c r="Q50" s="290">
        <f t="shared" si="4"/>
        <v>1291657.5888207967</v>
      </c>
      <c r="R50" s="290">
        <f t="shared" si="4"/>
        <v>1352365.4954953741</v>
      </c>
      <c r="S50" s="290">
        <f t="shared" si="4"/>
        <v>1415926.6737836564</v>
      </c>
      <c r="T50" s="290">
        <f t="shared" si="4"/>
        <v>1482475.2274514884</v>
      </c>
      <c r="U50" s="290">
        <f t="shared" si="4"/>
        <v>1552151.563141708</v>
      </c>
      <c r="V50" s="290">
        <f t="shared" si="4"/>
        <v>1625102.6866093681</v>
      </c>
      <c r="W50" s="290">
        <f t="shared" si="4"/>
        <v>1701482.5128800084</v>
      </c>
      <c r="X50" s="290">
        <f t="shared" si="4"/>
        <v>1781452.1909853688</v>
      </c>
      <c r="Y50" s="290">
        <f t="shared" si="4"/>
        <v>1865180.4439616809</v>
      </c>
      <c r="Z50" s="290">
        <f t="shared" si="4"/>
        <v>1952843.92482788</v>
      </c>
      <c r="AA50" s="290">
        <f t="shared" si="4"/>
        <v>2044627.5892947901</v>
      </c>
      <c r="AB50" s="290">
        <f t="shared" si="4"/>
        <v>2140725.0859916448</v>
      </c>
      <c r="AC50" s="290">
        <f t="shared" si="4"/>
        <v>2241339.165033252</v>
      </c>
      <c r="AD50" s="290">
        <f t="shared" si="4"/>
        <v>2346682.1057898141</v>
      </c>
      <c r="AE50" s="290">
        <f t="shared" si="4"/>
        <v>2456976.1647619354</v>
      </c>
      <c r="AF50" s="290">
        <f t="shared" si="4"/>
        <v>2572454.0445057461</v>
      </c>
      <c r="AG50" s="290">
        <f t="shared" si="4"/>
        <v>2693359.3845975162</v>
      </c>
      <c r="AH50" s="290">
        <f t="shared" si="4"/>
        <v>2819947.2756735994</v>
      </c>
      <c r="AI50" s="290">
        <f t="shared" si="4"/>
        <v>2952484.7976302584</v>
      </c>
      <c r="AJ50" s="290">
        <f t="shared" si="4"/>
        <v>3091251.5831188806</v>
      </c>
      <c r="AK50" s="290">
        <f t="shared" si="4"/>
        <v>3236540.4075254677</v>
      </c>
      <c r="AL50" s="290">
        <f t="shared" si="4"/>
        <v>3388657.8066791645</v>
      </c>
      <c r="AM50" s="290">
        <f t="shared" si="4"/>
        <v>3547924.7235930846</v>
      </c>
      <c r="AN50" s="290">
        <f t="shared" si="4"/>
        <v>3714677.1856019595</v>
      </c>
      <c r="AO50" s="290">
        <f t="shared" si="4"/>
        <v>3889267.0133252512</v>
      </c>
      <c r="AP50" s="290">
        <f t="shared" si="4"/>
        <v>4072062.5629515378</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122047.59468610831</v>
      </c>
      <c r="E59" s="301">
        <f t="shared" si="10"/>
        <v>212676.3388075504</v>
      </c>
      <c r="F59" s="301">
        <f t="shared" si="10"/>
        <v>334008.1900972579</v>
      </c>
      <c r="G59" s="301">
        <f>G50*$B$28</f>
        <v>466275.43337577197</v>
      </c>
      <c r="H59" s="301">
        <f t="shared" si="10"/>
        <v>610237.97343054158</v>
      </c>
      <c r="I59" s="301">
        <f t="shared" si="10"/>
        <v>894486.82145448774</v>
      </c>
      <c r="J59" s="301">
        <f t="shared" si="10"/>
        <v>936527.70206284861</v>
      </c>
      <c r="K59" s="301">
        <f t="shared" si="10"/>
        <v>980544.50405980239</v>
      </c>
      <c r="L59" s="301">
        <f t="shared" si="10"/>
        <v>1026630.095750613</v>
      </c>
      <c r="M59" s="301">
        <f t="shared" si="10"/>
        <v>1074881.7102508917</v>
      </c>
      <c r="N59" s="301">
        <f t="shared" si="10"/>
        <v>1125401.1506326837</v>
      </c>
      <c r="O59" s="301">
        <f t="shared" si="10"/>
        <v>1178295.0047124196</v>
      </c>
      <c r="P59" s="301">
        <f t="shared" si="10"/>
        <v>1233674.8699339032</v>
      </c>
      <c r="Q59" s="301">
        <f t="shared" si="10"/>
        <v>1291657.5888207967</v>
      </c>
      <c r="R59" s="301">
        <f t="shared" si="10"/>
        <v>1352365.4954953741</v>
      </c>
      <c r="S59" s="301">
        <f t="shared" si="10"/>
        <v>1415926.6737836564</v>
      </c>
      <c r="T59" s="301">
        <f t="shared" si="10"/>
        <v>1482475.2274514884</v>
      </c>
      <c r="U59" s="301">
        <f t="shared" si="10"/>
        <v>1552151.563141708</v>
      </c>
      <c r="V59" s="301">
        <f t="shared" si="10"/>
        <v>1625102.6866093681</v>
      </c>
      <c r="W59" s="301">
        <f t="shared" si="10"/>
        <v>1701482.5128800084</v>
      </c>
      <c r="X59" s="301">
        <f t="shared" si="10"/>
        <v>1781452.1909853688</v>
      </c>
      <c r="Y59" s="301">
        <f t="shared" si="10"/>
        <v>1865180.4439616809</v>
      </c>
      <c r="Z59" s="301">
        <f t="shared" si="10"/>
        <v>1952843.92482788</v>
      </c>
      <c r="AA59" s="301">
        <f t="shared" si="10"/>
        <v>2044627.5892947901</v>
      </c>
      <c r="AB59" s="301">
        <f t="shared" si="10"/>
        <v>2140725.0859916448</v>
      </c>
      <c r="AC59" s="301">
        <f t="shared" si="10"/>
        <v>2241339.165033252</v>
      </c>
      <c r="AD59" s="301">
        <f t="shared" si="10"/>
        <v>2346682.1057898141</v>
      </c>
      <c r="AE59" s="301">
        <f t="shared" si="10"/>
        <v>2456976.1647619354</v>
      </c>
      <c r="AF59" s="301">
        <f t="shared" si="10"/>
        <v>2572454.0445057461</v>
      </c>
      <c r="AG59" s="301">
        <f t="shared" si="10"/>
        <v>2693359.3845975162</v>
      </c>
      <c r="AH59" s="301">
        <f t="shared" si="10"/>
        <v>2819947.2756735994</v>
      </c>
      <c r="AI59" s="301">
        <f t="shared" si="10"/>
        <v>2952484.7976302584</v>
      </c>
      <c r="AJ59" s="301">
        <f t="shared" si="10"/>
        <v>3091251.5831188806</v>
      </c>
      <c r="AK59" s="301">
        <f t="shared" si="10"/>
        <v>3236540.4075254677</v>
      </c>
      <c r="AL59" s="301">
        <f t="shared" si="10"/>
        <v>3388657.8066791645</v>
      </c>
      <c r="AM59" s="301">
        <f t="shared" si="10"/>
        <v>3547924.7235930846</v>
      </c>
      <c r="AN59" s="301">
        <f t="shared" si="10"/>
        <v>3714677.1856019595</v>
      </c>
      <c r="AO59" s="301">
        <f t="shared" si="10"/>
        <v>3889267.0133252512</v>
      </c>
      <c r="AP59" s="301">
        <f t="shared" si="10"/>
        <v>4072062.5629515378</v>
      </c>
    </row>
    <row r="60" spans="1:45" x14ac:dyDescent="0.2">
      <c r="A60" s="293" t="s">
        <v>261</v>
      </c>
      <c r="B60" s="294">
        <f t="shared" ref="B60:AP60" si="11">SUM(B61:B65)</f>
        <v>0</v>
      </c>
      <c r="C60" s="294">
        <f t="shared" si="11"/>
        <v>-132376.40472222221</v>
      </c>
      <c r="D60" s="294">
        <f>SUM(D61:D65)</f>
        <v>-127811.70111111111</v>
      </c>
      <c r="E60" s="294">
        <f>SUM(E61:E65)</f>
        <v>-131980.18442438132</v>
      </c>
      <c r="F60" s="294">
        <f t="shared" si="11"/>
        <v>-127825.94059871613</v>
      </c>
      <c r="G60" s="294">
        <f t="shared" si="11"/>
        <v>-123690.9883829669</v>
      </c>
      <c r="H60" s="294">
        <f t="shared" si="11"/>
        <v>-119576.23448279966</v>
      </c>
      <c r="I60" s="294">
        <f t="shared" si="11"/>
        <v>-115482.6282190468</v>
      </c>
      <c r="J60" s="294">
        <f t="shared" si="11"/>
        <v>-111411.16353061977</v>
      </c>
      <c r="K60" s="294">
        <f t="shared" si="11"/>
        <v>-107362.88107155891</v>
      </c>
      <c r="L60" s="294">
        <f t="shared" si="11"/>
        <v>-103338.87040664439</v>
      </c>
      <c r="M60" s="294">
        <f t="shared" si="11"/>
        <v>-99340.272310201122</v>
      </c>
      <c r="N60" s="294">
        <f t="shared" si="11"/>
        <v>-95368.281172947231</v>
      </c>
      <c r="O60" s="294">
        <f t="shared" si="11"/>
        <v>-91424.147521964638</v>
      </c>
      <c r="P60" s="294">
        <f t="shared" si="11"/>
        <v>-87509.180659108082</v>
      </c>
      <c r="Q60" s="294">
        <f t="shared" si="11"/>
        <v>-83624.751423419497</v>
      </c>
      <c r="R60" s="294">
        <f t="shared" si="11"/>
        <v>-79772.295083375764</v>
      </c>
      <c r="S60" s="294">
        <f t="shared" si="11"/>
        <v>-75953.314365072205</v>
      </c>
      <c r="T60" s="294">
        <f t="shared" si="11"/>
        <v>-72169.382622730598</v>
      </c>
      <c r="U60" s="294">
        <f t="shared" si="11"/>
        <v>-68422.147158221152</v>
      </c>
      <c r="V60" s="294">
        <f t="shared" si="11"/>
        <v>-64713.332696601996</v>
      </c>
      <c r="W60" s="294">
        <f t="shared" si="11"/>
        <v>-61044.745025008953</v>
      </c>
      <c r="X60" s="294">
        <f t="shared" si="11"/>
        <v>-57418.274802573273</v>
      </c>
      <c r="Y60" s="294">
        <f t="shared" si="11"/>
        <v>-53835.901549405324</v>
      </c>
      <c r="Z60" s="294">
        <f t="shared" si="11"/>
        <v>-50299.697823060713</v>
      </c>
      <c r="AA60" s="294">
        <f t="shared" si="11"/>
        <v>-46811.833591300121</v>
      </c>
      <c r="AB60" s="294">
        <f t="shared" si="11"/>
        <v>-43374.580810369007</v>
      </c>
      <c r="AC60" s="294">
        <f t="shared" si="11"/>
        <v>-39990.318218456348</v>
      </c>
      <c r="AD60" s="294">
        <f t="shared" si="11"/>
        <v>-36661.53635444602</v>
      </c>
      <c r="AE60" s="294">
        <f t="shared" si="11"/>
        <v>-33390.842812549425</v>
      </c>
      <c r="AF60" s="294">
        <f t="shared" si="11"/>
        <v>-30180.96774390592</v>
      </c>
      <c r="AG60" s="294">
        <f t="shared" si="11"/>
        <v>-31599.47322786957</v>
      </c>
      <c r="AH60" s="294">
        <f t="shared" si="11"/>
        <v>-33084.648469579435</v>
      </c>
      <c r="AI60" s="294">
        <f t="shared" si="11"/>
        <v>-34639.626947649675</v>
      </c>
      <c r="AJ60" s="294">
        <f t="shared" si="11"/>
        <v>-36267.689414189204</v>
      </c>
      <c r="AK60" s="294">
        <f t="shared" si="11"/>
        <v>-37972.270816656091</v>
      </c>
      <c r="AL60" s="294">
        <f t="shared" si="11"/>
        <v>-39756.967545038926</v>
      </c>
      <c r="AM60" s="294">
        <f t="shared" si="11"/>
        <v>-41625.54501965575</v>
      </c>
      <c r="AN60" s="294">
        <f t="shared" si="11"/>
        <v>-43581.94563557957</v>
      </c>
      <c r="AO60" s="294">
        <f t="shared" si="11"/>
        <v>-45630.297080451805</v>
      </c>
      <c r="AP60" s="294">
        <f t="shared" si="11"/>
        <v>-47774.921043233036</v>
      </c>
    </row>
    <row r="61" spans="1:45" x14ac:dyDescent="0.2">
      <c r="A61" s="302" t="s">
        <v>260</v>
      </c>
      <c r="B61" s="294"/>
      <c r="C61" s="294">
        <f>-IF(C$47&lt;=$B$30,0,$B$29*(1+C$49)*$B$28)</f>
        <v>0</v>
      </c>
      <c r="D61" s="294">
        <f>-IF(D$47&lt;=$B$30,0,$B$29*(1+D$49)*$B$28)</f>
        <v>0</v>
      </c>
      <c r="E61" s="294">
        <f>-IF(E$47&lt;=$B$30,0,$B$29*(1+E$49)*$B$28)</f>
        <v>-8733.1869243813289</v>
      </c>
      <c r="F61" s="294">
        <f t="shared" ref="F61:AP61" si="12">-IF(F$47&lt;=$B$30,0,$B$29*(1+F$49)*$B$28)</f>
        <v>-9143.6467098272515</v>
      </c>
      <c r="G61" s="294">
        <f t="shared" si="12"/>
        <v>-9573.3981051891315</v>
      </c>
      <c r="H61" s="294">
        <f t="shared" si="12"/>
        <v>-10023.34781613302</v>
      </c>
      <c r="I61" s="294">
        <f t="shared" si="12"/>
        <v>-10494.445163491271</v>
      </c>
      <c r="J61" s="294">
        <f t="shared" si="12"/>
        <v>-10987.684086175361</v>
      </c>
      <c r="K61" s="294">
        <f t="shared" si="12"/>
        <v>-11504.105238225602</v>
      </c>
      <c r="L61" s="294">
        <f t="shared" si="12"/>
        <v>-12044.798184422205</v>
      </c>
      <c r="M61" s="294">
        <f t="shared" si="12"/>
        <v>-12610.903699090048</v>
      </c>
      <c r="N61" s="294">
        <f t="shared" si="12"/>
        <v>-13203.616172947279</v>
      </c>
      <c r="O61" s="294">
        <f t="shared" si="12"/>
        <v>-13824.186133075798</v>
      </c>
      <c r="P61" s="294">
        <f t="shared" si="12"/>
        <v>-14473.922881330362</v>
      </c>
      <c r="Q61" s="294">
        <f t="shared" si="12"/>
        <v>-15154.197256752886</v>
      </c>
      <c r="R61" s="294">
        <f t="shared" si="12"/>
        <v>-15866.444527820271</v>
      </c>
      <c r="S61" s="294">
        <f t="shared" si="12"/>
        <v>-16612.167420627822</v>
      </c>
      <c r="T61" s="294">
        <f t="shared" si="12"/>
        <v>-17392.939289397331</v>
      </c>
      <c r="U61" s="294">
        <f t="shared" si="12"/>
        <v>-18210.407435999005</v>
      </c>
      <c r="V61" s="294">
        <f t="shared" si="12"/>
        <v>-19066.296585490953</v>
      </c>
      <c r="W61" s="294">
        <f t="shared" si="12"/>
        <v>-19962.412525009029</v>
      </c>
      <c r="X61" s="294">
        <f t="shared" si="12"/>
        <v>-20900.645913684453</v>
      </c>
      <c r="Y61" s="294">
        <f t="shared" si="12"/>
        <v>-21882.97627162762</v>
      </c>
      <c r="Z61" s="294">
        <f t="shared" si="12"/>
        <v>-22911.476156394117</v>
      </c>
      <c r="AA61" s="294">
        <f t="shared" si="12"/>
        <v>-23988.315535744638</v>
      </c>
      <c r="AB61" s="294">
        <f t="shared" si="12"/>
        <v>-25115.766365924632</v>
      </c>
      <c r="AC61" s="294">
        <f t="shared" si="12"/>
        <v>-26296.207385123085</v>
      </c>
      <c r="AD61" s="294">
        <f t="shared" si="12"/>
        <v>-27532.129132223865</v>
      </c>
      <c r="AE61" s="294">
        <f t="shared" si="12"/>
        <v>-28826.139201438385</v>
      </c>
      <c r="AF61" s="294">
        <f t="shared" si="12"/>
        <v>-30180.967743905989</v>
      </c>
      <c r="AG61" s="294">
        <f t="shared" si="12"/>
        <v>-31599.47322786957</v>
      </c>
      <c r="AH61" s="294">
        <f t="shared" si="12"/>
        <v>-33084.648469579435</v>
      </c>
      <c r="AI61" s="294">
        <f t="shared" si="12"/>
        <v>-34639.626947649675</v>
      </c>
      <c r="AJ61" s="294">
        <f t="shared" si="12"/>
        <v>-36267.689414189204</v>
      </c>
      <c r="AK61" s="294">
        <f t="shared" si="12"/>
        <v>-37972.270816656091</v>
      </c>
      <c r="AL61" s="294">
        <f t="shared" si="12"/>
        <v>-39756.967545038926</v>
      </c>
      <c r="AM61" s="294">
        <f t="shared" si="12"/>
        <v>-41625.54501965575</v>
      </c>
      <c r="AN61" s="294">
        <f t="shared" si="12"/>
        <v>-43581.94563557957</v>
      </c>
      <c r="AO61" s="294">
        <f t="shared" si="12"/>
        <v>-45630.297080451805</v>
      </c>
      <c r="AP61" s="294">
        <f t="shared" si="12"/>
        <v>-47774.921043233036</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-132376.40472222221</v>
      </c>
      <c r="D65" s="408">
        <f>-($B$25+D67+C67)*0.022</f>
        <v>-127811.70111111111</v>
      </c>
      <c r="E65" s="409">
        <f>-($B$25+E67+C67+D67)*0.022</f>
        <v>-123246.9975</v>
      </c>
      <c r="F65" s="409">
        <f>-($B$25+F67+D67+E67+C67)*0.022</f>
        <v>-118682.29388888887</v>
      </c>
      <c r="G65" s="409">
        <f>-($B$25+G67+E67+F67+D67+C67)*0.022</f>
        <v>-114117.59027777777</v>
      </c>
      <c r="H65" s="409">
        <f>-($B$25+H67+F67+G67+E67+C67+D67)*0.022</f>
        <v>-109552.88666666664</v>
      </c>
      <c r="I65" s="409">
        <f>-($B$25+C67+I67+G67+H67+F67+D67+E67)*0.022</f>
        <v>-104988.18305555554</v>
      </c>
      <c r="J65" s="409">
        <f>-($B$25+D67+J67+H67+I67+G67+E67+F67+C67)*0.022</f>
        <v>-100423.47944444441</v>
      </c>
      <c r="K65" s="409">
        <f>-($B$25+E67+K67+I67+J67+H67+F67+G67+C67+D67)*0.022</f>
        <v>-95858.775833333304</v>
      </c>
      <c r="L65" s="409">
        <f>-($B$25+F67+L67+J67+K67+I67+G67+H67+E67+D67+C67)*0.022</f>
        <v>-91294.072222222181</v>
      </c>
      <c r="M65" s="409">
        <f>-($B$25+G67+M67+K67+L67+J67+H67+I67+F67+E67+C67+D67)*0.022</f>
        <v>-86729.368611111073</v>
      </c>
      <c r="N65" s="409">
        <f>-($B$25+H67+N67+L67+M67+K67+I67+J67+G67+F67+E67+C67+D67)*0.022</f>
        <v>-82164.66499999995</v>
      </c>
      <c r="O65" s="409">
        <f>-($B$25+I67+O67+M67+N67+L67+J67+K67+H67+G67+F67+D67+C67+E67)*0.022</f>
        <v>-77599.961388888842</v>
      </c>
      <c r="P65" s="409">
        <f>-($B$25+J67+P67+N67+O67+M67+K67+L67+I67+H67+G67+E67+F67+C67+D67)*0.022</f>
        <v>-73035.257777777719</v>
      </c>
      <c r="Q65" s="409">
        <f>-($B$25+K67+Q67+O67+P67+N67+L67+M67+J67+I67+H67+F67+G67+D67+C67+E67)*0.022</f>
        <v>-68470.55416666661</v>
      </c>
      <c r="R65" s="409">
        <f>-($B$25+L67+R67+P67+Q67+O67+M67+N67+K67+J67+I67+G67+H67+E67+D67+C67+F67)*0.022</f>
        <v>-63905.850555555495</v>
      </c>
      <c r="S65" s="409">
        <f>-($B$25+M67+S67+Q67+R67+P67+N67+O67+L67+K67+J67+H67+I67+F67+E67+D67+C67+G67)*0.022</f>
        <v>-59341.146944444379</v>
      </c>
      <c r="T65" s="409">
        <f>-($B$25+N67+T67+R67+S67+Q67+O67+P67+M67+L67+K67+I67+J67+G67+F67+E67+D67+C67+H67)*0.022</f>
        <v>-54776.443333333264</v>
      </c>
      <c r="U65" s="409">
        <f>-($B$25+O67+U67+S67+T67+R67+P67+Q67+N67+M67+L67+J67+K67+H67+G67+F67+E67+C67+D67++I67)*0.022</f>
        <v>-50211.739722222148</v>
      </c>
      <c r="V65" s="409">
        <f>-($B$25+P67+V67+T67+U67+S67+Q67+R67+O67+N67+M67+K67+L67+I67+H67+G67+F67+D67+E67+C67+J67)*0.022</f>
        <v>-45647.03611111104</v>
      </c>
      <c r="W65" s="409">
        <f>-($B$25+Q67+W67+U67+V67+T67+R67+S67+P67+O67+N67+L67+M67+J67+I67+H67+G67+E67+F67+D67+C67+K67)*0.022</f>
        <v>-41082.332499999924</v>
      </c>
      <c r="X65" s="409">
        <f>-($B$25+R67+X67+V67+W67+U67+S67+T67+Q67+P67+O67+M67+N67+K67+J67+I67+H67+F67+G67+E67+D67+C67+L67)*0.022</f>
        <v>-36517.628888888816</v>
      </c>
      <c r="Y65" s="409">
        <f>-($B$25+S67+Y67+W67+X67+V67+T67+U67+R67+Q67+P67+N67+O67+L67+K67+J67+I67+G67+H67+F67+E67+D67+C67+M67)*0.022</f>
        <v>-31952.925277777704</v>
      </c>
      <c r="Z65" s="409">
        <f>-($B$25+T67+Z67+X67+Y67+W67+U67+V67+S67+R67+Q67+O67+P67+M67+L67+K67+J67+H67+I67+G67+F67+E67+D67+C67+N67)*0.022</f>
        <v>-27388.221666666595</v>
      </c>
      <c r="AA65" s="409">
        <f>-($B$25+U67+AA67+Y67+Z67+X67+V67+W67+T67+S67+R67+P67+Q67+N67+M67+L67+K67+I67+J67+H67+G67+F67+E67+D67+C67+O67)*0.022</f>
        <v>-22823.518055555483</v>
      </c>
      <c r="AB65" s="409">
        <f>-($B$25+V67+AB67+Z67+AA67+Y67+W67+X67+U67+T67+S67+Q67+R67+O67+N67+M67+L67+J67+K67+I67+H67+G67+F67+E67+D67+C67+P67)*0.022</f>
        <v>-18258.814444444375</v>
      </c>
      <c r="AC65" s="409">
        <f>-($B$25+W67+AC67+AA67+AB67+Z67+X67+Y67+V67+U67+T67+R67+S67+P67+O67+N67+M67+K67+L67+J67+I67+H67+G67+F67+E67+D67+C67+Q67)*0.022</f>
        <v>-13694.110833333265</v>
      </c>
      <c r="AD65" s="409">
        <f>-($B$25+X67+AD67+AB67+AC67+AA67+Y67+Z67+W67+V67+U67+S67+T67+Q67+P67+O67+N67+L67+M67+K67+J67+I67+H67+G67+F67+E67+D67+C67+R67)*0.022</f>
        <v>-9129.407222222153</v>
      </c>
      <c r="AE65" s="409">
        <f>-($B$25+Y67+AE67+AC67+AD67+AB67+Z67+AA67+X67+W67+V67+T67+U67+R67+Q67+P67+O67+M67+N67+L67+K67+J67+I67+H67+G67+F67+E67+D67+C67+S67)*0.022</f>
        <v>-4564.703611111041</v>
      </c>
      <c r="AF65" s="409">
        <f>-($B$25+Z67+AF67+AD67+AE67+AC67+AA67+AB67+Y67+X67+W67+U67+V67+S67+R67+Q67+P67+N67+O67+M67+L67+K67+J67+I67+H67+G67+F67+E67+D67+C67+T67)*0.022</f>
        <v>7.0431269705295561E-11</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-132376.40472222221</v>
      </c>
      <c r="D66" s="301">
        <f t="shared" si="13"/>
        <v>-5764.1064250027994</v>
      </c>
      <c r="E66" s="301">
        <f t="shared" si="13"/>
        <v>80696.15438316908</v>
      </c>
      <c r="F66" s="301">
        <f t="shared" si="13"/>
        <v>206182.24949854176</v>
      </c>
      <c r="G66" s="301">
        <f t="shared" si="13"/>
        <v>342584.44499280507</v>
      </c>
      <c r="H66" s="301">
        <f t="shared" si="13"/>
        <v>490661.73894774192</v>
      </c>
      <c r="I66" s="301">
        <f t="shared" si="13"/>
        <v>779004.19323544088</v>
      </c>
      <c r="J66" s="301">
        <f t="shared" si="13"/>
        <v>825116.53853222879</v>
      </c>
      <c r="K66" s="301">
        <f t="shared" si="13"/>
        <v>873181.62298824347</v>
      </c>
      <c r="L66" s="301">
        <f t="shared" si="13"/>
        <v>923291.2253439686</v>
      </c>
      <c r="M66" s="301">
        <f t="shared" si="13"/>
        <v>975541.43794069067</v>
      </c>
      <c r="N66" s="301">
        <f t="shared" si="13"/>
        <v>1030032.8694597364</v>
      </c>
      <c r="O66" s="301">
        <f t="shared" si="13"/>
        <v>1086870.8571904548</v>
      </c>
      <c r="P66" s="301">
        <f t="shared" si="13"/>
        <v>1146165.6892747951</v>
      </c>
      <c r="Q66" s="301">
        <f t="shared" si="13"/>
        <v>1208032.8373973772</v>
      </c>
      <c r="R66" s="301">
        <f t="shared" si="13"/>
        <v>1272593.2004119982</v>
      </c>
      <c r="S66" s="301">
        <f t="shared" si="13"/>
        <v>1339973.3594185843</v>
      </c>
      <c r="T66" s="301">
        <f t="shared" si="13"/>
        <v>1410305.8448287577</v>
      </c>
      <c r="U66" s="301">
        <f t="shared" si="13"/>
        <v>1483729.4159834869</v>
      </c>
      <c r="V66" s="301">
        <f t="shared" si="13"/>
        <v>1560389.3539127661</v>
      </c>
      <c r="W66" s="301">
        <f t="shared" si="13"/>
        <v>1640437.7678549995</v>
      </c>
      <c r="X66" s="301">
        <f t="shared" si="13"/>
        <v>1724033.9161827955</v>
      </c>
      <c r="Y66" s="301">
        <f t="shared" si="13"/>
        <v>1811344.5424122754</v>
      </c>
      <c r="Z66" s="301">
        <f t="shared" si="13"/>
        <v>1902544.2270048193</v>
      </c>
      <c r="AA66" s="301">
        <f t="shared" si="13"/>
        <v>1997815.75570349</v>
      </c>
      <c r="AB66" s="301">
        <f t="shared" si="13"/>
        <v>2097350.5051812758</v>
      </c>
      <c r="AC66" s="301">
        <f t="shared" si="13"/>
        <v>2201348.8468147954</v>
      </c>
      <c r="AD66" s="301">
        <f t="shared" si="13"/>
        <v>2310020.5694353683</v>
      </c>
      <c r="AE66" s="301">
        <f t="shared" si="13"/>
        <v>2423585.321949386</v>
      </c>
      <c r="AF66" s="301">
        <f t="shared" si="13"/>
        <v>2542273.0767618404</v>
      </c>
      <c r="AG66" s="301">
        <f t="shared" si="13"/>
        <v>2661759.9113696464</v>
      </c>
      <c r="AH66" s="301">
        <f t="shared" si="13"/>
        <v>2786862.62720402</v>
      </c>
      <c r="AI66" s="301">
        <f t="shared" si="13"/>
        <v>2917845.1706826086</v>
      </c>
      <c r="AJ66" s="301">
        <f t="shared" si="13"/>
        <v>3054983.8937046914</v>
      </c>
      <c r="AK66" s="301">
        <f t="shared" si="13"/>
        <v>3198568.1367088114</v>
      </c>
      <c r="AL66" s="301">
        <f t="shared" si="13"/>
        <v>3348900.8391341255</v>
      </c>
      <c r="AM66" s="301">
        <f t="shared" si="13"/>
        <v>3506299.1785734287</v>
      </c>
      <c r="AN66" s="301">
        <f t="shared" si="13"/>
        <v>3671095.2399663799</v>
      </c>
      <c r="AO66" s="301">
        <f t="shared" si="13"/>
        <v>3843636.7162447996</v>
      </c>
      <c r="AP66" s="301">
        <f>AP59+AP60</f>
        <v>4024287.6419083048</v>
      </c>
    </row>
    <row r="67" spans="1:45" x14ac:dyDescent="0.2">
      <c r="A67" s="302" t="s">
        <v>255</v>
      </c>
      <c r="B67" s="304"/>
      <c r="C67" s="393">
        <f>-($B$25)*$B$28/$B$27</f>
        <v>-207486.52777777781</v>
      </c>
      <c r="D67" s="393">
        <f>C67</f>
        <v>-207486.52777777781</v>
      </c>
      <c r="E67" s="393">
        <f t="shared" ref="E67:L67" si="14">D67</f>
        <v>-207486.52777777781</v>
      </c>
      <c r="F67" s="393">
        <f t="shared" si="14"/>
        <v>-207486.52777777781</v>
      </c>
      <c r="G67" s="393">
        <f t="shared" si="14"/>
        <v>-207486.52777777781</v>
      </c>
      <c r="H67" s="393">
        <f t="shared" si="14"/>
        <v>-207486.52777777781</v>
      </c>
      <c r="I67" s="393">
        <f t="shared" si="14"/>
        <v>-207486.52777777781</v>
      </c>
      <c r="J67" s="393">
        <f t="shared" si="14"/>
        <v>-207486.52777777781</v>
      </c>
      <c r="K67" s="393">
        <f t="shared" si="14"/>
        <v>-207486.52777777781</v>
      </c>
      <c r="L67" s="393">
        <f t="shared" si="14"/>
        <v>-207486.52777777781</v>
      </c>
      <c r="M67" s="294">
        <f t="shared" ref="M67:AP67" si="15">L67</f>
        <v>-207486.52777777781</v>
      </c>
      <c r="N67" s="294">
        <f t="shared" si="15"/>
        <v>-207486.52777777781</v>
      </c>
      <c r="O67" s="294">
        <f t="shared" si="15"/>
        <v>-207486.52777777781</v>
      </c>
      <c r="P67" s="294">
        <f t="shared" si="15"/>
        <v>-207486.52777777781</v>
      </c>
      <c r="Q67" s="294">
        <f t="shared" si="15"/>
        <v>-207486.52777777781</v>
      </c>
      <c r="R67" s="294">
        <f t="shared" si="15"/>
        <v>-207486.52777777781</v>
      </c>
      <c r="S67" s="294">
        <f t="shared" si="15"/>
        <v>-207486.52777777781</v>
      </c>
      <c r="T67" s="294">
        <f t="shared" si="15"/>
        <v>-207486.52777777781</v>
      </c>
      <c r="U67" s="294">
        <f t="shared" si="15"/>
        <v>-207486.52777777781</v>
      </c>
      <c r="V67" s="294">
        <f t="shared" si="15"/>
        <v>-207486.52777777781</v>
      </c>
      <c r="W67" s="294">
        <f t="shared" si="15"/>
        <v>-207486.52777777781</v>
      </c>
      <c r="X67" s="294">
        <f t="shared" si="15"/>
        <v>-207486.52777777781</v>
      </c>
      <c r="Y67" s="294">
        <f t="shared" si="15"/>
        <v>-207486.52777777781</v>
      </c>
      <c r="Z67" s="294">
        <f t="shared" si="15"/>
        <v>-207486.52777777781</v>
      </c>
      <c r="AA67" s="294">
        <f t="shared" si="15"/>
        <v>-207486.52777777781</v>
      </c>
      <c r="AB67" s="294">
        <f t="shared" si="15"/>
        <v>-207486.52777777781</v>
      </c>
      <c r="AC67" s="294">
        <f t="shared" si="15"/>
        <v>-207486.52777777781</v>
      </c>
      <c r="AD67" s="294">
        <f t="shared" si="15"/>
        <v>-207486.52777777781</v>
      </c>
      <c r="AE67" s="294">
        <f t="shared" si="15"/>
        <v>-207486.52777777781</v>
      </c>
      <c r="AF67" s="294">
        <f t="shared" si="15"/>
        <v>-207486.52777777781</v>
      </c>
      <c r="AG67" s="294">
        <f t="shared" si="15"/>
        <v>-207486.52777777781</v>
      </c>
      <c r="AH67" s="294">
        <f t="shared" si="15"/>
        <v>-207486.52777777781</v>
      </c>
      <c r="AI67" s="294">
        <f t="shared" si="15"/>
        <v>-207486.52777777781</v>
      </c>
      <c r="AJ67" s="294">
        <f t="shared" si="15"/>
        <v>-207486.52777777781</v>
      </c>
      <c r="AK67" s="294">
        <f t="shared" si="15"/>
        <v>-207486.52777777781</v>
      </c>
      <c r="AL67" s="294">
        <f t="shared" si="15"/>
        <v>-207486.52777777781</v>
      </c>
      <c r="AM67" s="294">
        <f t="shared" si="15"/>
        <v>-207486.52777777781</v>
      </c>
      <c r="AN67" s="294">
        <f t="shared" si="15"/>
        <v>-207486.52777777781</v>
      </c>
      <c r="AO67" s="294">
        <f t="shared" si="15"/>
        <v>-207486.52777777781</v>
      </c>
      <c r="AP67" s="294">
        <f t="shared" si="15"/>
        <v>-207486.52777777781</v>
      </c>
      <c r="AQ67" s="305"/>
      <c r="AR67" s="306"/>
      <c r="AS67" s="306"/>
    </row>
    <row r="68" spans="1:45" ht="28.5" x14ac:dyDescent="0.2">
      <c r="A68" s="303" t="s">
        <v>550</v>
      </c>
      <c r="B68" s="301">
        <f t="shared" ref="B68:J68" si="16">B66+B67</f>
        <v>8233098</v>
      </c>
      <c r="C68" s="301">
        <f>C66+C67</f>
        <v>-339862.9325</v>
      </c>
      <c r="D68" s="301">
        <f>D66+D67</f>
        <v>-213250.63420278061</v>
      </c>
      <c r="E68" s="301">
        <f t="shared" si="16"/>
        <v>-126790.37339460873</v>
      </c>
      <c r="F68" s="301">
        <f>F66+C67</f>
        <v>-1304.2782792360522</v>
      </c>
      <c r="G68" s="301">
        <f t="shared" si="16"/>
        <v>135097.91721502726</v>
      </c>
      <c r="H68" s="301">
        <f t="shared" si="16"/>
        <v>283175.21116996411</v>
      </c>
      <c r="I68" s="301">
        <f t="shared" si="16"/>
        <v>571517.66545766313</v>
      </c>
      <c r="J68" s="301">
        <f t="shared" si="16"/>
        <v>617630.01075445092</v>
      </c>
      <c r="K68" s="301">
        <f>K66+K67</f>
        <v>665695.0952104656</v>
      </c>
      <c r="L68" s="301">
        <f>L66+L67</f>
        <v>715804.69756619073</v>
      </c>
      <c r="M68" s="301">
        <f t="shared" ref="M68:AO68" si="17">M66+M67</f>
        <v>768054.91016291291</v>
      </c>
      <c r="N68" s="301">
        <f t="shared" si="17"/>
        <v>822546.34168195864</v>
      </c>
      <c r="O68" s="301">
        <f t="shared" si="17"/>
        <v>879384.32941267709</v>
      </c>
      <c r="P68" s="301">
        <f t="shared" si="17"/>
        <v>938679.16149701737</v>
      </c>
      <c r="Q68" s="301">
        <f t="shared" si="17"/>
        <v>1000546.3096195995</v>
      </c>
      <c r="R68" s="301">
        <f t="shared" si="17"/>
        <v>1065106.6726342204</v>
      </c>
      <c r="S68" s="301">
        <f t="shared" si="17"/>
        <v>1132486.8316408065</v>
      </c>
      <c r="T68" s="301">
        <f t="shared" si="17"/>
        <v>1202819.3170509799</v>
      </c>
      <c r="U68" s="301">
        <f t="shared" si="17"/>
        <v>1276242.8882057092</v>
      </c>
      <c r="V68" s="301">
        <f t="shared" si="17"/>
        <v>1352902.8261349883</v>
      </c>
      <c r="W68" s="301">
        <f t="shared" si="17"/>
        <v>1432951.2400772218</v>
      </c>
      <c r="X68" s="301">
        <f t="shared" si="17"/>
        <v>1516547.3884050178</v>
      </c>
      <c r="Y68" s="301">
        <f t="shared" si="17"/>
        <v>1603858.0146344977</v>
      </c>
      <c r="Z68" s="301">
        <f t="shared" si="17"/>
        <v>1695057.6992270416</v>
      </c>
      <c r="AA68" s="301">
        <f t="shared" si="17"/>
        <v>1790329.2279257122</v>
      </c>
      <c r="AB68" s="301">
        <f t="shared" si="17"/>
        <v>1889863.977403498</v>
      </c>
      <c r="AC68" s="301">
        <f t="shared" si="17"/>
        <v>1993862.3190370176</v>
      </c>
      <c r="AD68" s="301">
        <f t="shared" si="17"/>
        <v>2102534.0416575903</v>
      </c>
      <c r="AE68" s="301">
        <f t="shared" si="17"/>
        <v>2216098.7941716081</v>
      </c>
      <c r="AF68" s="301">
        <f t="shared" si="17"/>
        <v>2334786.5489840624</v>
      </c>
      <c r="AG68" s="301">
        <f t="shared" si="17"/>
        <v>2454273.3835918684</v>
      </c>
      <c r="AH68" s="301">
        <f t="shared" si="17"/>
        <v>2579376.0994262421</v>
      </c>
      <c r="AI68" s="301">
        <f t="shared" si="17"/>
        <v>2710358.6429048306</v>
      </c>
      <c r="AJ68" s="301">
        <f t="shared" si="17"/>
        <v>2847497.3659269135</v>
      </c>
      <c r="AK68" s="301">
        <f t="shared" si="17"/>
        <v>2991081.6089310334</v>
      </c>
      <c r="AL68" s="301">
        <f t="shared" si="17"/>
        <v>3141414.3113563475</v>
      </c>
      <c r="AM68" s="301">
        <f t="shared" si="17"/>
        <v>3298812.6507956507</v>
      </c>
      <c r="AN68" s="301">
        <f t="shared" si="17"/>
        <v>3463608.712188602</v>
      </c>
      <c r="AO68" s="301">
        <f t="shared" si="17"/>
        <v>3636150.1884670216</v>
      </c>
      <c r="AP68" s="301">
        <f>AP66+AP67</f>
        <v>3816801.1141305268</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-339862.9325</v>
      </c>
      <c r="D70" s="301">
        <f t="shared" si="19"/>
        <v>-213250.63420278061</v>
      </c>
      <c r="E70" s="301">
        <f t="shared" si="19"/>
        <v>-126790.37339460873</v>
      </c>
      <c r="F70" s="301">
        <f t="shared" si="19"/>
        <v>-1304.2782792360522</v>
      </c>
      <c r="G70" s="301">
        <f t="shared" si="19"/>
        <v>135097.91721502726</v>
      </c>
      <c r="H70" s="301">
        <f t="shared" si="19"/>
        <v>283175.21116996411</v>
      </c>
      <c r="I70" s="301">
        <f t="shared" si="19"/>
        <v>571517.66545766313</v>
      </c>
      <c r="J70" s="301">
        <f t="shared" si="19"/>
        <v>617630.01075445092</v>
      </c>
      <c r="K70" s="301">
        <f t="shared" si="19"/>
        <v>665695.0952104656</v>
      </c>
      <c r="L70" s="301">
        <f t="shared" si="19"/>
        <v>715804.69756619073</v>
      </c>
      <c r="M70" s="301">
        <f t="shared" si="19"/>
        <v>768054.91016291291</v>
      </c>
      <c r="N70" s="301">
        <f t="shared" si="19"/>
        <v>822546.34168195864</v>
      </c>
      <c r="O70" s="301">
        <f t="shared" si="19"/>
        <v>879384.32941267709</v>
      </c>
      <c r="P70" s="301">
        <f t="shared" si="19"/>
        <v>938679.16149701737</v>
      </c>
      <c r="Q70" s="301">
        <f t="shared" si="19"/>
        <v>1000546.3096195995</v>
      </c>
      <c r="R70" s="301">
        <f t="shared" si="19"/>
        <v>1065106.6726342204</v>
      </c>
      <c r="S70" s="301">
        <f t="shared" si="19"/>
        <v>1132486.8316408065</v>
      </c>
      <c r="T70" s="301">
        <f t="shared" si="19"/>
        <v>1202819.3170509799</v>
      </c>
      <c r="U70" s="301">
        <f t="shared" si="19"/>
        <v>1276242.8882057092</v>
      </c>
      <c r="V70" s="301">
        <f t="shared" si="19"/>
        <v>1352902.8261349883</v>
      </c>
      <c r="W70" s="301">
        <f t="shared" si="19"/>
        <v>1432951.2400772218</v>
      </c>
      <c r="X70" s="301">
        <f t="shared" si="19"/>
        <v>1516547.3884050178</v>
      </c>
      <c r="Y70" s="301">
        <f t="shared" si="19"/>
        <v>1603858.0146344977</v>
      </c>
      <c r="Z70" s="301">
        <f t="shared" si="19"/>
        <v>1695057.6992270416</v>
      </c>
      <c r="AA70" s="301">
        <f t="shared" si="19"/>
        <v>1790329.2279257122</v>
      </c>
      <c r="AB70" s="301">
        <f t="shared" si="19"/>
        <v>1889863.977403498</v>
      </c>
      <c r="AC70" s="301">
        <f t="shared" si="19"/>
        <v>1993862.3190370176</v>
      </c>
      <c r="AD70" s="301">
        <f t="shared" si="19"/>
        <v>2102534.0416575903</v>
      </c>
      <c r="AE70" s="301">
        <f t="shared" si="19"/>
        <v>2216098.7941716081</v>
      </c>
      <c r="AF70" s="301">
        <f t="shared" si="19"/>
        <v>2334786.5489840624</v>
      </c>
      <c r="AG70" s="301">
        <f t="shared" si="19"/>
        <v>2454273.3835918684</v>
      </c>
      <c r="AH70" s="301">
        <f t="shared" si="19"/>
        <v>2579376.0994262421</v>
      </c>
      <c r="AI70" s="301">
        <f t="shared" si="19"/>
        <v>2710358.6429048306</v>
      </c>
      <c r="AJ70" s="301">
        <f t="shared" si="19"/>
        <v>2847497.3659269135</v>
      </c>
      <c r="AK70" s="301">
        <f t="shared" si="19"/>
        <v>2991081.6089310334</v>
      </c>
      <c r="AL70" s="301">
        <f t="shared" si="19"/>
        <v>3141414.3113563475</v>
      </c>
      <c r="AM70" s="301">
        <f t="shared" si="19"/>
        <v>3298812.6507956507</v>
      </c>
      <c r="AN70" s="301">
        <f t="shared" si="19"/>
        <v>3463608.712188602</v>
      </c>
      <c r="AO70" s="301">
        <f t="shared" si="19"/>
        <v>3636150.1884670216</v>
      </c>
      <c r="AP70" s="301">
        <f>AP68+AP69</f>
        <v>3816801.1141305268</v>
      </c>
    </row>
    <row r="71" spans="1:45" x14ac:dyDescent="0.2">
      <c r="A71" s="302" t="s">
        <v>253</v>
      </c>
      <c r="B71" s="294">
        <f t="shared" ref="B71:AP71" si="20">-B70*$B$36</f>
        <v>-1646619.6</v>
      </c>
      <c r="C71" s="294">
        <f t="shared" si="20"/>
        <v>67972.586500000005</v>
      </c>
      <c r="D71" s="294">
        <f t="shared" si="20"/>
        <v>42650.126840556128</v>
      </c>
      <c r="E71" s="294">
        <f t="shared" si="20"/>
        <v>25358.074678921748</v>
      </c>
      <c r="F71" s="294">
        <f t="shared" si="20"/>
        <v>260.85565584721047</v>
      </c>
      <c r="G71" s="294">
        <f t="shared" si="20"/>
        <v>-27019.583443005453</v>
      </c>
      <c r="H71" s="294">
        <f t="shared" si="20"/>
        <v>-56635.042233992826</v>
      </c>
      <c r="I71" s="294">
        <f t="shared" si="20"/>
        <v>-114303.53309153263</v>
      </c>
      <c r="J71" s="294">
        <f t="shared" si="20"/>
        <v>-123526.00215089018</v>
      </c>
      <c r="K71" s="294">
        <f t="shared" si="20"/>
        <v>-133139.01904209313</v>
      </c>
      <c r="L71" s="294">
        <f t="shared" si="20"/>
        <v>-143160.93951323815</v>
      </c>
      <c r="M71" s="294">
        <f t="shared" si="20"/>
        <v>-153610.9820325826</v>
      </c>
      <c r="N71" s="294">
        <f t="shared" si="20"/>
        <v>-164509.26833639175</v>
      </c>
      <c r="O71" s="294">
        <f t="shared" si="20"/>
        <v>-175876.86588253544</v>
      </c>
      <c r="P71" s="294">
        <f t="shared" si="20"/>
        <v>-187735.8322994035</v>
      </c>
      <c r="Q71" s="294">
        <f t="shared" si="20"/>
        <v>-200109.2619239199</v>
      </c>
      <c r="R71" s="294">
        <f t="shared" si="20"/>
        <v>-213021.33452684409</v>
      </c>
      <c r="S71" s="294">
        <f t="shared" si="20"/>
        <v>-226497.36632816133</v>
      </c>
      <c r="T71" s="294">
        <f t="shared" si="20"/>
        <v>-240563.86341019601</v>
      </c>
      <c r="U71" s="294">
        <f t="shared" si="20"/>
        <v>-255248.57764114183</v>
      </c>
      <c r="V71" s="294">
        <f t="shared" si="20"/>
        <v>-270580.56522699766</v>
      </c>
      <c r="W71" s="294">
        <f t="shared" si="20"/>
        <v>-286590.24801544438</v>
      </c>
      <c r="X71" s="294">
        <f t="shared" si="20"/>
        <v>-303309.47768100357</v>
      </c>
      <c r="Y71" s="294">
        <f t="shared" si="20"/>
        <v>-320771.60292689956</v>
      </c>
      <c r="Z71" s="294">
        <f t="shared" si="20"/>
        <v>-339011.53984540835</v>
      </c>
      <c r="AA71" s="294">
        <f t="shared" si="20"/>
        <v>-358065.8455851425</v>
      </c>
      <c r="AB71" s="294">
        <f t="shared" si="20"/>
        <v>-377972.79548069963</v>
      </c>
      <c r="AC71" s="294">
        <f t="shared" si="20"/>
        <v>-398772.46380740358</v>
      </c>
      <c r="AD71" s="294">
        <f t="shared" si="20"/>
        <v>-420506.80833151808</v>
      </c>
      <c r="AE71" s="294">
        <f t="shared" si="20"/>
        <v>-443219.75883432163</v>
      </c>
      <c r="AF71" s="294">
        <f t="shared" si="20"/>
        <v>-466957.30979681248</v>
      </c>
      <c r="AG71" s="294">
        <f t="shared" si="20"/>
        <v>-490854.67671837372</v>
      </c>
      <c r="AH71" s="294">
        <f t="shared" si="20"/>
        <v>-515875.21988524846</v>
      </c>
      <c r="AI71" s="294">
        <f t="shared" si="20"/>
        <v>-542071.72858096613</v>
      </c>
      <c r="AJ71" s="294">
        <f t="shared" si="20"/>
        <v>-569499.47318538267</v>
      </c>
      <c r="AK71" s="294">
        <f t="shared" si="20"/>
        <v>-598216.32178620668</v>
      </c>
      <c r="AL71" s="294">
        <f t="shared" si="20"/>
        <v>-628282.86227126955</v>
      </c>
      <c r="AM71" s="294">
        <f t="shared" si="20"/>
        <v>-659762.53015913023</v>
      </c>
      <c r="AN71" s="294">
        <f t="shared" si="20"/>
        <v>-692721.74243772042</v>
      </c>
      <c r="AO71" s="294">
        <f t="shared" si="20"/>
        <v>-727230.03769340436</v>
      </c>
      <c r="AP71" s="294">
        <f t="shared" si="20"/>
        <v>-763360.22282610543</v>
      </c>
    </row>
    <row r="72" spans="1:45" ht="15" thickBot="1" x14ac:dyDescent="0.25">
      <c r="A72" s="307" t="s">
        <v>257</v>
      </c>
      <c r="B72" s="308">
        <f t="shared" ref="B72:AO72" si="21">B70+B71</f>
        <v>6586478.4000000004</v>
      </c>
      <c r="C72" s="308">
        <f t="shared" si="21"/>
        <v>-271890.34600000002</v>
      </c>
      <c r="D72" s="308">
        <f t="shared" si="21"/>
        <v>-170600.50736222448</v>
      </c>
      <c r="E72" s="308">
        <f t="shared" si="21"/>
        <v>-101432.29871568698</v>
      </c>
      <c r="F72" s="308">
        <f t="shared" si="21"/>
        <v>-1043.4226233888417</v>
      </c>
      <c r="G72" s="308">
        <f t="shared" si="21"/>
        <v>108078.33377202181</v>
      </c>
      <c r="H72" s="308">
        <f t="shared" si="21"/>
        <v>226540.16893597128</v>
      </c>
      <c r="I72" s="308">
        <f t="shared" si="21"/>
        <v>457214.13236613048</v>
      </c>
      <c r="J72" s="308">
        <f t="shared" si="21"/>
        <v>494104.00860356074</v>
      </c>
      <c r="K72" s="308">
        <f t="shared" si="21"/>
        <v>532556.07616837253</v>
      </c>
      <c r="L72" s="308">
        <f t="shared" si="21"/>
        <v>572643.75805295259</v>
      </c>
      <c r="M72" s="308">
        <f t="shared" si="21"/>
        <v>614443.92813033029</v>
      </c>
      <c r="N72" s="308">
        <f t="shared" si="21"/>
        <v>658037.07334556687</v>
      </c>
      <c r="O72" s="308">
        <f t="shared" si="21"/>
        <v>703507.46353014163</v>
      </c>
      <c r="P72" s="308">
        <f t="shared" si="21"/>
        <v>750943.32919761387</v>
      </c>
      <c r="Q72" s="308">
        <f t="shared" si="21"/>
        <v>800437.04769567959</v>
      </c>
      <c r="R72" s="308">
        <f t="shared" si="21"/>
        <v>852085.33810737636</v>
      </c>
      <c r="S72" s="308">
        <f t="shared" si="21"/>
        <v>905989.46531264519</v>
      </c>
      <c r="T72" s="308">
        <f t="shared" si="21"/>
        <v>962255.4536407839</v>
      </c>
      <c r="U72" s="308">
        <f t="shared" si="21"/>
        <v>1020994.3105645673</v>
      </c>
      <c r="V72" s="308">
        <f t="shared" si="21"/>
        <v>1082322.2609079906</v>
      </c>
      <c r="W72" s="308">
        <f t="shared" si="21"/>
        <v>1146360.9920617775</v>
      </c>
      <c r="X72" s="308">
        <f t="shared" si="21"/>
        <v>1213237.9107240143</v>
      </c>
      <c r="Y72" s="308">
        <f t="shared" si="21"/>
        <v>1283086.4117075983</v>
      </c>
      <c r="Z72" s="308">
        <f t="shared" si="21"/>
        <v>1356046.1593816332</v>
      </c>
      <c r="AA72" s="308">
        <f t="shared" si="21"/>
        <v>1432263.3823405697</v>
      </c>
      <c r="AB72" s="308">
        <f t="shared" si="21"/>
        <v>1511891.1819227985</v>
      </c>
      <c r="AC72" s="308">
        <f t="shared" si="21"/>
        <v>1595089.8552296141</v>
      </c>
      <c r="AD72" s="308">
        <f t="shared" si="21"/>
        <v>1682027.2333260723</v>
      </c>
      <c r="AE72" s="308">
        <f t="shared" si="21"/>
        <v>1772879.0353372865</v>
      </c>
      <c r="AF72" s="308">
        <f t="shared" si="21"/>
        <v>1867829.2391872499</v>
      </c>
      <c r="AG72" s="308">
        <f t="shared" si="21"/>
        <v>1963418.7068734947</v>
      </c>
      <c r="AH72" s="308">
        <f t="shared" si="21"/>
        <v>2063500.8795409936</v>
      </c>
      <c r="AI72" s="308">
        <f t="shared" si="21"/>
        <v>2168286.9143238645</v>
      </c>
      <c r="AJ72" s="308">
        <f t="shared" si="21"/>
        <v>2277997.8927415307</v>
      </c>
      <c r="AK72" s="308">
        <f t="shared" si="21"/>
        <v>2392865.2871448267</v>
      </c>
      <c r="AL72" s="308">
        <f t="shared" si="21"/>
        <v>2513131.4490850782</v>
      </c>
      <c r="AM72" s="308">
        <f t="shared" si="21"/>
        <v>2639050.1206365204</v>
      </c>
      <c r="AN72" s="308">
        <f t="shared" si="21"/>
        <v>2770886.9697508817</v>
      </c>
      <c r="AO72" s="308">
        <f t="shared" si="21"/>
        <v>2908920.1507736174</v>
      </c>
      <c r="AP72" s="308">
        <f>AP70+AP71</f>
        <v>3053440.8913044212</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-339862.9325</v>
      </c>
      <c r="D75" s="301">
        <f>D68</f>
        <v>-213250.63420278061</v>
      </c>
      <c r="E75" s="301">
        <f t="shared" si="24"/>
        <v>-126790.37339460873</v>
      </c>
      <c r="F75" s="301">
        <f t="shared" si="24"/>
        <v>-1304.2782792360522</v>
      </c>
      <c r="G75" s="301">
        <f t="shared" si="24"/>
        <v>135097.91721502726</v>
      </c>
      <c r="H75" s="301">
        <f t="shared" si="24"/>
        <v>283175.21116996411</v>
      </c>
      <c r="I75" s="301">
        <f t="shared" si="24"/>
        <v>571517.66545766313</v>
      </c>
      <c r="J75" s="301">
        <f t="shared" si="24"/>
        <v>617630.01075445092</v>
      </c>
      <c r="K75" s="301">
        <f t="shared" si="24"/>
        <v>665695.0952104656</v>
      </c>
      <c r="L75" s="301">
        <f t="shared" si="24"/>
        <v>715804.69756619073</v>
      </c>
      <c r="M75" s="301">
        <f t="shared" si="24"/>
        <v>768054.91016291291</v>
      </c>
      <c r="N75" s="301">
        <f t="shared" si="24"/>
        <v>822546.34168195864</v>
      </c>
      <c r="O75" s="301">
        <f t="shared" si="24"/>
        <v>879384.32941267709</v>
      </c>
      <c r="P75" s="301">
        <f t="shared" si="24"/>
        <v>938679.16149701737</v>
      </c>
      <c r="Q75" s="301">
        <f t="shared" si="24"/>
        <v>1000546.3096195995</v>
      </c>
      <c r="R75" s="301">
        <f t="shared" si="24"/>
        <v>1065106.6726342204</v>
      </c>
      <c r="S75" s="301">
        <f t="shared" si="24"/>
        <v>1132486.8316408065</v>
      </c>
      <c r="T75" s="301">
        <f t="shared" si="24"/>
        <v>1202819.3170509799</v>
      </c>
      <c r="U75" s="301">
        <f t="shared" si="24"/>
        <v>1276242.8882057092</v>
      </c>
      <c r="V75" s="301">
        <f t="shared" si="24"/>
        <v>1352902.8261349883</v>
      </c>
      <c r="W75" s="301">
        <f t="shared" si="24"/>
        <v>1432951.2400772218</v>
      </c>
      <c r="X75" s="301">
        <f t="shared" si="24"/>
        <v>1516547.3884050178</v>
      </c>
      <c r="Y75" s="301">
        <f t="shared" si="24"/>
        <v>1603858.0146344977</v>
      </c>
      <c r="Z75" s="301">
        <f t="shared" si="24"/>
        <v>1695057.6992270416</v>
      </c>
      <c r="AA75" s="301">
        <f t="shared" si="24"/>
        <v>1790329.2279257122</v>
      </c>
      <c r="AB75" s="301">
        <f t="shared" si="24"/>
        <v>1889863.977403498</v>
      </c>
      <c r="AC75" s="301">
        <f t="shared" si="24"/>
        <v>1993862.3190370176</v>
      </c>
      <c r="AD75" s="301">
        <f t="shared" si="24"/>
        <v>2102534.0416575903</v>
      </c>
      <c r="AE75" s="301">
        <f t="shared" si="24"/>
        <v>2216098.7941716081</v>
      </c>
      <c r="AF75" s="301">
        <f t="shared" si="24"/>
        <v>2334786.5489840624</v>
      </c>
      <c r="AG75" s="301">
        <f t="shared" si="24"/>
        <v>2454273.3835918684</v>
      </c>
      <c r="AH75" s="301">
        <f t="shared" si="24"/>
        <v>2579376.0994262421</v>
      </c>
      <c r="AI75" s="301">
        <f t="shared" si="24"/>
        <v>2710358.6429048306</v>
      </c>
      <c r="AJ75" s="301">
        <f t="shared" si="24"/>
        <v>2847497.3659269135</v>
      </c>
      <c r="AK75" s="301">
        <f t="shared" si="24"/>
        <v>2991081.6089310334</v>
      </c>
      <c r="AL75" s="301">
        <f t="shared" si="24"/>
        <v>3141414.3113563475</v>
      </c>
      <c r="AM75" s="301">
        <f t="shared" si="24"/>
        <v>3298812.6507956507</v>
      </c>
      <c r="AN75" s="301">
        <f t="shared" si="24"/>
        <v>3463608.712188602</v>
      </c>
      <c r="AO75" s="301">
        <f t="shared" si="24"/>
        <v>3636150.1884670216</v>
      </c>
      <c r="AP75" s="301">
        <f>AP68</f>
        <v>3816801.1141305268</v>
      </c>
    </row>
    <row r="76" spans="1:45" x14ac:dyDescent="0.2">
      <c r="A76" s="302" t="s">
        <v>255</v>
      </c>
      <c r="B76" s="294">
        <f t="shared" ref="B76:AO76" si="25">-B67</f>
        <v>0</v>
      </c>
      <c r="C76" s="294">
        <f>-C67</f>
        <v>207486.52777777781</v>
      </c>
      <c r="D76" s="294">
        <f t="shared" si="25"/>
        <v>207486.52777777781</v>
      </c>
      <c r="E76" s="294">
        <f t="shared" si="25"/>
        <v>207486.52777777781</v>
      </c>
      <c r="F76" s="294">
        <f>-C67</f>
        <v>207486.52777777781</v>
      </c>
      <c r="G76" s="294">
        <f t="shared" si="25"/>
        <v>207486.52777777781</v>
      </c>
      <c r="H76" s="294">
        <f t="shared" si="25"/>
        <v>207486.52777777781</v>
      </c>
      <c r="I76" s="294">
        <f t="shared" si="25"/>
        <v>207486.52777777781</v>
      </c>
      <c r="J76" s="294">
        <f t="shared" si="25"/>
        <v>207486.52777777781</v>
      </c>
      <c r="K76" s="294">
        <f t="shared" si="25"/>
        <v>207486.52777777781</v>
      </c>
      <c r="L76" s="294">
        <f>-L67</f>
        <v>207486.52777777781</v>
      </c>
      <c r="M76" s="294">
        <f>-M67</f>
        <v>207486.52777777781</v>
      </c>
      <c r="N76" s="294">
        <f t="shared" si="25"/>
        <v>207486.52777777781</v>
      </c>
      <c r="O76" s="294">
        <f t="shared" si="25"/>
        <v>207486.52777777781</v>
      </c>
      <c r="P76" s="294">
        <f t="shared" si="25"/>
        <v>207486.52777777781</v>
      </c>
      <c r="Q76" s="294">
        <f t="shared" si="25"/>
        <v>207486.52777777781</v>
      </c>
      <c r="R76" s="294">
        <f t="shared" si="25"/>
        <v>207486.52777777781</v>
      </c>
      <c r="S76" s="294">
        <f t="shared" si="25"/>
        <v>207486.52777777781</v>
      </c>
      <c r="T76" s="294">
        <f t="shared" si="25"/>
        <v>207486.52777777781</v>
      </c>
      <c r="U76" s="294">
        <f t="shared" si="25"/>
        <v>207486.52777777781</v>
      </c>
      <c r="V76" s="294">
        <f t="shared" si="25"/>
        <v>207486.52777777781</v>
      </c>
      <c r="W76" s="294">
        <f t="shared" si="25"/>
        <v>207486.52777777781</v>
      </c>
      <c r="X76" s="294">
        <f t="shared" si="25"/>
        <v>207486.52777777781</v>
      </c>
      <c r="Y76" s="294">
        <f t="shared" si="25"/>
        <v>207486.52777777781</v>
      </c>
      <c r="Z76" s="294">
        <f t="shared" si="25"/>
        <v>207486.52777777781</v>
      </c>
      <c r="AA76" s="294">
        <f t="shared" si="25"/>
        <v>207486.52777777781</v>
      </c>
      <c r="AB76" s="294">
        <f t="shared" si="25"/>
        <v>207486.52777777781</v>
      </c>
      <c r="AC76" s="294">
        <f t="shared" si="25"/>
        <v>207486.52777777781</v>
      </c>
      <c r="AD76" s="294">
        <f t="shared" si="25"/>
        <v>207486.52777777781</v>
      </c>
      <c r="AE76" s="294">
        <f t="shared" si="25"/>
        <v>207486.52777777781</v>
      </c>
      <c r="AF76" s="294">
        <f t="shared" si="25"/>
        <v>207486.52777777781</v>
      </c>
      <c r="AG76" s="294">
        <f t="shared" si="25"/>
        <v>207486.52777777781</v>
      </c>
      <c r="AH76" s="294">
        <f t="shared" si="25"/>
        <v>207486.52777777781</v>
      </c>
      <c r="AI76" s="294">
        <f t="shared" si="25"/>
        <v>207486.52777777781</v>
      </c>
      <c r="AJ76" s="294">
        <f t="shared" si="25"/>
        <v>207486.52777777781</v>
      </c>
      <c r="AK76" s="294">
        <f t="shared" si="25"/>
        <v>207486.52777777781</v>
      </c>
      <c r="AL76" s="294">
        <f t="shared" si="25"/>
        <v>207486.52777777781</v>
      </c>
      <c r="AM76" s="294">
        <f t="shared" si="25"/>
        <v>207486.52777777781</v>
      </c>
      <c r="AN76" s="294">
        <f t="shared" si="25"/>
        <v>207486.52777777781</v>
      </c>
      <c r="AO76" s="294">
        <f t="shared" si="25"/>
        <v>207486.52777777781</v>
      </c>
      <c r="AP76" s="294">
        <f>-AP67</f>
        <v>207486.52777777781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67972.586499999976</v>
      </c>
      <c r="D78" s="294">
        <f>IF(SUM($B$71:D71)+SUM($A$78:C78)&gt;0,0,SUM($B$71:D71)-SUM($A$78:C78))</f>
        <v>42650.12684055604</v>
      </c>
      <c r="E78" s="294">
        <f>IF(SUM($B$71:E71)+SUM($A$78:D78)&gt;0,0,SUM($B$71:E71)-SUM($A$78:D78))</f>
        <v>25358.074678921839</v>
      </c>
      <c r="F78" s="294">
        <f>IF(SUM($B$71:F71)+SUM($A$78:E78)&gt;0,0,SUM($B$71:F71)-SUM($A$78:E78))</f>
        <v>260.8556558471173</v>
      </c>
      <c r="G78" s="294">
        <f>IF(SUM($B$71:G71)+SUM($A$78:F78)&gt;0,0,SUM($B$71:G71)-SUM($A$78:F78))</f>
        <v>-27019.583443005569</v>
      </c>
      <c r="H78" s="294">
        <f>IF(SUM($B$71:H71)+SUM($A$78:G78)&gt;0,0,SUM($B$71:H71)-SUM($A$78:G78))</f>
        <v>-56635.042233992834</v>
      </c>
      <c r="I78" s="294">
        <f>IF(SUM($B$71:I71)+SUM($A$78:H78)&gt;0,0,SUM($B$71:I71)-SUM($A$78:H78))</f>
        <v>-114303.53309153253</v>
      </c>
      <c r="J78" s="294">
        <f>IF(SUM($B$71:J71)+SUM($A$78:I78)&gt;0,0,SUM($B$71:J71)-SUM($A$78:I78))</f>
        <v>-123526.00215089018</v>
      </c>
      <c r="K78" s="294">
        <f>IF(SUM($B$71:K71)+SUM($A$78:J78)&gt;0,0,SUM($B$71:K71)-SUM($A$78:J78))</f>
        <v>-133139.01904209307</v>
      </c>
      <c r="L78" s="294">
        <f>IF(SUM($B$71:L71)+SUM($A$78:K78)&gt;0,0,SUM($B$71:L71)-SUM($A$78:K78))</f>
        <v>-143160.93951323815</v>
      </c>
      <c r="M78" s="294">
        <f>IF(SUM($B$71:M71)+SUM($A$78:L78)&gt;0,0,SUM($B$71:M71)-SUM($A$78:L78))</f>
        <v>-153610.98203258263</v>
      </c>
      <c r="N78" s="294">
        <f>IF(SUM($B$71:N71)+SUM($A$78:M78)&gt;0,0,SUM($B$71:N71)-SUM($A$78:M78))</f>
        <v>-164509.26833639154</v>
      </c>
      <c r="O78" s="294">
        <f>IF(SUM($B$71:O71)+SUM($A$78:N78)&gt;0,0,SUM($B$71:O71)-SUM($A$78:N78))</f>
        <v>-175876.86588253547</v>
      </c>
      <c r="P78" s="294">
        <f>IF(SUM($B$71:P71)+SUM($A$78:O78)&gt;0,0,SUM($B$71:P71)-SUM($A$78:O78))</f>
        <v>-187735.83229940338</v>
      </c>
      <c r="Q78" s="294">
        <f>IF(SUM($B$71:Q71)+SUM($A$78:P78)&gt;0,0,SUM($B$71:Q71)-SUM($A$78:P78))</f>
        <v>-200109.2619239199</v>
      </c>
      <c r="R78" s="294">
        <f>IF(SUM($B$71:R71)+SUM($A$78:Q78)&gt;0,0,SUM($B$71:R71)-SUM($A$78:Q78))</f>
        <v>-213021.33452684386</v>
      </c>
      <c r="S78" s="294">
        <f>IF(SUM($B$71:S71)+SUM($A$78:R78)&gt;0,0,SUM($B$71:S71)-SUM($A$78:R78))</f>
        <v>-226497.36632816121</v>
      </c>
      <c r="T78" s="294">
        <f>IF(SUM($B$71:T71)+SUM($A$78:S78)&gt;0,0,SUM($B$71:T71)-SUM($A$78:S78))</f>
        <v>-240563.8634101958</v>
      </c>
      <c r="U78" s="294">
        <f>IF(SUM($B$71:U71)+SUM($A$78:T78)&gt;0,0,SUM($B$71:U71)-SUM($A$78:T78))</f>
        <v>-255248.57764114207</v>
      </c>
      <c r="V78" s="294">
        <f>IF(SUM($B$71:V71)+SUM($A$78:U78)&gt;0,0,SUM($B$71:V71)-SUM($A$78:U78))</f>
        <v>-270580.56522699725</v>
      </c>
      <c r="W78" s="294">
        <f>IF(SUM($B$71:W71)+SUM($A$78:V78)&gt;0,0,SUM($B$71:W71)-SUM($A$78:V78))</f>
        <v>-286590.24801544473</v>
      </c>
      <c r="X78" s="294">
        <f>IF(SUM($B$71:X71)+SUM($A$78:W78)&gt;0,0,SUM($B$71:X71)-SUM($A$78:W78))</f>
        <v>-303309.47768100351</v>
      </c>
      <c r="Y78" s="294">
        <f>IF(SUM($B$71:Y71)+SUM($A$78:X78)&gt;0,0,SUM($B$71:Y71)-SUM($A$78:X78))</f>
        <v>-320771.60292689968</v>
      </c>
      <c r="Z78" s="294">
        <f>IF(SUM($B$71:Z71)+SUM($A$78:Y78)&gt;0,0,SUM($B$71:Z71)-SUM($A$78:Y78))</f>
        <v>-339011.53984540794</v>
      </c>
      <c r="AA78" s="294">
        <f>IF(SUM($B$71:AA71)+SUM($A$78:Z78)&gt;0,0,SUM($B$71:AA71)-SUM($A$78:Z78))</f>
        <v>-358065.84558514226</v>
      </c>
      <c r="AB78" s="294">
        <f>IF(SUM($B$71:AB71)+SUM($A$78:AA78)&gt;0,0,SUM($B$71:AB71)-SUM($A$78:AA78))</f>
        <v>-377972.79548069928</v>
      </c>
      <c r="AC78" s="294">
        <f>IF(SUM($B$71:AC71)+SUM($A$78:AB78)&gt;0,0,SUM($B$71:AC71)-SUM($A$78:AB78))</f>
        <v>-398772.46380740311</v>
      </c>
      <c r="AD78" s="294">
        <f>IF(SUM($B$71:AD71)+SUM($A$78:AC78)&gt;0,0,SUM($B$71:AD71)-SUM($A$78:AC78))</f>
        <v>-420506.80833151843</v>
      </c>
      <c r="AE78" s="294">
        <f>IF(SUM($B$71:AE71)+SUM($A$78:AD78)&gt;0,0,SUM($B$71:AE71)-SUM($A$78:AD78))</f>
        <v>-443219.75883432198</v>
      </c>
      <c r="AF78" s="294">
        <f>IF(SUM($B$71:AF71)+SUM($A$78:AE78)&gt;0,0,SUM($B$71:AF71)-SUM($A$78:AE78))</f>
        <v>-466957.30979681201</v>
      </c>
      <c r="AG78" s="294">
        <f>IF(SUM($B$71:AG71)+SUM($A$78:AF78)&gt;0,0,SUM($B$71:AG71)-SUM($A$78:AF78))</f>
        <v>-490854.67671837285</v>
      </c>
      <c r="AH78" s="294">
        <f>IF(SUM($B$71:AH71)+SUM($A$78:AG78)&gt;0,0,SUM($B$71:AH71)-SUM($A$78:AG78))</f>
        <v>-515875.21988524869</v>
      </c>
      <c r="AI78" s="294">
        <f>IF(SUM($B$71:AI71)+SUM($A$78:AH78)&gt;0,0,SUM($B$71:AI71)-SUM($A$78:AH78))</f>
        <v>-542071.72858096659</v>
      </c>
      <c r="AJ78" s="294">
        <f>IF(SUM($B$71:AJ71)+SUM($A$78:AI78)&gt;0,0,SUM($B$71:AJ71)-SUM($A$78:AI78))</f>
        <v>-569499.47318538278</v>
      </c>
      <c r="AK78" s="294">
        <f>IF(SUM($B$71:AK71)+SUM($A$78:AJ78)&gt;0,0,SUM($B$71:AK71)-SUM($A$78:AJ78))</f>
        <v>-598216.32178620622</v>
      </c>
      <c r="AL78" s="294">
        <f>IF(SUM($B$71:AL71)+SUM($A$78:AK78)&gt;0,0,SUM($B$71:AL71)-SUM($A$78:AK78))</f>
        <v>-628282.86227126978</v>
      </c>
      <c r="AM78" s="294">
        <f>IF(SUM($B$71:AM71)+SUM($A$78:AL78)&gt;0,0,SUM($B$71:AM71)-SUM($A$78:AL78))</f>
        <v>-659762.53015913069</v>
      </c>
      <c r="AN78" s="294">
        <f>IF(SUM($B$71:AN71)+SUM($A$78:AM78)&gt;0,0,SUM($B$71:AN71)-SUM($A$78:AM78))</f>
        <v>-692721.7424377203</v>
      </c>
      <c r="AO78" s="294">
        <f>IF(SUM($B$71:AO71)+SUM($A$78:AN78)&gt;0,0,SUM($B$71:AO71)-SUM($A$78:AN78))</f>
        <v>-727230.03769340366</v>
      </c>
      <c r="AP78" s="294">
        <f>IF(SUM($B$71:AP71)+SUM($A$78:AO78)&gt;0,0,SUM($B$71:AP71)-SUM($A$78:AO78))</f>
        <v>-763360.22282610461</v>
      </c>
    </row>
    <row r="79" spans="1:45" x14ac:dyDescent="0.2">
      <c r="A79" s="302" t="s">
        <v>252</v>
      </c>
      <c r="B79" s="294">
        <f ca="1">IF(((SUM($B$59:B59)+SUM($B$61:B64))+SUM($B$81:B81))&lt;0,((SUM($B$59:B59)+SUM($B$61:B64))+SUM($B$81:B81))*0.2-SUM($A$79:A79),IF(SUM(A$79:$B79)&lt;0,0-SUM(A$79:$B79),0))</f>
        <v>-196540.55999999979</v>
      </c>
      <c r="C79" s="294">
        <f ca="1">IF(((SUM($B$59:C59)+SUM($B$61:C64))+SUM($B$81:C81))&lt;0,((SUM($B$59:C59)+SUM($B$61:C64))+SUM($B$81:C81))*0.18-SUM($A$79:B79),IF(SUM($B$79:B79)&lt;0,0-SUM($B$79:B79),0))</f>
        <v>19654.056000000011</v>
      </c>
      <c r="D79" s="294">
        <f ca="1">IF(((SUM($B$59:D59)+SUM($B$61:D64))+SUM($B$81:D81))&lt;0,((SUM($B$59:D59)+SUM($B$61:D64))+SUM($B$81:D81))*0.2-SUM($A$79:C79),IF(SUM($B$79:C79)&lt;0,0-SUM($B$79:C79),0))</f>
        <v>41857.931721798581</v>
      </c>
      <c r="E79" s="294">
        <f ca="1">IF(((SUM($B$59:E59)+SUM($B$61:E64))+SUM($B$81:E81))&lt;0,((SUM($B$59:E59)+SUM($B$61:E64))+SUM($B$81:E81))*0.2-SUM($A$79:D79),IF(SUM($B$79:D79)&lt;0,0-SUM($B$79:D79),0))</f>
        <v>105033.89385209866</v>
      </c>
      <c r="F79" s="294">
        <f ca="1">IF(((SUM($B$59:F59)+SUM($B$61:F64))+SUM($B$81:F81))&lt;0,((SUM($B$59:F59)+SUM($B$61:F64))+SUM($B$81:F81))*0.2-SUM($A$79:E79),IF(SUM($B$79:E79)&lt;0,0-SUM($B$79:E79),0))</f>
        <v>29994.678426102546</v>
      </c>
      <c r="G79" s="294">
        <f ca="1">IF(((SUM($B$59:G59)+SUM($B$61:G64))+SUM($B$81:G81))&lt;0,((SUM($B$59:G59)+SUM($B$61:G64))+SUM($B$81:G81))*0.18-SUM($A$79:F79),IF(SUM($B$79:F79)&lt;0,0-SUM($B$79:F79),0))</f>
        <v>0</v>
      </c>
      <c r="H79" s="294">
        <f ca="1">IF(((SUM($B$59:H59)+SUM($B$61:H64))+SUM($B$81:H81))&lt;0,((SUM($B$59:H59)+SUM($B$61:H64))+SUM($B$81:H81))*0.18-SUM($A$79:G79),IF(SUM($B$79:G79)&lt;0,0-SUM($B$79:G79),0))</f>
        <v>0</v>
      </c>
      <c r="I79" s="294">
        <f ca="1">IF(((SUM($B$59:I59)+SUM($B$61:I64))+SUM($B$81:I81))&lt;0,((SUM($B$59:I59)+SUM($B$61:I64))+SUM($B$81:I81))*0.18-SUM($A$79:H79),IF(SUM($B$79:H79)&lt;0,0-SUM($B$79:H79),0))</f>
        <v>0</v>
      </c>
      <c r="J79" s="294">
        <f ca="1">IF(((SUM($B$59:J59)+SUM($B$61:J64))+SUM($B$81:J81))&lt;0,((SUM($B$59:J59)+SUM($B$61:J64))+SUM($B$81:J81))*0.18-SUM($A$79:I79),IF(SUM($B$79:I79)&lt;0,0-SUM($B$79:I79),0))</f>
        <v>0</v>
      </c>
      <c r="K79" s="294">
        <f ca="1">IF(((SUM($B$59:K59)+SUM($B$61:K64))+SUM($B$81:K81))&lt;0,((SUM($B$59:K59)+SUM($B$61:K64))+SUM($B$81:K81))*0.18-SUM($A$79:J79),IF(SUM($B$79:J79)&lt;0,0-SUM($B$79:J79),0))</f>
        <v>0</v>
      </c>
      <c r="L79" s="294">
        <f ca="1">IF(((SUM($B$59:L59)+SUM($B$61:L64))+SUM($B$81:L81))&lt;0,((SUM($B$59:L59)+SUM($B$61:L64))+SUM($B$81:L81))*0.18-SUM($A$79:K79),IF(SUM($B$79:K79)&lt;0,0-SUM($B$79:K79),0))</f>
        <v>0</v>
      </c>
      <c r="M79" s="294">
        <f ca="1">IF(((SUM($B$59:M59)+SUM($B$61:M64))+SUM($B$81:M81))&lt;0,((SUM($B$59:M59)+SUM($B$61:M64))+SUM($B$81:M81))*0.18-SUM($A$79:L79),IF(SUM($B$79:L79)&lt;0,0-SUM($B$79:L79),0))</f>
        <v>0</v>
      </c>
      <c r="N79" s="294">
        <f ca="1">IF(((SUM($B$59:N59)+SUM($B$61:N64))+SUM($B$81:N81))&lt;0,((SUM($B$59:N59)+SUM($B$61:N64))+SUM($B$81:N81))*0.18-SUM($A$79:M79),IF(SUM($B$79:M79)&lt;0,0-SUM($B$79:M79),0))</f>
        <v>0</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-7469515</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-7469515</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-2825862.9599999981</v>
      </c>
      <c r="C83" s="301">
        <f t="shared" ref="C83:V83" ca="1" si="29">SUM(C75:C82)</f>
        <v>-94769.326732800022</v>
      </c>
      <c r="D83" s="301">
        <f t="shared" ca="1" si="29"/>
        <v>179970.42363939286</v>
      </c>
      <c r="E83" s="301">
        <f t="shared" ca="1" si="29"/>
        <v>423721.93405409384</v>
      </c>
      <c r="F83" s="301">
        <f t="shared" ca="1" si="29"/>
        <v>599370.5181808495</v>
      </c>
      <c r="G83" s="301">
        <f t="shared" ca="1" si="29"/>
        <v>842090.34814563929</v>
      </c>
      <c r="H83" s="301">
        <f t="shared" ca="1" si="29"/>
        <v>1138362.6384798388</v>
      </c>
      <c r="I83" s="301">
        <f t="shared" ca="1" si="29"/>
        <v>1717431.2523134658</v>
      </c>
      <c r="J83" s="301">
        <f t="shared" ca="1" si="29"/>
        <v>1808186.7494226177</v>
      </c>
      <c r="K83" s="301">
        <f t="shared" ca="1" si="29"/>
        <v>1902902.8224790292</v>
      </c>
      <c r="L83" s="301">
        <f t="shared" ca="1" si="29"/>
        <v>2001765.6185522224</v>
      </c>
      <c r="M83" s="301">
        <f t="shared" ca="1" si="29"/>
        <v>2104970.0336239845</v>
      </c>
      <c r="N83" s="301">
        <f t="shared" ca="1" si="29"/>
        <v>2212720.123787249</v>
      </c>
      <c r="O83" s="301">
        <f t="shared" ca="1" si="29"/>
        <v>2325229.5357713164</v>
      </c>
      <c r="P83" s="301">
        <f t="shared" ca="1" si="29"/>
        <v>2442721.9577017655</v>
      </c>
      <c r="Q83" s="301">
        <f t="shared" ca="1" si="29"/>
        <v>2565431.5910460744</v>
      </c>
      <c r="R83" s="301">
        <f t="shared" ca="1" si="29"/>
        <v>2693603.6447406956</v>
      </c>
      <c r="S83" s="301">
        <f t="shared" ca="1" si="29"/>
        <v>2827494.8525420944</v>
      </c>
      <c r="T83" s="301">
        <f t="shared" ca="1" si="29"/>
        <v>2967374.0146932872</v>
      </c>
      <c r="U83" s="301">
        <f t="shared" ca="1" si="29"/>
        <v>3113522.565048717</v>
      </c>
      <c r="V83" s="301">
        <f t="shared" ca="1" si="29"/>
        <v>3266235.1648539808</v>
      </c>
      <c r="W83" s="301">
        <f ca="1">SUM(W75:W82)</f>
        <v>3425820.3244332201</v>
      </c>
      <c r="X83" s="301">
        <f ca="1">SUM(X75:X82)</f>
        <v>3592601.0540958159</v>
      </c>
      <c r="Y83" s="301">
        <f ca="1">SUM(Y75:Y82)</f>
        <v>3766915.5456356825</v>
      </c>
      <c r="Z83" s="301">
        <f ca="1">SUM(Z75:Z82)</f>
        <v>3949117.8858610531</v>
      </c>
      <c r="AA83" s="301">
        <f t="shared" ref="AA83:AP83" ca="1" si="30">SUM(AA75:AA82)</f>
        <v>4139578.8036601432</v>
      </c>
      <c r="AB83" s="301">
        <f t="shared" ca="1" si="30"/>
        <v>4338686.4521789225</v>
      </c>
      <c r="AC83" s="301">
        <f t="shared" ca="1" si="30"/>
        <v>4546847.2277612118</v>
      </c>
      <c r="AD83" s="301">
        <f t="shared" ca="1" si="30"/>
        <v>4764486.6273789983</v>
      </c>
      <c r="AE83" s="301">
        <f t="shared" ca="1" si="30"/>
        <v>4992050.1463619536</v>
      </c>
      <c r="AF83" s="301">
        <f t="shared" ca="1" si="30"/>
        <v>5230004.2183202356</v>
      </c>
      <c r="AG83" s="301">
        <f t="shared" ca="1" si="30"/>
        <v>5472349.2754804846</v>
      </c>
      <c r="AH83" s="301">
        <f t="shared" ca="1" si="30"/>
        <v>5726084.5503272684</v>
      </c>
      <c r="AI83" s="301">
        <f t="shared" ca="1" si="30"/>
        <v>5991745.3830918502</v>
      </c>
      <c r="AJ83" s="301">
        <f t="shared" ca="1" si="30"/>
        <v>6269892.2749963664</v>
      </c>
      <c r="AK83" s="301">
        <f t="shared" ca="1" si="30"/>
        <v>6561112.070820394</v>
      </c>
      <c r="AL83" s="301">
        <f t="shared" ca="1" si="30"/>
        <v>6866019.1970481537</v>
      </c>
      <c r="AM83" s="301">
        <f t="shared" ca="1" si="30"/>
        <v>7185256.958208615</v>
      </c>
      <c r="AN83" s="301">
        <f t="shared" ca="1" si="30"/>
        <v>7519498.8941436205</v>
      </c>
      <c r="AO83" s="301">
        <f t="shared" ca="1" si="30"/>
        <v>7869450.2010675669</v>
      </c>
      <c r="AP83" s="301">
        <f t="shared" ca="1" si="30"/>
        <v>8235849.2194169462</v>
      </c>
    </row>
    <row r="84" spans="1:44" ht="14.25" x14ac:dyDescent="0.2">
      <c r="A84" s="303" t="s">
        <v>551</v>
      </c>
      <c r="B84" s="301">
        <f ca="1">SUM($B$83:B83)</f>
        <v>-2825862.9599999981</v>
      </c>
      <c r="C84" s="301">
        <f ca="1">SUM($B$83:C83)</f>
        <v>-2920632.286732798</v>
      </c>
      <c r="D84" s="301">
        <f ca="1">SUM($B$83:D83)</f>
        <v>-2740661.863093405</v>
      </c>
      <c r="E84" s="301">
        <f ca="1">SUM($B$83:E83)</f>
        <v>-2316939.9290393111</v>
      </c>
      <c r="F84" s="301">
        <f ca="1">SUM($B$83:F83)</f>
        <v>-1717569.4108584616</v>
      </c>
      <c r="G84" s="301">
        <f ca="1">SUM($B$83:G83)</f>
        <v>-875479.06271282234</v>
      </c>
      <c r="H84" s="301">
        <f ca="1">SUM($B$83:H83)</f>
        <v>262883.5757670165</v>
      </c>
      <c r="I84" s="301">
        <f ca="1">SUM($B$83:I83)</f>
        <v>1980314.8280804823</v>
      </c>
      <c r="J84" s="301">
        <f ca="1">SUM($B$83:J83)</f>
        <v>3788501.5775031</v>
      </c>
      <c r="K84" s="301">
        <f ca="1">SUM($B$83:K83)</f>
        <v>5691404.3999821292</v>
      </c>
      <c r="L84" s="301">
        <f ca="1">SUM($B$83:L83)</f>
        <v>7693170.0185343511</v>
      </c>
      <c r="M84" s="301">
        <f ca="1">SUM($B$83:M83)</f>
        <v>9798140.0521583352</v>
      </c>
      <c r="N84" s="301">
        <f ca="1">SUM($B$83:N83)</f>
        <v>12010860.175945584</v>
      </c>
      <c r="O84" s="301">
        <f ca="1">SUM($B$83:O83)</f>
        <v>14336089.7117169</v>
      </c>
      <c r="P84" s="301">
        <f ca="1">SUM($B$83:P83)</f>
        <v>16778811.669418667</v>
      </c>
      <c r="Q84" s="301">
        <f ca="1">SUM($B$83:Q83)</f>
        <v>19344243.260464743</v>
      </c>
      <c r="R84" s="301">
        <f ca="1">SUM($B$83:R83)</f>
        <v>22037846.90520544</v>
      </c>
      <c r="S84" s="301">
        <f ca="1">SUM($B$83:S83)</f>
        <v>24865341.757747535</v>
      </c>
      <c r="T84" s="301">
        <f ca="1">SUM($B$83:T83)</f>
        <v>27832715.772440821</v>
      </c>
      <c r="U84" s="301">
        <f ca="1">SUM($B$83:U83)</f>
        <v>30946238.337489538</v>
      </c>
      <c r="V84" s="301">
        <f ca="1">SUM($B$83:V83)</f>
        <v>34212473.502343521</v>
      </c>
      <c r="W84" s="301">
        <f ca="1">SUM($B$83:W83)</f>
        <v>37638293.826776743</v>
      </c>
      <c r="X84" s="301">
        <f ca="1">SUM($B$83:X83)</f>
        <v>41230894.880872563</v>
      </c>
      <c r="Y84" s="301">
        <f ca="1">SUM($B$83:Y83)</f>
        <v>44997810.426508248</v>
      </c>
      <c r="Z84" s="301">
        <f ca="1">SUM($B$83:Z83)</f>
        <v>48946928.312369302</v>
      </c>
      <c r="AA84" s="301">
        <f ca="1">SUM($B$83:AA83)</f>
        <v>53086507.116029441</v>
      </c>
      <c r="AB84" s="301">
        <f ca="1">SUM($B$83:AB83)</f>
        <v>57425193.568208367</v>
      </c>
      <c r="AC84" s="301">
        <f ca="1">SUM($B$83:AC83)</f>
        <v>61972040.795969576</v>
      </c>
      <c r="AD84" s="301">
        <f ca="1">SUM($B$83:AD83)</f>
        <v>66736527.423348576</v>
      </c>
      <c r="AE84" s="301">
        <f ca="1">SUM($B$83:AE83)</f>
        <v>71728577.569710523</v>
      </c>
      <c r="AF84" s="301">
        <f ca="1">SUM($B$83:AF83)</f>
        <v>76958581.788030759</v>
      </c>
      <c r="AG84" s="301">
        <f ca="1">SUM($B$83:AG83)</f>
        <v>82430931.063511238</v>
      </c>
      <c r="AH84" s="301">
        <f ca="1">SUM($B$83:AH83)</f>
        <v>88157015.613838509</v>
      </c>
      <c r="AI84" s="301">
        <f ca="1">SUM($B$83:AI83)</f>
        <v>94148760.996930361</v>
      </c>
      <c r="AJ84" s="301">
        <f ca="1">SUM($B$83:AJ83)</f>
        <v>100418653.27192673</v>
      </c>
      <c r="AK84" s="301">
        <f ca="1">SUM($B$83:AK83)</f>
        <v>106979765.34274712</v>
      </c>
      <c r="AL84" s="301">
        <f ca="1">SUM($B$83:AL83)</f>
        <v>113845784.53979528</v>
      </c>
      <c r="AM84" s="301">
        <f ca="1">SUM($B$83:AM83)</f>
        <v>121031041.4980039</v>
      </c>
      <c r="AN84" s="301">
        <f ca="1">SUM($B$83:AN83)</f>
        <v>128550540.39214753</v>
      </c>
      <c r="AO84" s="301">
        <f ca="1">SUM($B$83:AO83)</f>
        <v>136419990.59321511</v>
      </c>
      <c r="AP84" s="301">
        <f ca="1">SUM($B$83:AP83)</f>
        <v>144655839.81263205</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 ca="1">B83*B85</f>
        <v>-2695948.1459180848</v>
      </c>
      <c r="C86" s="301">
        <f ca="1">C83*C85</f>
        <v>-82290.387712663112</v>
      </c>
      <c r="D86" s="301">
        <f t="shared" ref="D86:AO86" ca="1" si="32">D83*D85</f>
        <v>142233.9685398943</v>
      </c>
      <c r="E86" s="301">
        <f t="shared" ca="1" si="32"/>
        <v>304792.31329438166</v>
      </c>
      <c r="F86" s="301">
        <f t="shared" ca="1" si="32"/>
        <v>392409.3228165608</v>
      </c>
      <c r="G86" s="301">
        <f t="shared" ca="1" si="32"/>
        <v>501791.7361262787</v>
      </c>
      <c r="H86" s="301">
        <f t="shared" ca="1" si="32"/>
        <v>617399.57222404319</v>
      </c>
      <c r="I86" s="301">
        <f t="shared" ca="1" si="32"/>
        <v>847785.38929034746</v>
      </c>
      <c r="J86" s="301">
        <f t="shared" ca="1" si="32"/>
        <v>812401.51379645895</v>
      </c>
      <c r="K86" s="301">
        <f t="shared" ca="1" si="32"/>
        <v>778152.8768434365</v>
      </c>
      <c r="L86" s="301">
        <f t="shared" ca="1" si="32"/>
        <v>745044.8521249633</v>
      </c>
      <c r="M86" s="301">
        <f t="shared" ca="1" si="32"/>
        <v>713076.27259039145</v>
      </c>
      <c r="N86" s="301">
        <f t="shared" ca="1" si="32"/>
        <v>682240.39348501817</v>
      </c>
      <c r="O86" s="301">
        <f t="shared" ca="1" si="32"/>
        <v>652525.7430886107</v>
      </c>
      <c r="P86" s="301">
        <f t="shared" ca="1" si="32"/>
        <v>623916.87318366568</v>
      </c>
      <c r="Q86" s="301">
        <f t="shared" ca="1" si="32"/>
        <v>596395.0200470764</v>
      </c>
      <c r="R86" s="301">
        <f t="shared" ca="1" si="32"/>
        <v>569938.68564556621</v>
      </c>
      <c r="S86" s="301">
        <f t="shared" ca="1" si="32"/>
        <v>544524.14771404373</v>
      </c>
      <c r="T86" s="301">
        <f t="shared" ca="1" si="32"/>
        <v>520125.90649586718</v>
      </c>
      <c r="U86" s="301">
        <f t="shared" ca="1" si="32"/>
        <v>496717.07511477993</v>
      </c>
      <c r="V86" s="301">
        <f t="shared" ca="1" si="32"/>
        <v>474269.71982101433</v>
      </c>
      <c r="W86" s="301">
        <f t="shared" ca="1" si="32"/>
        <v>452755.15570054995</v>
      </c>
      <c r="X86" s="301">
        <f t="shared" ca="1" si="32"/>
        <v>432144.20284941787</v>
      </c>
      <c r="Y86" s="301">
        <f t="shared" ca="1" si="32"/>
        <v>412407.40748764155</v>
      </c>
      <c r="Z86" s="301">
        <f t="shared" ca="1" si="32"/>
        <v>393515.23201391788</v>
      </c>
      <c r="AA86" s="301">
        <f t="shared" ca="1" si="32"/>
        <v>375438.21757706255</v>
      </c>
      <c r="AB86" s="301">
        <f t="shared" ca="1" si="32"/>
        <v>358147.12235875678</v>
      </c>
      <c r="AC86" s="301">
        <f t="shared" ca="1" si="32"/>
        <v>341613.03841982567</v>
      </c>
      <c r="AD86" s="301">
        <f t="shared" ca="1" si="32"/>
        <v>325807.48965523654</v>
      </c>
      <c r="AE86" s="301">
        <f t="shared" ca="1" si="32"/>
        <v>310702.51312766731</v>
      </c>
      <c r="AF86" s="301">
        <f t="shared" ca="1" si="32"/>
        <v>296270.72580266226</v>
      </c>
      <c r="AG86" s="301">
        <f t="shared" ca="1" si="32"/>
        <v>282150.86524410913</v>
      </c>
      <c r="AH86" s="301">
        <f t="shared" ca="1" si="32"/>
        <v>268711.47303948388</v>
      </c>
      <c r="AI86" s="301">
        <f t="shared" ca="1" si="32"/>
        <v>255919.08753604424</v>
      </c>
      <c r="AJ86" s="301">
        <f t="shared" ca="1" si="32"/>
        <v>243741.95116128327</v>
      </c>
      <c r="AK86" s="301">
        <f t="shared" ca="1" si="32"/>
        <v>232149.9186010118</v>
      </c>
      <c r="AL86" s="301">
        <f t="shared" ca="1" si="32"/>
        <v>221114.37034342319</v>
      </c>
      <c r="AM86" s="301">
        <f t="shared" ca="1" si="32"/>
        <v>210608.13124274218</v>
      </c>
      <c r="AN86" s="301">
        <f t="shared" ca="1" si="32"/>
        <v>200605.39378079839</v>
      </c>
      <c r="AO86" s="301">
        <f t="shared" ca="1" si="32"/>
        <v>191081.64572767139</v>
      </c>
      <c r="AP86" s="301">
        <f ca="1">AP83*AP85</f>
        <v>182013.60192361186</v>
      </c>
    </row>
    <row r="87" spans="1:44" ht="14.25" x14ac:dyDescent="0.2">
      <c r="A87" s="300" t="s">
        <v>553</v>
      </c>
      <c r="B87" s="301">
        <f ca="1">SUM($B$86:B86)</f>
        <v>-2695948.1459180848</v>
      </c>
      <c r="C87" s="301">
        <f ca="1">SUM($B$86:C86)</f>
        <v>-2778238.5336307478</v>
      </c>
      <c r="D87" s="301">
        <f ca="1">SUM($B$86:D86)</f>
        <v>-2636004.5650908537</v>
      </c>
      <c r="E87" s="301">
        <f ca="1">SUM($B$86:E86)</f>
        <v>-2331212.2517964719</v>
      </c>
      <c r="F87" s="301">
        <f ca="1">SUM($B$86:F86)</f>
        <v>-1938802.9289799111</v>
      </c>
      <c r="G87" s="301">
        <f ca="1">SUM($B$86:G86)</f>
        <v>-1437011.1928536324</v>
      </c>
      <c r="H87" s="301">
        <f ca="1">SUM($B$86:H86)</f>
        <v>-819611.62062958919</v>
      </c>
      <c r="I87" s="301">
        <f ca="1">SUM($B$86:I86)</f>
        <v>28173.768660758273</v>
      </c>
      <c r="J87" s="301">
        <f ca="1">SUM($B$86:J86)</f>
        <v>840575.28245721722</v>
      </c>
      <c r="K87" s="301">
        <f ca="1">SUM($B$86:K86)</f>
        <v>1618728.1593006537</v>
      </c>
      <c r="L87" s="301">
        <f ca="1">SUM($B$86:L86)</f>
        <v>2363773.0114256172</v>
      </c>
      <c r="M87" s="301">
        <f ca="1">SUM($B$86:M86)</f>
        <v>3076849.2840160085</v>
      </c>
      <c r="N87" s="301">
        <f ca="1">SUM($B$86:N86)</f>
        <v>3759089.6775010265</v>
      </c>
      <c r="O87" s="301">
        <f ca="1">SUM($B$86:O86)</f>
        <v>4411615.420589637</v>
      </c>
      <c r="P87" s="301">
        <f ca="1">SUM($B$86:P86)</f>
        <v>5035532.2937733028</v>
      </c>
      <c r="Q87" s="301">
        <f ca="1">SUM($B$86:Q86)</f>
        <v>5631927.3138203789</v>
      </c>
      <c r="R87" s="301">
        <f ca="1">SUM($B$86:R86)</f>
        <v>6201865.9994659452</v>
      </c>
      <c r="S87" s="301">
        <f ca="1">SUM($B$86:S86)</f>
        <v>6746390.1471799891</v>
      </c>
      <c r="T87" s="301">
        <f ca="1">SUM($B$86:T86)</f>
        <v>7266516.0536758564</v>
      </c>
      <c r="U87" s="301">
        <f ca="1">SUM($B$86:U86)</f>
        <v>7763233.1287906365</v>
      </c>
      <c r="V87" s="301">
        <f ca="1">SUM($B$86:V86)</f>
        <v>8237502.848611651</v>
      </c>
      <c r="W87" s="301">
        <f ca="1">SUM($B$86:W86)</f>
        <v>8690258.0043122005</v>
      </c>
      <c r="X87" s="301">
        <f ca="1">SUM($B$86:X86)</f>
        <v>9122402.2071616184</v>
      </c>
      <c r="Y87" s="301">
        <f ca="1">SUM($B$86:Y86)</f>
        <v>9534809.6146492604</v>
      </c>
      <c r="Z87" s="301">
        <f ca="1">SUM($B$86:Z86)</f>
        <v>9928324.8466631789</v>
      </c>
      <c r="AA87" s="301">
        <f ca="1">SUM($B$86:AA86)</f>
        <v>10303763.064240241</v>
      </c>
      <c r="AB87" s="301">
        <f ca="1">SUM($B$86:AB86)</f>
        <v>10661910.186598998</v>
      </c>
      <c r="AC87" s="301">
        <f ca="1">SUM($B$86:AC86)</f>
        <v>11003523.225018824</v>
      </c>
      <c r="AD87" s="301">
        <f ca="1">SUM($B$86:AD86)</f>
        <v>11329330.714674059</v>
      </c>
      <c r="AE87" s="301">
        <f ca="1">SUM($B$86:AE86)</f>
        <v>11640033.227801727</v>
      </c>
      <c r="AF87" s="301">
        <f ca="1">SUM($B$86:AF86)</f>
        <v>11936303.953604389</v>
      </c>
      <c r="AG87" s="301">
        <f ca="1">SUM($B$86:AG86)</f>
        <v>12218454.818848498</v>
      </c>
      <c r="AH87" s="301">
        <f ca="1">SUM($B$86:AH86)</f>
        <v>12487166.291887982</v>
      </c>
      <c r="AI87" s="301">
        <f ca="1">SUM($B$86:AI86)</f>
        <v>12743085.379424026</v>
      </c>
      <c r="AJ87" s="301">
        <f ca="1">SUM($B$86:AJ86)</f>
        <v>12986827.33058531</v>
      </c>
      <c r="AK87" s="301">
        <f ca="1">SUM($B$86:AK86)</f>
        <v>13218977.249186322</v>
      </c>
      <c r="AL87" s="301">
        <f ca="1">SUM($B$86:AL86)</f>
        <v>13440091.619529745</v>
      </c>
      <c r="AM87" s="301">
        <f ca="1">SUM($B$86:AM86)</f>
        <v>13650699.750772487</v>
      </c>
      <c r="AN87" s="301">
        <f ca="1">SUM($B$86:AN86)</f>
        <v>13851305.144553285</v>
      </c>
      <c r="AO87" s="301">
        <f ca="1">SUM($B$86:AO86)</f>
        <v>14042386.790280957</v>
      </c>
      <c r="AP87" s="301">
        <f ca="1">SUM($B$86:AP86)</f>
        <v>14224400.392204568</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1.8557038111131074E-2</v>
      </c>
      <c r="I88" s="310">
        <f ca="1">IF((ISERR(IRR($B$83:I83))),0,IF(IRR($B$83:I83)&lt;0,0,IRR($B$83:I83)))</f>
        <v>0.10080027323560659</v>
      </c>
      <c r="J88" s="310">
        <f ca="1">IF((ISERR(IRR($B$83:J83))),0,IF(IRR($B$83:J83)&lt;0,0,IRR($B$83:J83)))</f>
        <v>0.14977054597380346</v>
      </c>
      <c r="K88" s="310">
        <f ca="1">IF((ISERR(IRR($B$83:K83))),0,IF(IRR($B$83:K83)&lt;0,0,IRR($B$83:K83)))</f>
        <v>0.18191522126980342</v>
      </c>
      <c r="L88" s="310">
        <f ca="1">IF((ISERR(IRR($B$83:L83))),0,IF(IRR($B$83:L83)&lt;0,0,IRR($B$83:L83)))</f>
        <v>0.20415860944579878</v>
      </c>
      <c r="M88" s="310">
        <f ca="1">IF((ISERR(IRR($B$83:M83))),0,IF(IRR($B$83:M83)&lt;0,0,IRR($B$83:M83)))</f>
        <v>0.22009425963965379</v>
      </c>
      <c r="N88" s="310">
        <f ca="1">IF((ISERR(IRR($B$83:N83))),0,IF(IRR($B$83:N83)&lt;0,0,IRR($B$83:N83)))</f>
        <v>0.23180152835502787</v>
      </c>
      <c r="O88" s="310">
        <f ca="1">IF((ISERR(IRR($B$83:O83))),0,IF(IRR($B$83:O83)&lt;0,0,IRR($B$83:O83)))</f>
        <v>0.24056930778524888</v>
      </c>
      <c r="P88" s="310">
        <f ca="1">IF((ISERR(IRR($B$83:P83))),0,IF(IRR($B$83:P83)&lt;0,0,IRR($B$83:P83)))</f>
        <v>0.24723629393558078</v>
      </c>
      <c r="Q88" s="310">
        <f ca="1">IF((ISERR(IRR($B$83:Q83))),0,IF(IRR($B$83:Q83)&lt;0,0,IRR($B$83:Q83)))</f>
        <v>0.25236866035594985</v>
      </c>
      <c r="R88" s="310">
        <f ca="1">IF((ISERR(IRR($B$83:R83))),0,IF(IRR($B$83:R83)&lt;0,0,IRR($B$83:R83)))</f>
        <v>0.25635988056811621</v>
      </c>
      <c r="S88" s="310">
        <f ca="1">IF((ISERR(IRR($B$83:S83))),0,IF(IRR($B$83:S83)&lt;0,0,IRR($B$83:S83)))</f>
        <v>0.25948996390757784</v>
      </c>
      <c r="T88" s="310">
        <f ca="1">IF((ISERR(IRR($B$83:T83))),0,IF(IRR($B$83:T83)&lt;0,0,IRR($B$83:T83)))</f>
        <v>0.26196214679507901</v>
      </c>
      <c r="U88" s="310">
        <f ca="1">IF((ISERR(IRR($B$83:U83))),0,IF(IRR($B$83:U83)&lt;0,0,IRR($B$83:U83)))</f>
        <v>0.26392642543857248</v>
      </c>
      <c r="V88" s="310">
        <f ca="1">IF((ISERR(IRR($B$83:V83))),0,IF(IRR($B$83:V83)&lt;0,0,IRR($B$83:V83)))</f>
        <v>0.26549509430440832</v>
      </c>
      <c r="W88" s="310">
        <f ca="1">IF((ISERR(IRR($B$83:W83))),0,IF(IRR($B$83:W83)&lt;0,0,IRR($B$83:W83)))</f>
        <v>0.26675326330791771</v>
      </c>
      <c r="X88" s="310">
        <f ca="1">IF((ISERR(IRR($B$83:X83))),0,IF(IRR($B$83:X83)&lt;0,0,IRR($B$83:X83)))</f>
        <v>0.26776613052766374</v>
      </c>
      <c r="Y88" s="310">
        <f ca="1">IF((ISERR(IRR($B$83:Y83))),0,IF(IRR($B$83:Y83)&lt;0,0,IRR($B$83:Y83)))</f>
        <v>0.26858410661402154</v>
      </c>
      <c r="Z88" s="310">
        <f ca="1">IF((ISERR(IRR($B$83:Z83))),0,IF(IRR($B$83:Z83)&lt;0,0,IRR($B$83:Z83)))</f>
        <v>0.26924648591013689</v>
      </c>
      <c r="AA88" s="310">
        <f ca="1">IF((ISERR(IRR($B$83:AA83))),0,IF(IRR($B$83:AA83)&lt;0,0,IRR($B$83:AA83)))</f>
        <v>0.269784115616158</v>
      </c>
      <c r="AB88" s="310">
        <f ca="1">IF((ISERR(IRR($B$83:AB83))),0,IF(IRR($B$83:AB83)&lt;0,0,IRR($B$83:AB83)))</f>
        <v>0.27022136234228533</v>
      </c>
      <c r="AC88" s="310">
        <f ca="1">IF((ISERR(IRR($B$83:AC83))),0,IF(IRR($B$83:AC83)&lt;0,0,IRR($B$83:AC83)))</f>
        <v>0.27057757837440755</v>
      </c>
      <c r="AD88" s="310">
        <f ca="1">IF((ISERR(IRR($B$83:AD83))),0,IF(IRR($B$83:AD83)&lt;0,0,IRR($B$83:AD83)))</f>
        <v>0.27086820674450651</v>
      </c>
      <c r="AE88" s="310">
        <f ca="1">IF((ISERR(IRR($B$83:AE83))),0,IF(IRR($B$83:AE83)&lt;0,0,IRR($B$83:AE83)))</f>
        <v>0.27110562221408685</v>
      </c>
      <c r="AF88" s="310">
        <f ca="1">IF((ISERR(IRR($B$83:AF83))),0,IF(IRR($B$83:AF83)&lt;0,0,IRR($B$83:AF83)))</f>
        <v>0.27129977692907903</v>
      </c>
      <c r="AG88" s="310">
        <f ca="1">IF((ISERR(IRR($B$83:AG83))),0,IF(IRR($B$83:AG83)&lt;0,0,IRR($B$83:AG83)))</f>
        <v>0.27145851244770425</v>
      </c>
      <c r="AH88" s="310">
        <f ca="1">IF((ISERR(IRR($B$83:AH83))),0,IF(IRR($B$83:AH83)&lt;0,0,IRR($B$83:AH83)))</f>
        <v>0.27158840702057852</v>
      </c>
      <c r="AI88" s="310">
        <f ca="1">IF((ISERR(IRR($B$83:AI83))),0,IF(IRR($B$83:AI83)&lt;0,0,IRR($B$83:AI83)))</f>
        <v>0.2716947831801606</v>
      </c>
      <c r="AJ88" s="310">
        <f ca="1">IF((ISERR(IRR($B$83:AJ83))),0,IF(IRR($B$83:AJ83)&lt;0,0,IRR($B$83:AJ83)))</f>
        <v>0.27178195722379406</v>
      </c>
      <c r="AK88" s="310">
        <f ca="1">IF((ISERR(IRR($B$83:AK83))),0,IF(IRR($B$83:AK83)&lt;0,0,IRR($B$83:AK83)))</f>
        <v>0.2718534363585805</v>
      </c>
      <c r="AL88" s="310">
        <f ca="1">IF((ISERR(IRR($B$83:AL83))),0,IF(IRR($B$83:AL83)&lt;0,0,IRR($B$83:AL83)))</f>
        <v>0.27191207525615191</v>
      </c>
      <c r="AM88" s="310">
        <f ca="1">IF((ISERR(IRR($B$83:AM83))),0,IF(IRR($B$83:AM83)&lt;0,0,IRR($B$83:AM83)))</f>
        <v>0.2719602009210027</v>
      </c>
      <c r="AN88" s="310">
        <f ca="1">IF((ISERR(IRR($B$83:AN83))),0,IF(IRR($B$83:AN83)&lt;0,0,IRR($B$83:AN83)))</f>
        <v>0.27199971267491896</v>
      </c>
      <c r="AO88" s="310">
        <f ca="1">IF((ISERR(IRR($B$83:AO83))),0,IF(IRR($B$83:AO83)&lt;0,0,IRR($B$83:AO83)))</f>
        <v>0.27203216249391859</v>
      </c>
      <c r="AP88" s="310">
        <f ca="1">IF((ISERR(IRR($B$83:AP83))),0,IF(IRR($B$83:AP83)&lt;0,0,IRR($B$83:AP83)))</f>
        <v>0.27205881975624435</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6.7690686896417569</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7.9667678058425357</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1" t="s">
        <v>562</v>
      </c>
      <c r="B97" s="481"/>
      <c r="C97" s="481"/>
      <c r="D97" s="481"/>
      <c r="E97" s="481"/>
      <c r="F97" s="481"/>
      <c r="G97" s="481"/>
      <c r="H97" s="481"/>
      <c r="I97" s="481"/>
      <c r="J97" s="481"/>
      <c r="K97" s="481"/>
      <c r="L97" s="481"/>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-7126115.2434502123</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-7126115.2434502123</v>
      </c>
      <c r="AR99" s="324"/>
      <c r="AS99" s="324"/>
    </row>
    <row r="100" spans="1:71" s="328" customFormat="1" hidden="1" x14ac:dyDescent="0.2">
      <c r="A100" s="326">
        <f>AQ99</f>
        <v>-7126115.2434502123</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14224400.392204568</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2.6178581901701587</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2.3637730114256175</v>
      </c>
      <c r="B105" s="335">
        <f ca="1">L88</f>
        <v>0.20415860944579878</v>
      </c>
      <c r="C105" s="336">
        <f ca="1">G28</f>
        <v>6.7690686896417569</v>
      </c>
      <c r="D105" s="336">
        <f ca="1">G29</f>
        <v>7.9667678058425357</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75792.735450000007</v>
      </c>
      <c r="I108" s="342">
        <f t="shared" si="38"/>
        <v>151585.47090000001</v>
      </c>
      <c r="J108" s="342">
        <f t="shared" si="38"/>
        <v>227378.20635000002</v>
      </c>
      <c r="K108" s="342">
        <f t="shared" si="38"/>
        <v>303170.94180000003</v>
      </c>
      <c r="L108" s="342">
        <f t="shared" si="38"/>
        <v>378963.67725000007</v>
      </c>
      <c r="M108" s="342">
        <f t="shared" si="38"/>
        <v>530549.14815000002</v>
      </c>
      <c r="N108" s="342">
        <f t="shared" si="38"/>
        <v>530549.14815000002</v>
      </c>
      <c r="O108" s="342">
        <f t="shared" si="38"/>
        <v>530549.14815000002</v>
      </c>
      <c r="P108" s="342">
        <f t="shared" si="38"/>
        <v>530549.14815000002</v>
      </c>
      <c r="Q108" s="342">
        <f t="shared" si="38"/>
        <v>530549.14815000002</v>
      </c>
      <c r="R108" s="342">
        <f t="shared" si="38"/>
        <v>530549.14815000002</v>
      </c>
      <c r="S108" s="342">
        <f t="shared" si="38"/>
        <v>530549.14815000002</v>
      </c>
      <c r="T108" s="342">
        <f t="shared" si="38"/>
        <v>530549.14815000002</v>
      </c>
      <c r="U108" s="342">
        <f t="shared" si="38"/>
        <v>530549.14815000002</v>
      </c>
      <c r="V108" s="342">
        <f t="shared" si="38"/>
        <v>530549.14815000002</v>
      </c>
      <c r="W108" s="342">
        <f t="shared" si="38"/>
        <v>530549.14815000002</v>
      </c>
      <c r="X108" s="342">
        <f t="shared" si="38"/>
        <v>530549.14815000002</v>
      </c>
      <c r="Y108" s="342">
        <f t="shared" si="38"/>
        <v>530549.14815000002</v>
      </c>
      <c r="Z108" s="342">
        <f t="shared" si="38"/>
        <v>530549.14815000002</v>
      </c>
      <c r="AA108" s="342">
        <f t="shared" si="38"/>
        <v>530549.14815000002</v>
      </c>
      <c r="AB108" s="342">
        <f t="shared" si="38"/>
        <v>530549.14815000002</v>
      </c>
      <c r="AC108" s="342">
        <f t="shared" si="38"/>
        <v>530549.14815000002</v>
      </c>
      <c r="AD108" s="342">
        <f t="shared" si="38"/>
        <v>530549.14815000002</v>
      </c>
      <c r="AE108" s="342">
        <f t="shared" si="38"/>
        <v>530549.14815000002</v>
      </c>
      <c r="AF108" s="342">
        <f t="shared" si="38"/>
        <v>530549.14815000002</v>
      </c>
      <c r="AG108" s="342">
        <f t="shared" si="38"/>
        <v>530549.14815000002</v>
      </c>
      <c r="AH108" s="342">
        <f t="shared" si="38"/>
        <v>530549.14815000002</v>
      </c>
      <c r="AI108" s="342">
        <f t="shared" si="38"/>
        <v>530549.14815000002</v>
      </c>
      <c r="AJ108" s="342">
        <f t="shared" si="38"/>
        <v>530549.14815000002</v>
      </c>
      <c r="AK108" s="342">
        <f t="shared" si="38"/>
        <v>530549.14815000002</v>
      </c>
      <c r="AL108" s="342">
        <f t="shared" si="38"/>
        <v>530549.14815000002</v>
      </c>
      <c r="AM108" s="342">
        <f t="shared" si="38"/>
        <v>530549.14815000002</v>
      </c>
      <c r="AN108" s="342">
        <f t="shared" si="38"/>
        <v>530549.14815000002</v>
      </c>
      <c r="AO108" s="342">
        <f t="shared" si="38"/>
        <v>530549.14815000002</v>
      </c>
      <c r="AP108" s="342">
        <f t="shared" si="38"/>
        <v>530549.14815000002</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2.3250000000000003E-2</v>
      </c>
      <c r="I109" s="340">
        <f t="shared" si="39"/>
        <v>4.6500000000000007E-2</v>
      </c>
      <c r="J109" s="340">
        <f t="shared" si="39"/>
        <v>6.9750000000000006E-2</v>
      </c>
      <c r="K109" s="340">
        <f t="shared" si="39"/>
        <v>9.3000000000000013E-2</v>
      </c>
      <c r="L109" s="340">
        <f t="shared" si="39"/>
        <v>0.11625000000000002</v>
      </c>
      <c r="M109" s="340">
        <f t="shared" si="39"/>
        <v>0.16275000000000003</v>
      </c>
      <c r="N109" s="340">
        <f t="shared" si="39"/>
        <v>0.16275000000000003</v>
      </c>
      <c r="O109" s="340">
        <f t="shared" si="39"/>
        <v>0.16275000000000003</v>
      </c>
      <c r="P109" s="340">
        <f t="shared" si="39"/>
        <v>0.16275000000000003</v>
      </c>
      <c r="Q109" s="340">
        <f t="shared" si="39"/>
        <v>0.16275000000000003</v>
      </c>
      <c r="R109" s="340">
        <f t="shared" si="39"/>
        <v>0.16275000000000003</v>
      </c>
      <c r="S109" s="340">
        <f t="shared" si="39"/>
        <v>0.16275000000000003</v>
      </c>
      <c r="T109" s="340">
        <f t="shared" si="39"/>
        <v>0.16275000000000003</v>
      </c>
      <c r="U109" s="340">
        <f t="shared" si="39"/>
        <v>0.16275000000000003</v>
      </c>
      <c r="V109" s="340">
        <f t="shared" si="39"/>
        <v>0.16275000000000003</v>
      </c>
      <c r="W109" s="340">
        <f t="shared" si="39"/>
        <v>0.16275000000000003</v>
      </c>
      <c r="X109" s="340">
        <f t="shared" si="39"/>
        <v>0.16275000000000003</v>
      </c>
      <c r="Y109" s="340">
        <f t="shared" si="39"/>
        <v>0.16275000000000003</v>
      </c>
      <c r="Z109" s="340">
        <f t="shared" si="39"/>
        <v>0.16275000000000003</v>
      </c>
      <c r="AA109" s="340">
        <f t="shared" si="39"/>
        <v>0.16275000000000003</v>
      </c>
      <c r="AB109" s="340">
        <f t="shared" si="39"/>
        <v>0.16275000000000003</v>
      </c>
      <c r="AC109" s="340">
        <f t="shared" si="39"/>
        <v>0.16275000000000003</v>
      </c>
      <c r="AD109" s="340">
        <f t="shared" si="39"/>
        <v>0.16275000000000003</v>
      </c>
      <c r="AE109" s="340">
        <f t="shared" si="39"/>
        <v>0.16275000000000003</v>
      </c>
      <c r="AF109" s="340">
        <f t="shared" si="39"/>
        <v>0.16275000000000003</v>
      </c>
      <c r="AG109" s="340">
        <f t="shared" si="39"/>
        <v>0.16275000000000003</v>
      </c>
      <c r="AH109" s="340">
        <f t="shared" si="39"/>
        <v>0.16275000000000003</v>
      </c>
      <c r="AI109" s="340">
        <f t="shared" si="39"/>
        <v>0.16275000000000003</v>
      </c>
      <c r="AJ109" s="340">
        <f t="shared" si="39"/>
        <v>0.16275000000000003</v>
      </c>
      <c r="AK109" s="340">
        <f t="shared" si="39"/>
        <v>0.16275000000000003</v>
      </c>
      <c r="AL109" s="340">
        <f t="shared" si="39"/>
        <v>0.16275000000000003</v>
      </c>
      <c r="AM109" s="340">
        <f t="shared" si="39"/>
        <v>0.16275000000000003</v>
      </c>
      <c r="AN109" s="340">
        <f t="shared" si="39"/>
        <v>0.16275000000000003</v>
      </c>
      <c r="AO109" s="340">
        <f t="shared" si="39"/>
        <v>0.16275000000000003</v>
      </c>
      <c r="AP109" s="340">
        <f t="shared" si="39"/>
        <v>0.16275000000000003</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2" t="s">
        <v>576</v>
      </c>
      <c r="C116" s="483"/>
      <c r="D116" s="482" t="s">
        <v>577</v>
      </c>
      <c r="E116" s="483"/>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0.5</v>
      </c>
      <c r="H118" s="338" t="s">
        <v>579</v>
      </c>
      <c r="I118" s="338">
        <f>$B$110*G118</f>
        <v>0.46500000000000002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0.5</v>
      </c>
      <c r="H120" s="338" t="s">
        <v>579</v>
      </c>
      <c r="I120" s="343">
        <f>I118</f>
        <v>0.46500000000000002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71" t="s">
        <v>284</v>
      </c>
      <c r="E122" s="353" t="s">
        <v>584</v>
      </c>
      <c r="F122" s="354">
        <v>35</v>
      </c>
      <c r="G122" s="472"/>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1"/>
      <c r="E123" s="353" t="s">
        <v>585</v>
      </c>
      <c r="F123" s="354">
        <v>30</v>
      </c>
      <c r="G123" s="472"/>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1"/>
      <c r="E124" s="353" t="s">
        <v>588</v>
      </c>
      <c r="F124" s="354">
        <v>30</v>
      </c>
      <c r="G124" s="472"/>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1"/>
      <c r="E125" s="353" t="s">
        <v>589</v>
      </c>
      <c r="F125" s="354">
        <v>30</v>
      </c>
      <c r="G125" s="472"/>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7469515</v>
      </c>
      <c r="C126" s="359">
        <f>'6.2. Паспорт фин осв ввод'!D24*1000000</f>
        <v>7469515</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627</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628</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hidden="1"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hidden="1"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hidden="1"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hidden="1"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46" sqref="J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8" t="str">
        <f>'1. паспорт местоположение'!A5:C5</f>
        <v>Год раскрытия информации: 2022 год</v>
      </c>
      <c r="B5" s="418"/>
      <c r="C5" s="418"/>
      <c r="D5" s="418"/>
      <c r="E5" s="418"/>
      <c r="F5" s="418"/>
      <c r="G5" s="418"/>
      <c r="H5" s="418"/>
      <c r="I5" s="418"/>
      <c r="J5" s="418"/>
      <c r="K5" s="418"/>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5" t="s">
        <v>7</v>
      </c>
      <c r="B7" s="425"/>
      <c r="C7" s="425"/>
      <c r="D7" s="425"/>
      <c r="E7" s="425"/>
      <c r="F7" s="425"/>
      <c r="G7" s="425"/>
      <c r="H7" s="425"/>
      <c r="I7" s="425"/>
      <c r="J7" s="425"/>
      <c r="K7" s="425"/>
    </row>
    <row r="8" spans="1:43" ht="18.75" x14ac:dyDescent="0.25">
      <c r="A8" s="425"/>
      <c r="B8" s="425"/>
      <c r="C8" s="425"/>
      <c r="D8" s="425"/>
      <c r="E8" s="425"/>
      <c r="F8" s="425"/>
      <c r="G8" s="425"/>
      <c r="H8" s="425"/>
      <c r="I8" s="425"/>
      <c r="J8" s="425"/>
      <c r="K8" s="425"/>
    </row>
    <row r="9" spans="1:43"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row>
    <row r="10" spans="1:43" x14ac:dyDescent="0.25">
      <c r="A10" s="429" t="s">
        <v>6</v>
      </c>
      <c r="B10" s="429"/>
      <c r="C10" s="429"/>
      <c r="D10" s="429"/>
      <c r="E10" s="429"/>
      <c r="F10" s="429"/>
      <c r="G10" s="429"/>
      <c r="H10" s="429"/>
      <c r="I10" s="429"/>
      <c r="J10" s="429"/>
      <c r="K10" s="429"/>
    </row>
    <row r="11" spans="1:43" ht="18.75" x14ac:dyDescent="0.25">
      <c r="A11" s="425"/>
      <c r="B11" s="425"/>
      <c r="C11" s="425"/>
      <c r="D11" s="425"/>
      <c r="E11" s="425"/>
      <c r="F11" s="425"/>
      <c r="G11" s="425"/>
      <c r="H11" s="425"/>
      <c r="I11" s="425"/>
      <c r="J11" s="425"/>
      <c r="K11" s="425"/>
    </row>
    <row r="12" spans="1:43" x14ac:dyDescent="0.25">
      <c r="A12" s="430" t="str">
        <f>'1. паспорт местоположение'!A12:C12</f>
        <v>L_21-07</v>
      </c>
      <c r="B12" s="430"/>
      <c r="C12" s="430"/>
      <c r="D12" s="430"/>
      <c r="E12" s="430"/>
      <c r="F12" s="430"/>
      <c r="G12" s="430"/>
      <c r="H12" s="430"/>
      <c r="I12" s="430"/>
      <c r="J12" s="430"/>
      <c r="K12" s="430"/>
    </row>
    <row r="13" spans="1:43" x14ac:dyDescent="0.25">
      <c r="A13" s="429" t="s">
        <v>5</v>
      </c>
      <c r="B13" s="429"/>
      <c r="C13" s="429"/>
      <c r="D13" s="429"/>
      <c r="E13" s="429"/>
      <c r="F13" s="429"/>
      <c r="G13" s="429"/>
      <c r="H13" s="429"/>
      <c r="I13" s="429"/>
      <c r="J13" s="429"/>
      <c r="K13" s="429"/>
    </row>
    <row r="14" spans="1:43" ht="18.75" x14ac:dyDescent="0.25">
      <c r="A14" s="431"/>
      <c r="B14" s="431"/>
      <c r="C14" s="431"/>
      <c r="D14" s="431"/>
      <c r="E14" s="431"/>
      <c r="F14" s="431"/>
      <c r="G14" s="431"/>
      <c r="H14" s="431"/>
      <c r="I14" s="431"/>
      <c r="J14" s="431"/>
      <c r="K14" s="431"/>
    </row>
    <row r="15" spans="1:43" x14ac:dyDescent="0.25">
      <c r="A15" s="423" t="str">
        <f>'1. паспорт местоположение'!A15:C15</f>
        <v>Строительство сетей электроснабжения квартала жилых домов в г Пионерском, ул Октябрьская , 13</v>
      </c>
      <c r="B15" s="423"/>
      <c r="C15" s="423"/>
      <c r="D15" s="423"/>
      <c r="E15" s="423"/>
      <c r="F15" s="423"/>
      <c r="G15" s="423"/>
      <c r="H15" s="423"/>
      <c r="I15" s="423"/>
      <c r="J15" s="423"/>
      <c r="K15" s="423"/>
    </row>
    <row r="16" spans="1:43" x14ac:dyDescent="0.25">
      <c r="A16" s="419" t="s">
        <v>4</v>
      </c>
      <c r="B16" s="419"/>
      <c r="C16" s="419"/>
      <c r="D16" s="419"/>
      <c r="E16" s="419"/>
      <c r="F16" s="419"/>
      <c r="G16" s="419"/>
      <c r="H16" s="419"/>
      <c r="I16" s="419"/>
      <c r="J16" s="419"/>
      <c r="K16" s="419"/>
    </row>
    <row r="17" spans="1:11" ht="15.75" customHeight="1" x14ac:dyDescent="0.25"/>
    <row r="18" spans="1:11" x14ac:dyDescent="0.25">
      <c r="K18" s="70"/>
    </row>
    <row r="19" spans="1:11" ht="15.75" customHeight="1" x14ac:dyDescent="0.25">
      <c r="A19" s="497" t="s">
        <v>392</v>
      </c>
      <c r="B19" s="497"/>
      <c r="C19" s="497"/>
      <c r="D19" s="497"/>
      <c r="E19" s="497"/>
      <c r="F19" s="497"/>
      <c r="G19" s="497"/>
      <c r="H19" s="497"/>
      <c r="I19" s="497"/>
      <c r="J19" s="497"/>
      <c r="K19" s="497"/>
    </row>
    <row r="20" spans="1:11" x14ac:dyDescent="0.25">
      <c r="A20" s="48"/>
      <c r="B20" s="48"/>
      <c r="C20" s="69"/>
      <c r="D20" s="69"/>
      <c r="E20" s="69"/>
      <c r="F20" s="69"/>
      <c r="G20" s="69"/>
      <c r="H20" s="69"/>
      <c r="I20" s="69"/>
      <c r="J20" s="69"/>
      <c r="K20" s="69"/>
    </row>
    <row r="21" spans="1:11" ht="28.5" customHeight="1" x14ac:dyDescent="0.25">
      <c r="A21" s="491" t="s">
        <v>199</v>
      </c>
      <c r="B21" s="491" t="s">
        <v>483</v>
      </c>
      <c r="C21" s="491" t="s">
        <v>351</v>
      </c>
      <c r="D21" s="491"/>
      <c r="E21" s="491"/>
      <c r="F21" s="491"/>
      <c r="G21" s="491"/>
      <c r="H21" s="491"/>
      <c r="I21" s="492" t="s">
        <v>198</v>
      </c>
      <c r="J21" s="493" t="s">
        <v>352</v>
      </c>
      <c r="K21" s="491" t="s">
        <v>197</v>
      </c>
    </row>
    <row r="22" spans="1:11" ht="58.5" customHeight="1" x14ac:dyDescent="0.25">
      <c r="A22" s="491"/>
      <c r="B22" s="491"/>
      <c r="C22" s="496" t="s">
        <v>534</v>
      </c>
      <c r="D22" s="496"/>
      <c r="E22" s="496" t="s">
        <v>9</v>
      </c>
      <c r="F22" s="496"/>
      <c r="G22" s="496" t="s">
        <v>535</v>
      </c>
      <c r="H22" s="496"/>
      <c r="I22" s="492"/>
      <c r="J22" s="494"/>
      <c r="K22" s="491"/>
    </row>
    <row r="23" spans="1:11" ht="31.5" x14ac:dyDescent="0.25">
      <c r="A23" s="491"/>
      <c r="B23" s="491"/>
      <c r="C23" s="199" t="s">
        <v>196</v>
      </c>
      <c r="D23" s="199" t="s">
        <v>195</v>
      </c>
      <c r="E23" s="199" t="s">
        <v>196</v>
      </c>
      <c r="F23" s="199" t="s">
        <v>195</v>
      </c>
      <c r="G23" s="199" t="s">
        <v>196</v>
      </c>
      <c r="H23" s="199" t="s">
        <v>195</v>
      </c>
      <c r="I23" s="492"/>
      <c r="J23" s="495"/>
      <c r="K23" s="491"/>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413"/>
      <c r="H26" s="413">
        <v>44088</v>
      </c>
      <c r="I26" s="218"/>
      <c r="J26" s="195"/>
      <c r="K26" s="196"/>
    </row>
    <row r="27" spans="1:11" s="51" customFormat="1" ht="31.5" x14ac:dyDescent="0.25">
      <c r="A27" s="204" t="s">
        <v>486</v>
      </c>
      <c r="B27" s="209" t="s">
        <v>487</v>
      </c>
      <c r="C27" s="206" t="s">
        <v>537</v>
      </c>
      <c r="D27" s="206" t="s">
        <v>537</v>
      </c>
      <c r="E27" s="217">
        <v>42807</v>
      </c>
      <c r="F27" s="217">
        <v>42807</v>
      </c>
      <c r="G27" s="413" t="s">
        <v>435</v>
      </c>
      <c r="H27" s="413" t="s">
        <v>435</v>
      </c>
      <c r="I27" s="218"/>
      <c r="J27" s="195"/>
      <c r="K27" s="196"/>
    </row>
    <row r="28" spans="1:11" s="51" customFormat="1" ht="63" x14ac:dyDescent="0.25">
      <c r="A28" s="204" t="s">
        <v>489</v>
      </c>
      <c r="B28" s="209" t="s">
        <v>488</v>
      </c>
      <c r="C28" s="206" t="s">
        <v>537</v>
      </c>
      <c r="D28" s="206" t="s">
        <v>537</v>
      </c>
      <c r="E28" s="217" t="s">
        <v>435</v>
      </c>
      <c r="F28" s="217" t="s">
        <v>435</v>
      </c>
      <c r="G28" s="413" t="s">
        <v>435</v>
      </c>
      <c r="H28" s="413" t="s">
        <v>435</v>
      </c>
      <c r="I28" s="218"/>
      <c r="J28" s="195"/>
      <c r="K28" s="196"/>
    </row>
    <row r="29" spans="1:11" s="51" customFormat="1" ht="31.5" x14ac:dyDescent="0.25">
      <c r="A29" s="204" t="s">
        <v>491</v>
      </c>
      <c r="B29" s="209" t="s">
        <v>490</v>
      </c>
      <c r="C29" s="206" t="s">
        <v>537</v>
      </c>
      <c r="D29" s="206" t="s">
        <v>537</v>
      </c>
      <c r="E29" s="217" t="s">
        <v>435</v>
      </c>
      <c r="F29" s="217" t="s">
        <v>435</v>
      </c>
      <c r="G29" s="413" t="s">
        <v>435</v>
      </c>
      <c r="H29" s="413" t="s">
        <v>435</v>
      </c>
      <c r="I29" s="218"/>
      <c r="J29" s="195"/>
      <c r="K29" s="196"/>
    </row>
    <row r="30" spans="1:11" s="51" customFormat="1" ht="31.5" x14ac:dyDescent="0.25">
      <c r="A30" s="204" t="s">
        <v>493</v>
      </c>
      <c r="B30" s="209" t="s">
        <v>492</v>
      </c>
      <c r="C30" s="206" t="s">
        <v>537</v>
      </c>
      <c r="D30" s="206" t="s">
        <v>537</v>
      </c>
      <c r="E30" s="217" t="s">
        <v>435</v>
      </c>
      <c r="F30" s="217" t="s">
        <v>435</v>
      </c>
      <c r="G30" s="413" t="s">
        <v>435</v>
      </c>
      <c r="H30" s="413" t="s">
        <v>435</v>
      </c>
      <c r="I30" s="218"/>
      <c r="J30" s="195"/>
      <c r="K30" s="196"/>
    </row>
    <row r="31" spans="1:11" s="51" customFormat="1" ht="31.5" x14ac:dyDescent="0.25">
      <c r="A31" s="204" t="s">
        <v>495</v>
      </c>
      <c r="B31" s="209" t="s">
        <v>494</v>
      </c>
      <c r="C31" s="206" t="s">
        <v>537</v>
      </c>
      <c r="D31" s="206" t="s">
        <v>537</v>
      </c>
      <c r="E31" s="217">
        <v>41806</v>
      </c>
      <c r="F31" s="217">
        <v>41806</v>
      </c>
      <c r="G31" s="413" t="s">
        <v>435</v>
      </c>
      <c r="H31" s="413" t="s">
        <v>435</v>
      </c>
      <c r="I31" s="218"/>
      <c r="J31" s="195"/>
      <c r="K31" s="196"/>
    </row>
    <row r="32" spans="1:11" ht="31.5" x14ac:dyDescent="0.25">
      <c r="A32" s="204" t="s">
        <v>497</v>
      </c>
      <c r="B32" s="209" t="s">
        <v>496</v>
      </c>
      <c r="C32" s="206" t="s">
        <v>537</v>
      </c>
      <c r="D32" s="206" t="s">
        <v>537</v>
      </c>
      <c r="E32" s="217">
        <v>42597</v>
      </c>
      <c r="F32" s="217">
        <v>42597</v>
      </c>
      <c r="G32" s="413" t="s">
        <v>435</v>
      </c>
      <c r="H32" s="413" t="s">
        <v>435</v>
      </c>
      <c r="I32" s="218"/>
      <c r="J32" s="195"/>
      <c r="K32" s="196"/>
    </row>
    <row r="33" spans="1:11" ht="47.25" x14ac:dyDescent="0.25">
      <c r="A33" s="204" t="s">
        <v>499</v>
      </c>
      <c r="B33" s="209" t="s">
        <v>498</v>
      </c>
      <c r="C33" s="206" t="s">
        <v>537</v>
      </c>
      <c r="D33" s="206" t="s">
        <v>537</v>
      </c>
      <c r="E33" s="217">
        <v>42720</v>
      </c>
      <c r="F33" s="217">
        <v>42720</v>
      </c>
      <c r="G33" s="413" t="s">
        <v>435</v>
      </c>
      <c r="H33" s="413" t="s">
        <v>435</v>
      </c>
      <c r="I33" s="218"/>
      <c r="J33" s="195"/>
      <c r="K33" s="196"/>
    </row>
    <row r="34" spans="1:11" ht="63" x14ac:dyDescent="0.25">
      <c r="A34" s="204" t="s">
        <v>501</v>
      </c>
      <c r="B34" s="209" t="s">
        <v>500</v>
      </c>
      <c r="C34" s="206" t="s">
        <v>537</v>
      </c>
      <c r="D34" s="206" t="s">
        <v>537</v>
      </c>
      <c r="E34" s="217" t="s">
        <v>435</v>
      </c>
      <c r="F34" s="217" t="s">
        <v>435</v>
      </c>
      <c r="G34" s="413" t="s">
        <v>435</v>
      </c>
      <c r="H34" s="413" t="s">
        <v>435</v>
      </c>
      <c r="I34" s="218"/>
      <c r="J34" s="197"/>
      <c r="K34" s="197"/>
    </row>
    <row r="35" spans="1:11" ht="31.5" x14ac:dyDescent="0.25">
      <c r="A35" s="204" t="s">
        <v>502</v>
      </c>
      <c r="B35" s="209" t="s">
        <v>193</v>
      </c>
      <c r="C35" s="206" t="s">
        <v>537</v>
      </c>
      <c r="D35" s="206" t="s">
        <v>537</v>
      </c>
      <c r="E35" s="217">
        <v>42731</v>
      </c>
      <c r="F35" s="217">
        <v>42731</v>
      </c>
      <c r="G35" s="413">
        <v>44075</v>
      </c>
      <c r="H35" s="413">
        <v>44091</v>
      </c>
      <c r="I35" s="218"/>
      <c r="J35" s="197"/>
      <c r="K35" s="197"/>
    </row>
    <row r="36" spans="1:11" ht="31.5" x14ac:dyDescent="0.25">
      <c r="A36" s="204" t="s">
        <v>504</v>
      </c>
      <c r="B36" s="209" t="s">
        <v>503</v>
      </c>
      <c r="C36" s="206" t="s">
        <v>537</v>
      </c>
      <c r="D36" s="206" t="s">
        <v>537</v>
      </c>
      <c r="E36" s="217">
        <v>42993</v>
      </c>
      <c r="F36" s="217">
        <v>42993</v>
      </c>
      <c r="G36" s="413" t="s">
        <v>435</v>
      </c>
      <c r="H36" s="413" t="s">
        <v>435</v>
      </c>
      <c r="I36" s="218"/>
      <c r="J36" s="208"/>
      <c r="K36" s="196"/>
    </row>
    <row r="37" spans="1:11" x14ac:dyDescent="0.25">
      <c r="A37" s="204" t="s">
        <v>505</v>
      </c>
      <c r="B37" s="209" t="s">
        <v>192</v>
      </c>
      <c r="C37" s="206" t="s">
        <v>537</v>
      </c>
      <c r="D37" s="206" t="s">
        <v>537</v>
      </c>
      <c r="E37" s="217">
        <v>43054</v>
      </c>
      <c r="F37" s="217">
        <v>43305</v>
      </c>
      <c r="G37" s="413" t="s">
        <v>435</v>
      </c>
      <c r="H37" s="413" t="s">
        <v>435</v>
      </c>
      <c r="I37" s="218"/>
      <c r="J37" s="198"/>
      <c r="K37" s="196"/>
    </row>
    <row r="38" spans="1:11" x14ac:dyDescent="0.25">
      <c r="A38" s="207" t="s">
        <v>506</v>
      </c>
      <c r="B38" s="210" t="s">
        <v>191</v>
      </c>
      <c r="C38" s="206" t="s">
        <v>537</v>
      </c>
      <c r="D38" s="206" t="s">
        <v>537</v>
      </c>
      <c r="E38" s="217"/>
      <c r="F38" s="217"/>
      <c r="G38" s="413"/>
      <c r="H38" s="413"/>
      <c r="I38" s="218"/>
      <c r="J38" s="196"/>
      <c r="K38" s="196"/>
    </row>
    <row r="39" spans="1:11" ht="63" x14ac:dyDescent="0.25">
      <c r="A39" s="204" t="s">
        <v>508</v>
      </c>
      <c r="B39" s="209" t="s">
        <v>507</v>
      </c>
      <c r="C39" s="206" t="s">
        <v>537</v>
      </c>
      <c r="D39" s="206" t="s">
        <v>537</v>
      </c>
      <c r="E39" s="217">
        <v>42843</v>
      </c>
      <c r="F39" s="217">
        <v>42843</v>
      </c>
      <c r="G39" s="413"/>
      <c r="H39" s="413"/>
      <c r="I39" s="218"/>
      <c r="J39" s="196"/>
      <c r="K39" s="196"/>
    </row>
    <row r="40" spans="1:11" x14ac:dyDescent="0.25">
      <c r="A40" s="204" t="s">
        <v>510</v>
      </c>
      <c r="B40" s="209" t="s">
        <v>509</v>
      </c>
      <c r="C40" s="206" t="s">
        <v>537</v>
      </c>
      <c r="D40" s="206" t="s">
        <v>537</v>
      </c>
      <c r="E40" s="217">
        <v>43038</v>
      </c>
      <c r="F40" s="217">
        <v>43038</v>
      </c>
      <c r="G40" s="413">
        <v>44090</v>
      </c>
      <c r="H40" s="413">
        <v>44134</v>
      </c>
      <c r="I40" s="218"/>
      <c r="J40" s="196"/>
      <c r="K40" s="196"/>
    </row>
    <row r="41" spans="1:11" ht="47.25" x14ac:dyDescent="0.25">
      <c r="A41" s="204" t="s">
        <v>512</v>
      </c>
      <c r="B41" s="210" t="s">
        <v>511</v>
      </c>
      <c r="C41" s="206" t="s">
        <v>537</v>
      </c>
      <c r="D41" s="206" t="s">
        <v>537</v>
      </c>
      <c r="E41" s="217"/>
      <c r="F41" s="217"/>
      <c r="G41" s="413"/>
      <c r="H41" s="413"/>
      <c r="I41" s="218"/>
      <c r="J41" s="196"/>
      <c r="K41" s="196"/>
    </row>
    <row r="42" spans="1:11" ht="31.5" x14ac:dyDescent="0.25">
      <c r="A42" s="204" t="s">
        <v>514</v>
      </c>
      <c r="B42" s="209" t="s">
        <v>513</v>
      </c>
      <c r="C42" s="206" t="s">
        <v>537</v>
      </c>
      <c r="D42" s="206" t="s">
        <v>537</v>
      </c>
      <c r="E42" s="217">
        <v>43070</v>
      </c>
      <c r="F42" s="217">
        <v>43097</v>
      </c>
      <c r="G42" s="413" t="s">
        <v>435</v>
      </c>
      <c r="H42" s="413" t="s">
        <v>435</v>
      </c>
      <c r="I42" s="218"/>
      <c r="J42" s="196"/>
      <c r="K42" s="196"/>
    </row>
    <row r="43" spans="1:11" x14ac:dyDescent="0.25">
      <c r="A43" s="204" t="s">
        <v>515</v>
      </c>
      <c r="B43" s="209" t="s">
        <v>190</v>
      </c>
      <c r="C43" s="233" t="s">
        <v>537</v>
      </c>
      <c r="D43" s="233" t="s">
        <v>537</v>
      </c>
      <c r="E43" s="217">
        <v>43054</v>
      </c>
      <c r="F43" s="217">
        <v>43218</v>
      </c>
      <c r="G43" s="413">
        <v>44090</v>
      </c>
      <c r="H43" s="413">
        <v>44134</v>
      </c>
      <c r="I43" s="218"/>
      <c r="J43" s="196"/>
      <c r="K43" s="196"/>
    </row>
    <row r="44" spans="1:11" x14ac:dyDescent="0.25">
      <c r="A44" s="204" t="s">
        <v>516</v>
      </c>
      <c r="B44" s="209" t="s">
        <v>189</v>
      </c>
      <c r="C44" s="233" t="s">
        <v>537</v>
      </c>
      <c r="D44" s="233" t="s">
        <v>537</v>
      </c>
      <c r="E44" s="217">
        <v>43084</v>
      </c>
      <c r="F44" s="217">
        <v>43266</v>
      </c>
      <c r="G44" s="413">
        <v>44090</v>
      </c>
      <c r="H44" s="413">
        <v>44195</v>
      </c>
      <c r="I44" s="218"/>
      <c r="J44" s="196"/>
      <c r="K44" s="196"/>
    </row>
    <row r="45" spans="1:11" ht="78.75" x14ac:dyDescent="0.25">
      <c r="A45" s="204" t="s">
        <v>518</v>
      </c>
      <c r="B45" s="209" t="s">
        <v>517</v>
      </c>
      <c r="C45" s="233" t="s">
        <v>537</v>
      </c>
      <c r="D45" s="233" t="s">
        <v>537</v>
      </c>
      <c r="E45" s="217"/>
      <c r="F45" s="217"/>
      <c r="G45" s="414" t="s">
        <v>435</v>
      </c>
      <c r="H45" s="414" t="s">
        <v>435</v>
      </c>
      <c r="I45" s="218"/>
      <c r="J45" s="196"/>
      <c r="K45" s="196"/>
    </row>
    <row r="46" spans="1:11" ht="157.5" x14ac:dyDescent="0.25">
      <c r="A46" s="204" t="s">
        <v>520</v>
      </c>
      <c r="B46" s="209" t="s">
        <v>519</v>
      </c>
      <c r="C46" s="233" t="s">
        <v>537</v>
      </c>
      <c r="D46" s="233" t="s">
        <v>537</v>
      </c>
      <c r="E46" s="217">
        <v>43319</v>
      </c>
      <c r="F46" s="217">
        <v>43319</v>
      </c>
      <c r="G46" s="414" t="s">
        <v>435</v>
      </c>
      <c r="H46" s="414" t="s">
        <v>435</v>
      </c>
      <c r="I46" s="218"/>
      <c r="J46" s="196"/>
      <c r="K46" s="196"/>
    </row>
    <row r="47" spans="1:11" x14ac:dyDescent="0.25">
      <c r="A47" s="204" t="s">
        <v>530</v>
      </c>
      <c r="B47" s="209" t="s">
        <v>188</v>
      </c>
      <c r="C47" s="234" t="s">
        <v>537</v>
      </c>
      <c r="D47" s="233" t="s">
        <v>537</v>
      </c>
      <c r="E47" s="217">
        <v>43220</v>
      </c>
      <c r="F47" s="217">
        <v>43318</v>
      </c>
      <c r="G47" s="413">
        <v>44090</v>
      </c>
      <c r="H47" s="413">
        <v>44195</v>
      </c>
      <c r="I47" s="218"/>
      <c r="J47" s="196"/>
      <c r="K47" s="196"/>
    </row>
    <row r="48" spans="1:11" ht="31.5" x14ac:dyDescent="0.25">
      <c r="A48" s="204" t="s">
        <v>521</v>
      </c>
      <c r="B48" s="210" t="s">
        <v>187</v>
      </c>
      <c r="C48" s="206" t="s">
        <v>537</v>
      </c>
      <c r="D48" s="206" t="s">
        <v>537</v>
      </c>
      <c r="E48" s="217"/>
      <c r="F48" s="217"/>
      <c r="G48" s="413"/>
      <c r="H48" s="413"/>
      <c r="I48" s="218"/>
      <c r="J48" s="196"/>
      <c r="K48" s="196"/>
    </row>
    <row r="49" spans="1:11" ht="31.5" x14ac:dyDescent="0.25">
      <c r="A49" s="204" t="s">
        <v>531</v>
      </c>
      <c r="B49" s="209" t="s">
        <v>186</v>
      </c>
      <c r="C49" s="206" t="s">
        <v>537</v>
      </c>
      <c r="D49" s="206" t="s">
        <v>537</v>
      </c>
      <c r="E49" s="217">
        <v>43318</v>
      </c>
      <c r="F49" s="217">
        <v>43320</v>
      </c>
      <c r="G49" s="413">
        <v>44090</v>
      </c>
      <c r="H49" s="413">
        <v>44195</v>
      </c>
      <c r="I49" s="218"/>
      <c r="J49" s="196"/>
      <c r="K49" s="196"/>
    </row>
    <row r="50" spans="1:11" ht="78.75" x14ac:dyDescent="0.25">
      <c r="A50" s="207" t="s">
        <v>523</v>
      </c>
      <c r="B50" s="209" t="s">
        <v>522</v>
      </c>
      <c r="C50" s="206" t="s">
        <v>537</v>
      </c>
      <c r="D50" s="206" t="s">
        <v>537</v>
      </c>
      <c r="E50" s="217">
        <v>43343</v>
      </c>
      <c r="F50" s="217">
        <v>43343</v>
      </c>
      <c r="G50" s="413">
        <v>44195</v>
      </c>
      <c r="H50" s="413">
        <v>44227</v>
      </c>
      <c r="I50" s="218"/>
      <c r="J50" s="196"/>
      <c r="K50" s="196"/>
    </row>
    <row r="51" spans="1:11" ht="63" x14ac:dyDescent="0.25">
      <c r="A51" s="204" t="s">
        <v>525</v>
      </c>
      <c r="B51" s="209" t="s">
        <v>524</v>
      </c>
      <c r="C51" s="206" t="s">
        <v>537</v>
      </c>
      <c r="D51" s="206" t="s">
        <v>537</v>
      </c>
      <c r="E51" s="217">
        <v>43343</v>
      </c>
      <c r="F51" s="217">
        <v>43343</v>
      </c>
      <c r="G51" s="413">
        <v>44195</v>
      </c>
      <c r="H51" s="413">
        <v>44227</v>
      </c>
      <c r="I51" s="218"/>
      <c r="J51" s="196"/>
      <c r="K51" s="196"/>
    </row>
    <row r="52" spans="1:11" ht="63" x14ac:dyDescent="0.25">
      <c r="A52" s="204" t="s">
        <v>526</v>
      </c>
      <c r="B52" s="209" t="s">
        <v>185</v>
      </c>
      <c r="C52" s="206" t="s">
        <v>537</v>
      </c>
      <c r="D52" s="206" t="s">
        <v>537</v>
      </c>
      <c r="E52" s="217"/>
      <c r="F52" s="217"/>
      <c r="G52" s="413"/>
      <c r="H52" s="413">
        <v>44317</v>
      </c>
      <c r="I52" s="218"/>
      <c r="J52" s="196"/>
      <c r="K52" s="196"/>
    </row>
    <row r="53" spans="1:11" ht="31.5" x14ac:dyDescent="0.25">
      <c r="A53" s="204" t="s">
        <v>528</v>
      </c>
      <c r="B53" s="209" t="s">
        <v>527</v>
      </c>
      <c r="C53" s="235" t="s">
        <v>537</v>
      </c>
      <c r="D53" s="235" t="s">
        <v>537</v>
      </c>
      <c r="E53" s="217">
        <v>43343</v>
      </c>
      <c r="F53" s="217">
        <v>43343</v>
      </c>
      <c r="G53" s="413">
        <v>44195</v>
      </c>
      <c r="H53" s="413">
        <v>44227</v>
      </c>
      <c r="I53" s="218"/>
      <c r="J53" s="196"/>
      <c r="K53" s="196"/>
    </row>
    <row r="54" spans="1:11" ht="31.5" x14ac:dyDescent="0.25">
      <c r="A54" s="204" t="s">
        <v>532</v>
      </c>
      <c r="B54" s="209" t="s">
        <v>184</v>
      </c>
      <c r="C54" s="235" t="s">
        <v>537</v>
      </c>
      <c r="D54" s="235" t="s">
        <v>537</v>
      </c>
      <c r="E54" s="217">
        <v>43353</v>
      </c>
      <c r="F54" s="217">
        <v>43353</v>
      </c>
      <c r="G54" s="413">
        <v>44195</v>
      </c>
      <c r="H54" s="413">
        <v>44227</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2022-03-31T07:23:08Z</dcterms:modified>
</cp:coreProperties>
</file>