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M 22-04\паспорт карта\"/>
    </mc:Choice>
  </mc:AlternateContent>
  <xr:revisionPtr revIDLastSave="0" documentId="13_ncr:1_{12CF5662-46AB-4F08-9D69-12EAF907B083}"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52" i="15" l="1"/>
  <c r="R52" i="15" s="1"/>
  <c r="R25" i="15"/>
  <c r="R26" i="15"/>
  <c r="R27" i="15"/>
  <c r="R28" i="15"/>
  <c r="R29" i="15"/>
  <c r="R30" i="15"/>
  <c r="R31" i="15"/>
  <c r="R32" i="15"/>
  <c r="R33"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R24" i="15"/>
  <c r="D30"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9" i="27"/>
  <c r="L138" i="27"/>
  <c r="J76" i="27"/>
  <c r="J65" i="27"/>
  <c r="J59" i="27" s="1"/>
  <c r="K67" i="27"/>
  <c r="B83" i="27" l="1"/>
  <c r="B72" i="27"/>
  <c r="C78" i="27"/>
  <c r="C83" i="27" s="1"/>
  <c r="C86" i="27" s="1"/>
  <c r="M139" i="27"/>
  <c r="M138" i="27"/>
  <c r="L67" i="27"/>
  <c r="K76" i="27"/>
  <c r="K65" i="27"/>
  <c r="K59" i="27" s="1"/>
  <c r="G106" i="27"/>
  <c r="H107" i="27"/>
  <c r="C88" i="27"/>
  <c r="C84" i="27"/>
  <c r="B86" i="27"/>
  <c r="B84" i="27"/>
  <c r="B89" i="27" s="1"/>
  <c r="B88" i="27"/>
  <c r="D78" i="27" l="1"/>
  <c r="D83" i="27" s="1"/>
  <c r="C89" i="27"/>
  <c r="C87" i="27"/>
  <c r="B87" i="27"/>
  <c r="B90" i="27" s="1"/>
  <c r="M67" i="27"/>
  <c r="L76" i="27"/>
  <c r="L65" i="27"/>
  <c r="L59" i="27" s="1"/>
  <c r="N138" i="27"/>
  <c r="H106" i="27"/>
  <c r="J107" i="27"/>
  <c r="D86" i="27" l="1"/>
  <c r="D87" i="27" s="1"/>
  <c r="D88" i="27"/>
  <c r="E78" i="27"/>
  <c r="E83" i="27" s="1"/>
  <c r="E86" i="27" s="1"/>
  <c r="E87" i="27" s="1"/>
  <c r="E90" i="27" s="1"/>
  <c r="E84" i="27"/>
  <c r="E89" i="27" s="1"/>
  <c r="D84" i="27"/>
  <c r="D89" i="27" s="1"/>
  <c r="E88" i="27"/>
  <c r="C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8" i="27" s="1"/>
  <c r="X90" i="27"/>
  <c r="Y72" i="27"/>
  <c r="Z71" i="27"/>
  <c r="AB80" i="27"/>
  <c r="AB66" i="27"/>
  <c r="AB68" i="27" s="1"/>
  <c r="AB79" i="27"/>
  <c r="AG106" i="27"/>
  <c r="AC49" i="27" s="1"/>
  <c r="AC58" i="27" s="1"/>
  <c r="AA75" i="27"/>
  <c r="AA70" i="27"/>
  <c r="AM138" i="27"/>
  <c r="AM139" i="27"/>
  <c r="Y84" i="27" l="1"/>
  <c r="Y89" i="27" s="1"/>
  <c r="Y86" i="27"/>
  <c r="Y87" i="27" s="1"/>
  <c r="Y90" i="27" s="1"/>
  <c r="Z78" i="27"/>
  <c r="Z83" i="27" s="1"/>
  <c r="Z86" i="27" s="1"/>
  <c r="Z87" i="27" s="1"/>
  <c r="Z90" i="27" s="1"/>
  <c r="Z72" i="27"/>
  <c r="AC80" i="27"/>
  <c r="AC66" i="27"/>
  <c r="AC68" i="27" s="1"/>
  <c r="AC79" i="27"/>
  <c r="AA71" i="27"/>
  <c r="AA78" i="27" s="1"/>
  <c r="AA83" i="27" s="1"/>
  <c r="AN139" i="27"/>
  <c r="AN138" i="27"/>
  <c r="AH106" i="27"/>
  <c r="AD49" i="27" s="1"/>
  <c r="AD58" i="27" s="1"/>
  <c r="AB75" i="27"/>
  <c r="AB70" i="27"/>
  <c r="Z84" i="27" l="1"/>
  <c r="Z89" i="27" s="1"/>
  <c r="Z88" i="27"/>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B103" i="22" l="1"/>
  <c r="T64" i="15"/>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<sst xmlns="http://schemas.openxmlformats.org/spreadsheetml/2006/main" count="1393" uniqueCount="612">
  <si>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</si>
  <si>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</si>
  <si>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</si>
  <si>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</si>
  <si>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</si>
  <si>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</si>
  <si>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</si>
  <si>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</si>
  <si>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</si>
  <si>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</si>
  <si>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</si>
  <si>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</si>
  <si>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</si>
  <si>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</si>
  <si>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</si>
  <si>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</si>
  <si>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</si>
  <si>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</si>
  <si>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</si>
  <si>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</si>
  <si>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</si>
  <si>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</si>
  <si>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</si>
  <si>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</si>
  <si>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</si>
  <si>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</si>
  <si>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</si>
  <si>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</si>
  <si>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</si>
  <si>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</si>
  <si>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</si>
  <si>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</si>
  <si>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</si>
  <si>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</si>
  <si>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</si>
  <si>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</si>
  <si>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</si>
  <si>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</si>
  <si>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</si>
  <si>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</si>
  <si>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</si>
  <si>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</si>
  <si>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</si>
  <si>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</si>
  <si>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</si>
  <si>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</si>
  <si>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</si>
  <si>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</si>
  <si>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</si>
  <si>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</si>
  <si>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</si>
  <si>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</si>
  <si>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</si>
  <si>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</si>
  <si>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</si>
  <si>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</si>
  <si>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</si>
  <si>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</si>
  <si>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</si>
  <si>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</si>
  <si>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</si>
  <si>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</si>
  <si>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</si>
  <si>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</si>
  <si>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</si>
  <si>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</si>
  <si>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</si>
  <si>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</si>
  <si>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</si>
  <si>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</si>
  <si>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</si>
  <si>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</si>
  <si>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</si>
  <si>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</si>
  <si>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</si>
  <si>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</si>
  <si>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</si>
  <si>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</si>
  <si>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</si>
  <si>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</si>
  <si>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</si>
  <si>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</si>
  <si>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</si>
  <si>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</si>
  <si>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</si>
  <si>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</si>
  <si>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</si>
  <si>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</si>
  <si>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</si>
  <si>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</si>
  <si>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</si>
  <si>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</si>
  <si>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</si>
  <si>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</si>
  <si>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</si>
  <si>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</si>
  <si>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</si>
  <si>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</si>
  <si>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</si>
  <si>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</si>
  <si>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</si>
  <si>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</si>
  <si>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</si>
  <si>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</si>
  <si>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</si>
  <si>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</si>
  <si>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</si>
  <si>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</si>
  <si>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</si>
  <si>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</si>
  <si>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</si>
  <si>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</si>
  <si>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</si>
  <si>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</si>
  <si>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</si>
  <si>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</si>
  <si>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</si>
  <si>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</si>
  <si>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</si>
  <si>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</si>
  <si>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</si>
  <si>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</si>
  <si>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</si>
  <si>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</si>
  <si>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</si>
  <si>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</si>
  <si>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</si>
  <si>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</si>
  <si>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</si>
  <si>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</si>
  <si>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</si>
  <si>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</si>
  <si>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</si>
  <si>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</si>
  <si>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</si>
  <si>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</si>
  <si>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</si>
  <si>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</si>
  <si>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</si>
  <si>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</si>
  <si>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</si>
  <si>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</si>
  <si>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</si>
  <si>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</si>
  <si>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</si>
  <si>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</si>
  <si>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</si>
  <si>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</si>
  <si>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</si>
  <si>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</si>
  <si>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</si>
  <si>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</si>
  <si>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</si>
  <si>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</si>
  <si>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</si>
  <si>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</si>
  <si>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</si>
  <si>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</si>
  <si>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</si>
  <si>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</si>
  <si>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</si>
  <si>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</si>
  <si>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</si>
  <si>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</si>
  <si>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</si>
  <si>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</si>
  <si>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</si>
  <si>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</si>
  <si>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</si>
  <si>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</si>
  <si>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</si>
  <si>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</si>
  <si>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</si>
  <si>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</si>
  <si>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</si>
  <si>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</si>
  <si>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</si>
  <si>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</si>
  <si>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</si>
  <si>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</si>
  <si>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</si>
  <si>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</si>
  <si>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</si>
  <si>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</si>
  <si>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</si>
  <si>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</si>
  <si>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</si>
  <si>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</si>
  <si>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</si>
  <si>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</si>
  <si>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</si>
  <si>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</si>
  <si>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</si>
  <si>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</si>
  <si>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</si>
  <si>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</si>
  <si>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</si>
  <si>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</si>
  <si>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</si>
  <si>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</si>
  <si>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</si>
  <si>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</si>
  <si>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</si>
  <si>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</si>
  <si>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</si>
  <si>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</si>
  <si>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</si>
  <si>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</si>
  <si>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</si>
  <si>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</si>
  <si>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</si>
  <si>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</si>
  <si>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</si>
  <si>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</si>
  <si>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</si>
  <si>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</si>
  <si>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</si>
  <si>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</si>
  <si>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</si>
  <si>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</si>
  <si>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</si>
  <si>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</si>
  <si>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</si>
  <si>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</si>
  <si>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</si>
  <si>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</si>
  <si>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</si>
  <si>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</si>
  <si>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</si>
  <si>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</si>
  <si>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</si>
  <si>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</si>
  <si>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</si>
  <si>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</si>
  <si>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</si>
  <si>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</si>
  <si>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</si>
  <si>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</si>
  <si>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</si>
  <si>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</si>
  <si>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</si>
  <si>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</si>
  <si>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</si>
  <si>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</si>
  <si>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</si>
  <si>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</si>
  <si>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</si>
  <si>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</si>
  <si>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</si>
  <si>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</si>
  <si>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</si>
  <si>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</si>
  <si>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</si>
  <si>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</si>
  <si>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</si>
  <si>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</si>
  <si>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</si>
  <si>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</si>
  <si>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</si>
  <si>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</si>
  <si>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</si>
  <si>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</si>
  <si>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</si>
  <si>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</si>
  <si>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</si>
  <si>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</si>
  <si>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</si>
  <si>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</si>
  <si>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</si>
  <si>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</si>
  <si>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</si>
  <si>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</si>
  <si>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</si>
  <si>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</si>
  <si>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</si>
  <si>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</si>
  <si>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</si>
  <si>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</si>
  <si>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</si>
  <si>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</si>
  <si>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</si>
  <si>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</si>
  <si>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</si>
  <si>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</si>
  <si>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</si>
  <si>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</si>
  <si>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</si>
  <si>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</si>
  <si>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</si>
  <si>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</si>
  <si>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</si>
  <si>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</si>
  <si>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</si>
  <si>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</si>
  <si>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</si>
  <si>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</si>
  <si>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</si>
  <si>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</si>
  <si>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</si>
  <si>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</si>
  <si>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</si>
  <si>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</si>
  <si>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</si>
  <si>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</si>
  <si>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</si>
  <si>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</si>
  <si>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</si>
  <si>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</si>
  <si>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</si>
  <si>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</si>
  <si>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</si>
  <si>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</si>
  <si>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</si>
  <si>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</si>
  <si>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</si>
  <si>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</si>
  <si>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</si>
  <si>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</si>
  <si>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</si>
  <si>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</si>
  <si>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</si>
  <si>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</si>
  <si>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</si>
  <si>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</si>
  <si>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</si>
  <si>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</si>
  <si>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</si>
  <si>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</si>
  <si>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</si>
  <si>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</si>
  <si>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</si>
  <si>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</si>
  <si>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</si>
  <si>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</si>
  <si>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</si>
  <si>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</si>
  <si>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</si>
  <si>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</si>
  <si>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</si>
  <si>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</si>
  <si>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</si>
  <si>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</si>
  <si>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</si>
  <si>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</si>
  <si>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</si>
  <si>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</si>
  <si>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</si>
  <si>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</si>
  <si>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</si>
  <si>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</si>
  <si>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</si>
  <si>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</si>
  <si>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</si>
  <si>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</si>
  <si>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</si>
  <si>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</si>
  <si>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</si>
  <si>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</si>
  <si>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</si>
  <si>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</si>
  <si>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</si>
  <si>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</si>
  <si>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</si>
  <si>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</si>
  <si>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</si>
  <si>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</si>
  <si>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</si>
  <si>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</si>
  <si>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</si>
  <si>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</si>
  <si>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</si>
  <si>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</si>
  <si>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</si>
  <si>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</si>
  <si>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</si>
  <si>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</si>
  <si>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</si>
  <si>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</si>
  <si>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</si>
  <si>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</si>
  <si>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</si>
  <si>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</si>
  <si>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</si>
  <si>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</si>
  <si>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</si>
  <si>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</si>
  <si>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</si>
  <si>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</si>
  <si>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</si>
  <si>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</si>
  <si>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</si>
  <si>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</si>
  <si>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</si>
  <si>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</si>
  <si>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</si>
  <si>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</si>
  <si>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</si>
  <si>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</si>
  <si>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</si>
  <si>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</si>
  <si>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</si>
  <si>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</si>
  <si>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</si>
  <si>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</si>
  <si>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</si>
  <si>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</si>
  <si>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</si>
  <si>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</si>
  <si>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</si>
  <si>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</si>
  <si>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</si>
  <si>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</si>
  <si>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</si>
  <si>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</si>
  <si>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</si>
  <si>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</si>
  <si>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</si>
  <si>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</si>
  <si>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</si>
  <si>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</si>
  <si>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</si>
  <si>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</si>
  <si>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</si>
  <si>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</si>
  <si>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</si>
  <si>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</si>
  <si>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</si>
  <si>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</si>
  <si>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</si>
  <si>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</si>
  <si>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</si>
  <si>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</si>
  <si>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</si>
  <si>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</si>
  <si>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</si>
  <si>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</si>
  <si>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</si>
  <si>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</si>
  <si>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</si>
  <si>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</si>
  <si>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</si>
  <si>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</si>
  <si>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</si>
  <si>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</si>
  <si>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</si>
  <si>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</si>
  <si>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</si>
  <si>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</si>
  <si>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</si>
  <si>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</si>
  <si>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</si>
  <si>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</si>
  <si>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</si>
  <si>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</si>
  <si>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</si>
  <si>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</si>
  <si>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</si>
  <si>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</si>
  <si>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</si>
  <si>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</si>
  <si>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</si>
  <si>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</si>
  <si>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</si>
  <si>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</si>
  <si>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</si>
  <si>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</si>
  <si>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</si>
  <si>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</si>
  <si>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</si>
  <si>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</si>
  <si>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</si>
  <si>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</si>
  <si>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</si>
  <si>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</si>
  <si>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</si>
  <si>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</si>
  <si>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</si>
  <si>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</si>
  <si>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</si>
  <si>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</si>
  <si>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</si>
  <si>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</si>
  <si>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</si>
  <si>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</si>
  <si>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</si>
  <si>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</si>
  <si>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</si>
  <si>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</si>
  <si>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</si>
  <si>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</si>
  <si>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</si>
  <si>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</si>
  <si>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</si>
  <si>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</si>
  <si>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</si>
  <si>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</si>
  <si>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</si>
  <si>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</si>
  <si>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</si>
  <si>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</si>
  <si>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</si>
  <si>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</si>
  <si>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</si>
  <si>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</si>
  <si>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</si>
  <si>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</si>
  <si>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</si>
  <si>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</si>
  <si>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</si>
  <si>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</si>
  <si>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</si>
  <si>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</si>
  <si>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</si>
  <si>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</si>
  <si>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</si>
  <si>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</si>
  <si>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</si>
  <si>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</si>
  <si>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</si>
  <si>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</si>
  <si>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</si>
  <si>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</si>
  <si>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</si>
  <si>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</si>
  <si>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</si>
  <si>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</si>
  <si>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</si>
  <si>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</si>
  <si>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</si>
  <si>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</si>
  <si>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</si>
  <si>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</si>
  <si>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</si>
  <si>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</si>
  <si>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</si>
  <si>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</si>
  <si>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</si>
  <si>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</si>
  <si>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</si>
  <si>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</si>
  <si>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</si>
  <si>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</si>
  <si>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</si>
  <si>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</si>
  <si>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</si>
  <si>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</si>
  <si>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</si>
  <si>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</si>
  <si>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</si>
  <si>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</si>
  <si>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</si>
  <si>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</si>
  <si>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</si>
  <si>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</si>
  <si>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</si>
  <si>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</si>
  <si>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</si>
  <si>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</si>
  <si>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</si>
  <si>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</si>
  <si>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</si>
  <si>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</si>
  <si>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</si>
  <si>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</si>
  <si>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</si>
  <si>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</si>
  <si>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</si>
  <si>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</si>
  <si>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</si>
  <si>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</si>
  <si>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</si>
  <si>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</si>
  <si>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</si>
  <si>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</si>
  <si>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</si>
  <si>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</si>
  <si>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</si>
  <si>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</si>
  <si>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</si>
  <si>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</si>
  <si>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</si>
  <si>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</si>
  <si>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</si>
  <si>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</si>
  <si>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</si>
  <si>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</si>
  <si>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</si>
  <si>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</si>
  <si>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</si>
  <si>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</si>
  <si>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</si>
  <si>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</si>
  <si>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</si>
  <si>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</si>
  <si>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</si>
  <si>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</si>
  <si>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</si>
  <si>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</si>
  <si>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</si>
  <si>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</si>
  <si>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</si>
  <si>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</si>
  <si>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</si>
  <si>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</si>
  <si>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M 22-04</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</si>
  <si>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</si>
  <si>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 в сфере электроэнергетики</t>
  </si>
  <si>
    <t>Обновление компьютерной техники</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</si>
  <si>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</si>
  <si>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t>
  </si>
  <si>
    <t>2024 год</t>
  </si>
  <si>
    <t>Приобретение комплекта сервера Dell EMC PE R640 8B (2x Gold 6234 3.3Ghz 8C 24.75Mb/HSP  Kit/PF Kit/4x 16GB 3200Mhz Kit/PERC H750/2x 480GB SSD SATA RI/2x 1.2TB SAS 10k/4x GbE/2x 750W/iDRAC9 Ent./Bezel/Rails/3yw ProSupport NBD -792 333,33 рублей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</si>
</sst>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4" zoomScale="80" zoomScaleSheetLayoutView="80" workbookViewId="0">
      <selection activeCell="A12" sqref="A12:C12"/>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3" t="s">
        <v>549</v>
      </c>
      <c r="B5" s="403"/>
      <c r="C5" s="403"/>
      <c r="D5" s="147"/>
      <c r="E5" s="147"/>
      <c r="F5" s="147"/>
      <c r="G5" s="147"/>
      <c r="H5" s="147"/>
      <c r="I5" s="147"/>
      <c r="J5" s="147"/>
    </row>
    <row r="6" spans="1:22" s="15" customFormat="1" ht="18.75" x14ac:dyDescent="0.3">
      <c r="A6" s="163"/>
      <c r="H6" s="162"/>
    </row>
    <row r="7" spans="1:22" s="15" customFormat="1" ht="18.75" x14ac:dyDescent="0.2">
      <c r="A7" s="407" t="s">
        <v>7</v>
      </c>
      <c r="B7" s="407"/>
      <c r="C7" s="407"/>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8" t="s">
        <v>550</v>
      </c>
      <c r="B9" s="408"/>
      <c r="C9" s="408"/>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4" t="s">
        <v>6</v>
      </c>
      <c r="B10" s="404"/>
      <c r="C10" s="404"/>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6" t="s">
        <v>604</v>
      </c>
      <c r="B12" s="406"/>
      <c r="C12" s="406"/>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4" t="s">
        <v>5</v>
      </c>
      <c r="B13" s="404"/>
      <c r="C13" s="404"/>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9" t="s">
        <v>605</v>
      </c>
      <c r="B15" s="409"/>
      <c r="C15" s="409"/>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4" t="s">
        <v>4</v>
      </c>
      <c r="B16" s="404"/>
      <c r="C16" s="404"/>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5" t="s">
        <v>494</v>
      </c>
      <c r="B18" s="406"/>
      <c r="C18" s="406"/>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531</v>
      </c>
      <c r="C23" s="144" t="s">
        <v>530</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0"/>
      <c r="B24" s="401"/>
      <c r="C24" s="402"/>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538</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532</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0"/>
      <c r="B39" s="401"/>
      <c r="C39" s="40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0"/>
      <c r="B47" s="401"/>
      <c r="C47" s="402"/>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534</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534</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1,33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1,11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L25" activePane="bottomRight" state="frozen"/>
      <selection activeCell="A20" sqref="A20"/>
      <selection pane="topRight" activeCell="E20" sqref="E20"/>
      <selection pane="bottomLeft" activeCell="A25" sqref="A25"/>
      <selection pane="bottomRight" activeCell="D52" sqref="D52"/>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59"/>
      <c r="B5" s="59"/>
      <c r="C5" s="59"/>
      <c r="D5" s="59"/>
      <c r="E5" s="59"/>
      <c r="F5" s="59"/>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2" t="str">
        <f>'1. паспорт местоположение'!A12:C12</f>
        <v>M 22-04</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59"/>
      <c r="AB17" s="59"/>
    </row>
    <row r="18" spans="1:32" x14ac:dyDescent="0.25">
      <c r="A18" s="483" t="s">
        <v>479</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59"/>
      <c r="B19" s="59"/>
      <c r="C19" s="59"/>
      <c r="D19" s="59"/>
      <c r="E19" s="59"/>
      <c r="F19" s="59"/>
      <c r="AB19" s="59"/>
    </row>
    <row r="20" spans="1:32" ht="33" customHeight="1" x14ac:dyDescent="0.25">
      <c r="A20" s="484" t="s">
        <v>182</v>
      </c>
      <c r="B20" s="484" t="s">
        <v>181</v>
      </c>
      <c r="C20" s="489" t="s">
        <v>180</v>
      </c>
      <c r="D20" s="489"/>
      <c r="E20" s="490" t="s">
        <v>179</v>
      </c>
      <c r="F20" s="490"/>
      <c r="G20" s="484" t="s">
        <v>554</v>
      </c>
      <c r="H20" s="487" t="s">
        <v>553</v>
      </c>
      <c r="I20" s="488"/>
      <c r="J20" s="488"/>
      <c r="K20" s="488"/>
      <c r="L20" s="487" t="s">
        <v>540</v>
      </c>
      <c r="M20" s="488"/>
      <c r="N20" s="488"/>
      <c r="O20" s="488"/>
      <c r="P20" s="487" t="s">
        <v>539</v>
      </c>
      <c r="Q20" s="488"/>
      <c r="R20" s="488"/>
      <c r="S20" s="488"/>
      <c r="T20" s="487" t="s">
        <v>543</v>
      </c>
      <c r="U20" s="488"/>
      <c r="V20" s="488"/>
      <c r="W20" s="488"/>
      <c r="X20" s="487" t="s">
        <v>610</v>
      </c>
      <c r="Y20" s="488"/>
      <c r="Z20" s="488"/>
      <c r="AA20" s="488"/>
      <c r="AB20" s="481" t="s">
        <v>178</v>
      </c>
      <c r="AC20" s="481"/>
      <c r="AD20" s="69"/>
      <c r="AE20" s="69"/>
      <c r="AF20" s="69"/>
    </row>
    <row r="21" spans="1:32" ht="99.75" customHeight="1" x14ac:dyDescent="0.25">
      <c r="A21" s="485"/>
      <c r="B21" s="485"/>
      <c r="C21" s="489"/>
      <c r="D21" s="489"/>
      <c r="E21" s="490"/>
      <c r="F21" s="490"/>
      <c r="G21" s="485"/>
      <c r="H21" s="489" t="s">
        <v>2</v>
      </c>
      <c r="I21" s="489"/>
      <c r="J21" s="489" t="s">
        <v>555</v>
      </c>
      <c r="K21" s="489"/>
      <c r="L21" s="489" t="s">
        <v>2</v>
      </c>
      <c r="M21" s="489"/>
      <c r="N21" s="489" t="s">
        <v>555</v>
      </c>
      <c r="O21" s="489"/>
      <c r="P21" s="489" t="s">
        <v>2</v>
      </c>
      <c r="Q21" s="489"/>
      <c r="R21" s="489" t="s">
        <v>177</v>
      </c>
      <c r="S21" s="489"/>
      <c r="T21" s="489" t="s">
        <v>2</v>
      </c>
      <c r="U21" s="489"/>
      <c r="V21" s="489" t="s">
        <v>177</v>
      </c>
      <c r="W21" s="489"/>
      <c r="X21" s="489" t="s">
        <v>2</v>
      </c>
      <c r="Y21" s="489"/>
      <c r="Z21" s="489" t="s">
        <v>177</v>
      </c>
      <c r="AA21" s="489"/>
      <c r="AB21" s="481"/>
      <c r="AC21" s="481"/>
    </row>
    <row r="22" spans="1:32" ht="89.25" customHeight="1" x14ac:dyDescent="0.25">
      <c r="A22" s="486"/>
      <c r="B22" s="486"/>
      <c r="C22" s="213" t="s">
        <v>2</v>
      </c>
      <c r="D22" s="213" t="s">
        <v>177</v>
      </c>
      <c r="E22" s="192" t="s">
        <v>552</v>
      </c>
      <c r="F22" s="192" t="s">
        <v>551</v>
      </c>
      <c r="G22" s="486"/>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544</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1.331</v>
      </c>
      <c r="E24" s="227">
        <f t="shared" ref="E24:W24" si="1">SUM(E25:E29)</f>
        <v>0</v>
      </c>
      <c r="F24" s="227">
        <f>D24</f>
        <v>1.331</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D24</f>
        <v>1.331</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1.331</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1.331</v>
      </c>
      <c r="E27" s="232" t="str">
        <f t="shared" si="5"/>
        <v>нд</v>
      </c>
      <c r="F27" s="227">
        <f t="shared" si="2"/>
        <v>1.331</v>
      </c>
      <c r="G27" s="232">
        <v>0</v>
      </c>
      <c r="H27" s="227" t="s">
        <v>526</v>
      </c>
      <c r="I27" s="250">
        <v>0</v>
      </c>
      <c r="J27" s="250">
        <v>0</v>
      </c>
      <c r="K27" s="250">
        <v>0</v>
      </c>
      <c r="L27" s="227" t="s">
        <v>526</v>
      </c>
      <c r="M27" s="232">
        <v>0</v>
      </c>
      <c r="N27" s="232">
        <v>0</v>
      </c>
      <c r="O27" s="232">
        <v>0</v>
      </c>
      <c r="P27" s="227" t="s">
        <v>526</v>
      </c>
      <c r="Q27" s="232">
        <v>0</v>
      </c>
      <c r="R27" s="227">
        <f t="shared" si="3"/>
        <v>1.331</v>
      </c>
      <c r="S27" s="232">
        <v>0</v>
      </c>
      <c r="T27" s="227" t="s">
        <v>526</v>
      </c>
      <c r="U27" s="232">
        <v>0</v>
      </c>
      <c r="V27" s="232">
        <v>0</v>
      </c>
      <c r="W27" s="232">
        <v>0</v>
      </c>
      <c r="X27" s="227" t="s">
        <v>526</v>
      </c>
      <c r="Y27" s="250">
        <v>0</v>
      </c>
      <c r="Z27" s="250">
        <v>0</v>
      </c>
      <c r="AA27" s="250">
        <v>0</v>
      </c>
      <c r="AB27" s="227" t="s">
        <v>526</v>
      </c>
      <c r="AC27" s="228">
        <f t="shared" si="4"/>
        <v>1.331</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f>D27/1.2</f>
        <v>1.1091666666666666</v>
      </c>
      <c r="E30" s="227" t="str">
        <f t="shared" si="5"/>
        <v>нд</v>
      </c>
      <c r="F30" s="227">
        <f t="shared" si="2"/>
        <v>1.1091666666666666</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 t="shared" si="3"/>
        <v>1.1091666666666666</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1.1091666666666666</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1.1091666666666666</v>
      </c>
      <c r="E33" s="232" t="str">
        <f t="shared" si="5"/>
        <v>нд</v>
      </c>
      <c r="F33" s="227">
        <f t="shared" si="2"/>
        <v>1.1091666666666666</v>
      </c>
      <c r="G33" s="232">
        <v>0</v>
      </c>
      <c r="H33" s="227" t="s">
        <v>526</v>
      </c>
      <c r="I33" s="250">
        <v>0</v>
      </c>
      <c r="J33" s="250">
        <v>0</v>
      </c>
      <c r="K33" s="250">
        <v>0</v>
      </c>
      <c r="L33" s="227" t="s">
        <v>526</v>
      </c>
      <c r="M33" s="232">
        <v>0</v>
      </c>
      <c r="N33" s="232">
        <v>0</v>
      </c>
      <c r="O33" s="232">
        <v>0</v>
      </c>
      <c r="P33" s="227" t="s">
        <v>526</v>
      </c>
      <c r="Q33" s="232">
        <v>0</v>
      </c>
      <c r="R33" s="227">
        <f t="shared" si="3"/>
        <v>1.1091666666666666</v>
      </c>
      <c r="S33" s="232">
        <v>0</v>
      </c>
      <c r="T33" s="227" t="s">
        <v>526</v>
      </c>
      <c r="U33" s="232">
        <v>0</v>
      </c>
      <c r="V33" s="232">
        <v>0</v>
      </c>
      <c r="W33" s="232">
        <v>0</v>
      </c>
      <c r="X33" s="227" t="s">
        <v>526</v>
      </c>
      <c r="Y33" s="250">
        <v>0</v>
      </c>
      <c r="Z33" s="250">
        <v>0</v>
      </c>
      <c r="AA33" s="250">
        <v>0</v>
      </c>
      <c r="AB33" s="227" t="s">
        <v>526</v>
      </c>
      <c r="AC33" s="228">
        <f t="shared" si="4"/>
        <v>1.1091666666666666</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545</v>
      </c>
      <c r="C42" s="227" t="s">
        <v>526</v>
      </c>
      <c r="D42" s="227">
        <v>1</v>
      </c>
      <c r="E42" s="232" t="str">
        <f t="shared" si="5"/>
        <v>нд</v>
      </c>
      <c r="F42" s="227">
        <f t="shared" si="2"/>
        <v>1</v>
      </c>
      <c r="G42" s="232">
        <v>0</v>
      </c>
      <c r="H42" s="227" t="s">
        <v>526</v>
      </c>
      <c r="I42" s="250">
        <v>0</v>
      </c>
      <c r="J42" s="250">
        <v>0</v>
      </c>
      <c r="K42" s="250">
        <v>0</v>
      </c>
      <c r="L42" s="227" t="s">
        <v>526</v>
      </c>
      <c r="M42" s="232">
        <v>0</v>
      </c>
      <c r="N42" s="232">
        <v>0</v>
      </c>
      <c r="O42" s="232">
        <v>0</v>
      </c>
      <c r="P42" s="227" t="s">
        <v>526</v>
      </c>
      <c r="Q42" s="232">
        <v>0</v>
      </c>
      <c r="R42" s="227">
        <f t="shared" si="3"/>
        <v>1</v>
      </c>
      <c r="S42" s="232">
        <v>0</v>
      </c>
      <c r="T42" s="227" t="s">
        <v>526</v>
      </c>
      <c r="U42" s="232">
        <v>0</v>
      </c>
      <c r="V42" s="232">
        <v>0</v>
      </c>
      <c r="W42" s="232">
        <v>0</v>
      </c>
      <c r="X42" s="227" t="s">
        <v>526</v>
      </c>
      <c r="Y42" s="250">
        <v>0</v>
      </c>
      <c r="Z42" s="250">
        <v>0</v>
      </c>
      <c r="AA42" s="250">
        <v>0</v>
      </c>
      <c r="AB42" s="227" t="s">
        <v>526</v>
      </c>
      <c r="AC42" s="228">
        <f t="shared" si="4"/>
        <v>1</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545</v>
      </c>
      <c r="C50" s="227" t="s">
        <v>526</v>
      </c>
      <c r="D50" s="227">
        <v>1</v>
      </c>
      <c r="E50" s="232" t="str">
        <f t="shared" si="5"/>
        <v>нд</v>
      </c>
      <c r="F50" s="227">
        <f t="shared" si="2"/>
        <v>1</v>
      </c>
      <c r="G50" s="232">
        <v>0</v>
      </c>
      <c r="H50" s="227" t="s">
        <v>526</v>
      </c>
      <c r="I50" s="250">
        <v>0</v>
      </c>
      <c r="J50" s="250">
        <v>0</v>
      </c>
      <c r="K50" s="250">
        <v>0</v>
      </c>
      <c r="L50" s="227" t="s">
        <v>526</v>
      </c>
      <c r="M50" s="232">
        <v>0</v>
      </c>
      <c r="N50" s="232">
        <v>0</v>
      </c>
      <c r="O50" s="232">
        <v>0</v>
      </c>
      <c r="P50" s="227" t="s">
        <v>526</v>
      </c>
      <c r="Q50" s="232">
        <v>0</v>
      </c>
      <c r="R50" s="227">
        <f t="shared" si="3"/>
        <v>1</v>
      </c>
      <c r="S50" s="232">
        <v>0</v>
      </c>
      <c r="T50" s="227" t="s">
        <v>526</v>
      </c>
      <c r="U50" s="232">
        <v>0</v>
      </c>
      <c r="V50" s="232">
        <v>0</v>
      </c>
      <c r="W50" s="232">
        <v>0</v>
      </c>
      <c r="X50" s="227" t="s">
        <v>526</v>
      </c>
      <c r="Y50" s="250">
        <v>0</v>
      </c>
      <c r="Z50" s="250">
        <v>0</v>
      </c>
      <c r="AA50" s="250">
        <v>0</v>
      </c>
      <c r="AB50" s="227" t="s">
        <v>526</v>
      </c>
      <c r="AC50" s="228">
        <f t="shared" si="4"/>
        <v>1</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f>D33</f>
        <v>1.1091666666666666</v>
      </c>
      <c r="E52" s="232" t="str">
        <f t="shared" si="5"/>
        <v>нд</v>
      </c>
      <c r="F52" s="227">
        <f t="shared" si="2"/>
        <v>1.1091666666666666</v>
      </c>
      <c r="G52" s="232">
        <v>0</v>
      </c>
      <c r="H52" s="227" t="s">
        <v>526</v>
      </c>
      <c r="I52" s="250">
        <v>0</v>
      </c>
      <c r="J52" s="250">
        <v>0</v>
      </c>
      <c r="K52" s="250">
        <v>0</v>
      </c>
      <c r="L52" s="227" t="s">
        <v>526</v>
      </c>
      <c r="M52" s="232">
        <v>0</v>
      </c>
      <c r="N52" s="232">
        <v>0</v>
      </c>
      <c r="O52" s="232">
        <v>0</v>
      </c>
      <c r="P52" s="227" t="s">
        <v>526</v>
      </c>
      <c r="Q52" s="232">
        <v>0</v>
      </c>
      <c r="R52" s="227">
        <f t="shared" si="3"/>
        <v>1.1091666666666666</v>
      </c>
      <c r="S52" s="232">
        <v>0</v>
      </c>
      <c r="T52" s="227" t="s">
        <v>526</v>
      </c>
      <c r="U52" s="232">
        <v>0</v>
      </c>
      <c r="V52" s="232">
        <v>0</v>
      </c>
      <c r="W52" s="232">
        <v>0</v>
      </c>
      <c r="X52" s="227" t="s">
        <v>526</v>
      </c>
      <c r="Y52" s="250">
        <v>0</v>
      </c>
      <c r="Z52" s="250">
        <v>0</v>
      </c>
      <c r="AA52" s="250">
        <v>0</v>
      </c>
      <c r="AB52" s="227" t="s">
        <v>526</v>
      </c>
      <c r="AC52" s="228">
        <f t="shared" si="4"/>
        <v>1.1091666666666666</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545</v>
      </c>
      <c r="C57" s="227" t="s">
        <v>526</v>
      </c>
      <c r="D57" s="227">
        <v>1</v>
      </c>
      <c r="E57" s="232" t="str">
        <f t="shared" si="5"/>
        <v>нд</v>
      </c>
      <c r="F57" s="227">
        <f t="shared" si="2"/>
        <v>1</v>
      </c>
      <c r="G57" s="232">
        <v>0</v>
      </c>
      <c r="H57" s="227" t="s">
        <v>526</v>
      </c>
      <c r="I57" s="250">
        <v>0</v>
      </c>
      <c r="J57" s="250">
        <v>0</v>
      </c>
      <c r="K57" s="250">
        <v>0</v>
      </c>
      <c r="L57" s="227" t="s">
        <v>526</v>
      </c>
      <c r="M57" s="232">
        <v>0</v>
      </c>
      <c r="N57" s="232">
        <v>0</v>
      </c>
      <c r="O57" s="232">
        <v>0</v>
      </c>
      <c r="P57" s="227" t="s">
        <v>526</v>
      </c>
      <c r="Q57" s="232">
        <v>0</v>
      </c>
      <c r="R57" s="227">
        <f t="shared" si="3"/>
        <v>1</v>
      </c>
      <c r="S57" s="232">
        <v>0</v>
      </c>
      <c r="T57" s="227" t="s">
        <v>526</v>
      </c>
      <c r="U57" s="232">
        <v>0</v>
      </c>
      <c r="V57" s="232">
        <v>0</v>
      </c>
      <c r="W57" s="232">
        <v>0</v>
      </c>
      <c r="X57" s="227" t="s">
        <v>526</v>
      </c>
      <c r="Y57" s="250">
        <v>0</v>
      </c>
      <c r="Z57" s="250">
        <v>0</v>
      </c>
      <c r="AA57" s="250">
        <v>0</v>
      </c>
      <c r="AB57" s="227" t="s">
        <v>526</v>
      </c>
      <c r="AC57" s="228">
        <f t="shared" si="4"/>
        <v>1</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545</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2"/>
      <c r="C66" s="492"/>
      <c r="D66" s="492"/>
      <c r="E66" s="492"/>
      <c r="F66" s="492"/>
      <c r="G66" s="492"/>
      <c r="H66" s="492"/>
      <c r="I66" s="492"/>
      <c r="J66" s="492"/>
      <c r="K66" s="492"/>
      <c r="L66" s="492"/>
      <c r="M66" s="492"/>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3"/>
      <c r="C68" s="493"/>
      <c r="D68" s="493"/>
      <c r="E68" s="493"/>
      <c r="F68" s="493"/>
      <c r="G68" s="493"/>
      <c r="H68" s="493"/>
      <c r="I68" s="493"/>
      <c r="J68" s="493"/>
      <c r="K68" s="493"/>
      <c r="L68" s="493"/>
      <c r="M68" s="493"/>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2"/>
      <c r="C70" s="492"/>
      <c r="D70" s="492"/>
      <c r="E70" s="492"/>
      <c r="F70" s="492"/>
      <c r="G70" s="492"/>
      <c r="H70" s="492"/>
      <c r="I70" s="492"/>
      <c r="J70" s="492"/>
      <c r="K70" s="492"/>
      <c r="L70" s="492"/>
      <c r="M70" s="492"/>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2"/>
      <c r="C72" s="492"/>
      <c r="D72" s="492"/>
      <c r="E72" s="492"/>
      <c r="F72" s="492"/>
      <c r="G72" s="492"/>
      <c r="H72" s="492"/>
      <c r="I72" s="492"/>
      <c r="J72" s="492"/>
      <c r="K72" s="492"/>
      <c r="L72" s="492"/>
      <c r="M72" s="492"/>
      <c r="N72" s="211"/>
      <c r="O72" s="211"/>
      <c r="P72" s="211"/>
      <c r="Q72" s="211"/>
      <c r="R72" s="211"/>
      <c r="S72" s="211"/>
      <c r="T72" s="211"/>
      <c r="U72" s="211"/>
      <c r="V72" s="211"/>
      <c r="W72" s="211"/>
      <c r="X72" s="252"/>
      <c r="Y72" s="252"/>
      <c r="Z72" s="252"/>
      <c r="AA72" s="252"/>
      <c r="AB72" s="59"/>
    </row>
    <row r="73" spans="1:28" ht="32.25" customHeight="1" x14ac:dyDescent="0.25">
      <c r="A73" s="59"/>
      <c r="B73" s="493"/>
      <c r="C73" s="493"/>
      <c r="D73" s="493"/>
      <c r="E73" s="493"/>
      <c r="F73" s="493"/>
      <c r="G73" s="493"/>
      <c r="H73" s="493"/>
      <c r="I73" s="493"/>
      <c r="J73" s="493"/>
      <c r="K73" s="493"/>
      <c r="L73" s="493"/>
      <c r="M73" s="493"/>
      <c r="N73" s="212"/>
      <c r="O73" s="212"/>
      <c r="P73" s="212"/>
      <c r="Q73" s="212"/>
      <c r="R73" s="212"/>
      <c r="S73" s="212"/>
      <c r="T73" s="212"/>
      <c r="U73" s="212"/>
      <c r="V73" s="212"/>
      <c r="W73" s="212"/>
      <c r="X73" s="253"/>
      <c r="Y73" s="253"/>
      <c r="Z73" s="253"/>
      <c r="AA73" s="253"/>
      <c r="AB73" s="59"/>
    </row>
    <row r="74" spans="1:28" ht="51.75" customHeight="1" x14ac:dyDescent="0.25">
      <c r="A74" s="59"/>
      <c r="B74" s="492"/>
      <c r="C74" s="492"/>
      <c r="D74" s="492"/>
      <c r="E74" s="492"/>
      <c r="F74" s="492"/>
      <c r="G74" s="492"/>
      <c r="H74" s="492"/>
      <c r="I74" s="492"/>
      <c r="J74" s="492"/>
      <c r="K74" s="492"/>
      <c r="L74" s="492"/>
      <c r="M74" s="492"/>
      <c r="N74" s="211"/>
      <c r="O74" s="211"/>
      <c r="P74" s="211"/>
      <c r="Q74" s="211"/>
      <c r="R74" s="211"/>
      <c r="S74" s="211"/>
      <c r="T74" s="211"/>
      <c r="U74" s="211"/>
      <c r="V74" s="211"/>
      <c r="W74" s="211"/>
      <c r="X74" s="252"/>
      <c r="Y74" s="252"/>
      <c r="Z74" s="252"/>
      <c r="AA74" s="252"/>
      <c r="AB74" s="59"/>
    </row>
    <row r="75" spans="1:28" ht="21.75" customHeight="1" x14ac:dyDescent="0.25">
      <c r="A75" s="59"/>
      <c r="B75" s="494"/>
      <c r="C75" s="494"/>
      <c r="D75" s="494"/>
      <c r="E75" s="494"/>
      <c r="F75" s="494"/>
      <c r="G75" s="494"/>
      <c r="H75" s="494"/>
      <c r="I75" s="494"/>
      <c r="J75" s="494"/>
      <c r="K75" s="494"/>
      <c r="L75" s="494"/>
      <c r="M75" s="494"/>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1"/>
      <c r="C77" s="491"/>
      <c r="D77" s="491"/>
      <c r="E77" s="491"/>
      <c r="F77" s="491"/>
      <c r="G77" s="491"/>
      <c r="H77" s="491"/>
      <c r="I77" s="491"/>
      <c r="J77" s="491"/>
      <c r="K77" s="491"/>
      <c r="L77" s="491"/>
      <c r="M77" s="491"/>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24 U24:W63 L64:Q64 S64:W64 Q25:Q63 S25:S63 R25:R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M 22-04</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ht="43.5" customHeight="1" x14ac:dyDescent="0.25">
      <c r="A15"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09" t="s">
        <v>492</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00" t="s">
        <v>50</v>
      </c>
      <c r="B22" s="511" t="s">
        <v>22</v>
      </c>
      <c r="C22" s="500" t="s">
        <v>49</v>
      </c>
      <c r="D22" s="500" t="s">
        <v>48</v>
      </c>
      <c r="E22" s="514" t="s">
        <v>503</v>
      </c>
      <c r="F22" s="515"/>
      <c r="G22" s="515"/>
      <c r="H22" s="515"/>
      <c r="I22" s="515"/>
      <c r="J22" s="515"/>
      <c r="K22" s="515"/>
      <c r="L22" s="516"/>
      <c r="M22" s="500" t="s">
        <v>47</v>
      </c>
      <c r="N22" s="500" t="s">
        <v>46</v>
      </c>
      <c r="O22" s="500" t="s">
        <v>45</v>
      </c>
      <c r="P22" s="495" t="s">
        <v>253</v>
      </c>
      <c r="Q22" s="495" t="s">
        <v>44</v>
      </c>
      <c r="R22" s="495" t="s">
        <v>43</v>
      </c>
      <c r="S22" s="495" t="s">
        <v>42</v>
      </c>
      <c r="T22" s="495"/>
      <c r="U22" s="517" t="s">
        <v>41</v>
      </c>
      <c r="V22" s="517" t="s">
        <v>40</v>
      </c>
      <c r="W22" s="495" t="s">
        <v>39</v>
      </c>
      <c r="X22" s="495" t="s">
        <v>38</v>
      </c>
      <c r="Y22" s="495" t="s">
        <v>37</v>
      </c>
      <c r="Z22" s="502"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503" t="s">
        <v>23</v>
      </c>
    </row>
    <row r="23" spans="1:48" s="25" customFormat="1" ht="64.5" customHeight="1" x14ac:dyDescent="0.25">
      <c r="A23" s="510"/>
      <c r="B23" s="512"/>
      <c r="C23" s="510"/>
      <c r="D23" s="510"/>
      <c r="E23" s="505" t="s">
        <v>21</v>
      </c>
      <c r="F23" s="496" t="s">
        <v>125</v>
      </c>
      <c r="G23" s="496" t="s">
        <v>124</v>
      </c>
      <c r="H23" s="496" t="s">
        <v>123</v>
      </c>
      <c r="I23" s="498" t="s">
        <v>413</v>
      </c>
      <c r="J23" s="498" t="s">
        <v>414</v>
      </c>
      <c r="K23" s="498" t="s">
        <v>415</v>
      </c>
      <c r="L23" s="496" t="s">
        <v>537</v>
      </c>
      <c r="M23" s="510"/>
      <c r="N23" s="510"/>
      <c r="O23" s="510"/>
      <c r="P23" s="495"/>
      <c r="Q23" s="495"/>
      <c r="R23" s="495"/>
      <c r="S23" s="507" t="s">
        <v>2</v>
      </c>
      <c r="T23" s="507" t="s">
        <v>9</v>
      </c>
      <c r="U23" s="517"/>
      <c r="V23" s="517"/>
      <c r="W23" s="495"/>
      <c r="X23" s="495"/>
      <c r="Y23" s="495"/>
      <c r="Z23" s="495"/>
      <c r="AA23" s="495"/>
      <c r="AB23" s="495"/>
      <c r="AC23" s="495"/>
      <c r="AD23" s="495"/>
      <c r="AE23" s="495"/>
      <c r="AF23" s="495" t="s">
        <v>20</v>
      </c>
      <c r="AG23" s="495"/>
      <c r="AH23" s="495" t="s">
        <v>19</v>
      </c>
      <c r="AI23" s="495"/>
      <c r="AJ23" s="500" t="s">
        <v>18</v>
      </c>
      <c r="AK23" s="500" t="s">
        <v>17</v>
      </c>
      <c r="AL23" s="500" t="s">
        <v>16</v>
      </c>
      <c r="AM23" s="500" t="s">
        <v>15</v>
      </c>
      <c r="AN23" s="500" t="s">
        <v>14</v>
      </c>
      <c r="AO23" s="500" t="s">
        <v>13</v>
      </c>
      <c r="AP23" s="500" t="s">
        <v>12</v>
      </c>
      <c r="AQ23" s="518" t="s">
        <v>9</v>
      </c>
      <c r="AR23" s="495"/>
      <c r="AS23" s="495"/>
      <c r="AT23" s="495"/>
      <c r="AU23" s="495"/>
      <c r="AV23" s="504"/>
    </row>
    <row r="24" spans="1:48" s="25"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35" t="s">
        <v>11</v>
      </c>
      <c r="AG24" s="135" t="s">
        <v>10</v>
      </c>
      <c r="AH24" s="136" t="s">
        <v>2</v>
      </c>
      <c r="AI24" s="136" t="s">
        <v>9</v>
      </c>
      <c r="AJ24" s="501"/>
      <c r="AK24" s="501"/>
      <c r="AL24" s="501"/>
      <c r="AM24" s="501"/>
      <c r="AN24" s="501"/>
      <c r="AO24" s="501"/>
      <c r="AP24" s="501"/>
      <c r="AQ24" s="519"/>
      <c r="AR24" s="495"/>
      <c r="AS24" s="495"/>
      <c r="AT24" s="495"/>
      <c r="AU24" s="495"/>
      <c r="AV24" s="50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2" sqref="B22"/>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5" t="str">
        <f>'7. Паспорт отчет о закупке'!A5:AV5</f>
        <v>Год раскрытия информации: 2022 год</v>
      </c>
      <c r="B5" s="525"/>
      <c r="C5" s="72"/>
      <c r="D5" s="72"/>
      <c r="E5" s="72"/>
      <c r="F5" s="72"/>
      <c r="G5" s="72"/>
      <c r="H5" s="72"/>
    </row>
    <row r="6" spans="1:8" ht="18.75" x14ac:dyDescent="0.3">
      <c r="A6" s="214"/>
      <c r="B6" s="214"/>
      <c r="C6" s="214"/>
      <c r="D6" s="214"/>
      <c r="E6" s="214"/>
      <c r="F6" s="214"/>
      <c r="G6" s="214"/>
      <c r="H6" s="214"/>
    </row>
    <row r="7" spans="1:8" ht="18.75" x14ac:dyDescent="0.25">
      <c r="A7" s="411" t="s">
        <v>7</v>
      </c>
      <c r="B7" s="411"/>
      <c r="C7" s="140"/>
      <c r="D7" s="140"/>
      <c r="E7" s="140"/>
      <c r="F7" s="140"/>
      <c r="G7" s="140"/>
      <c r="H7" s="140"/>
    </row>
    <row r="8" spans="1:8" ht="18.75" x14ac:dyDescent="0.25">
      <c r="A8" s="140"/>
      <c r="B8" s="140"/>
      <c r="C8" s="140"/>
      <c r="D8" s="140"/>
      <c r="E8" s="140"/>
      <c r="F8" s="140"/>
      <c r="G8" s="140"/>
      <c r="H8" s="140"/>
    </row>
    <row r="9" spans="1:8" x14ac:dyDescent="0.25">
      <c r="A9" s="412" t="str">
        <f>'7. Паспорт отчет о закупке'!A9:AV9</f>
        <v>Акционерное общество "Западная энергетическая компания"</v>
      </c>
      <c r="B9" s="412"/>
      <c r="C9" s="155"/>
      <c r="D9" s="155"/>
      <c r="E9" s="155"/>
      <c r="F9" s="155"/>
      <c r="G9" s="155"/>
      <c r="H9" s="155"/>
    </row>
    <row r="10" spans="1:8" x14ac:dyDescent="0.25">
      <c r="A10" s="416" t="s">
        <v>6</v>
      </c>
      <c r="B10" s="416"/>
      <c r="C10" s="142"/>
      <c r="D10" s="142"/>
      <c r="E10" s="142"/>
      <c r="F10" s="142"/>
      <c r="G10" s="142"/>
      <c r="H10" s="142"/>
    </row>
    <row r="11" spans="1:8" ht="18.75" x14ac:dyDescent="0.25">
      <c r="A11" s="140"/>
      <c r="B11" s="140"/>
      <c r="C11" s="140"/>
      <c r="D11" s="140"/>
      <c r="E11" s="140"/>
      <c r="F11" s="140"/>
      <c r="G11" s="140"/>
      <c r="H11" s="140"/>
    </row>
    <row r="12" spans="1:8" x14ac:dyDescent="0.25">
      <c r="A12" s="412" t="str">
        <f>'7. Паспорт отчет о закупке'!A12:AV12</f>
        <v>M 22-04</v>
      </c>
      <c r="B12" s="412"/>
      <c r="C12" s="155"/>
      <c r="D12" s="155"/>
      <c r="E12" s="155"/>
      <c r="F12" s="155"/>
      <c r="G12" s="155"/>
      <c r="H12" s="155"/>
    </row>
    <row r="13" spans="1:8" x14ac:dyDescent="0.25">
      <c r="A13" s="416" t="s">
        <v>5</v>
      </c>
      <c r="B13" s="416"/>
      <c r="C13" s="142"/>
      <c r="D13" s="142"/>
      <c r="E13" s="142"/>
      <c r="F13" s="142"/>
      <c r="G13" s="142"/>
      <c r="H13" s="142"/>
    </row>
    <row r="14" spans="1:8" ht="18.75" x14ac:dyDescent="0.25">
      <c r="A14" s="10"/>
      <c r="B14" s="10"/>
      <c r="C14" s="10"/>
      <c r="D14" s="10"/>
      <c r="E14" s="10"/>
      <c r="F14" s="10"/>
      <c r="G14" s="10"/>
      <c r="H14" s="10"/>
    </row>
    <row r="15" spans="1:8" ht="53.25" customHeight="1" x14ac:dyDescent="0.25">
      <c r="A15" s="457" t="str">
        <f>'7. Паспорт отчет о закупке'!A15:AV15</f>
        <v>Приобретение комплекта сервера Dell EMC PE R640 8B (2x Gold 6234 3.3Ghz 8C 24.75Mb/HSP  Kit/PF Kit/4x 16GB 3200Mhz Kit/PERC
H750/2x 480GB SSD SATA RI/2x 1.2TB SAS 10k/4x GbE/2x 750W/iDRAC9 Ent./Bezel/Rails/3yw ProSupport NBD</v>
      </c>
      <c r="B15" s="457"/>
      <c r="C15" s="155"/>
      <c r="D15" s="155"/>
      <c r="E15" s="155"/>
      <c r="F15" s="155"/>
      <c r="G15" s="155"/>
      <c r="H15" s="155"/>
    </row>
    <row r="16" spans="1:8" x14ac:dyDescent="0.25">
      <c r="A16" s="416" t="s">
        <v>4</v>
      </c>
      <c r="B16" s="416"/>
      <c r="C16" s="142"/>
      <c r="D16" s="142"/>
      <c r="E16" s="142"/>
      <c r="F16" s="142"/>
      <c r="G16" s="142"/>
      <c r="H16" s="142"/>
    </row>
    <row r="17" spans="1:4" x14ac:dyDescent="0.25">
      <c r="B17" s="114"/>
    </row>
    <row r="18" spans="1:4" x14ac:dyDescent="0.25">
      <c r="A18" s="520" t="s">
        <v>493</v>
      </c>
      <c r="B18" s="521"/>
    </row>
    <row r="19" spans="1:4" x14ac:dyDescent="0.25">
      <c r="B19" s="41"/>
    </row>
    <row r="20" spans="1:4" ht="16.5" thickBot="1" x14ac:dyDescent="0.3">
      <c r="B20" s="115"/>
    </row>
    <row r="21" spans="1:4" ht="83.25" customHeight="1" thickBot="1" x14ac:dyDescent="0.3">
      <c r="A21" s="116" t="s">
        <v>363</v>
      </c>
      <c r="B21" s="117" t="str">
        <f>A15</f>
        <v>Приобретение комплекта сервера Dell EMC PE R640 8B (2x Gold 6234 3.3Ghz 8C 24.75Mb/HSP  Kit/PF Kit/4x 16GB 3200Mhz Kit/PERC
H750/2x 480GB SSD SATA RI/2x 1.2TB SAS 10k/4x GbE/2x 750W/iDRAC9 Ent./Bezel/Rails/3yw ProSupport NBD</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547</v>
      </c>
    </row>
    <row r="24" spans="1:4" ht="16.5" thickBot="1" x14ac:dyDescent="0.3">
      <c r="A24" s="116" t="s">
        <v>365</v>
      </c>
      <c r="B24" s="118" t="s">
        <v>548</v>
      </c>
    </row>
    <row r="25" spans="1:4" ht="16.5" thickBot="1" x14ac:dyDescent="0.3">
      <c r="A25" s="119" t="s">
        <v>366</v>
      </c>
      <c r="B25" s="117">
        <v>2022</v>
      </c>
    </row>
    <row r="26" spans="1:4" ht="16.5" thickBot="1" x14ac:dyDescent="0.3">
      <c r="A26" s="120" t="s">
        <v>367</v>
      </c>
      <c r="B26" s="121" t="s">
        <v>541</v>
      </c>
    </row>
    <row r="27" spans="1:4" ht="29.25" thickBot="1" x14ac:dyDescent="0.3">
      <c r="A27" s="127" t="s">
        <v>556</v>
      </c>
      <c r="B27" s="189">
        <f>'6.2. Паспорт фин осв ввод'!D24</f>
        <v>1.331</v>
      </c>
    </row>
    <row r="28" spans="1:4" ht="16.5" thickBot="1" x14ac:dyDescent="0.3">
      <c r="A28" s="188" t="s">
        <v>368</v>
      </c>
      <c r="B28" s="188" t="s">
        <v>546</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557</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75.75" thickBot="1" x14ac:dyDescent="0.3">
      <c r="A103" s="131" t="s">
        <v>398</v>
      </c>
      <c r="B103" s="249" t="str">
        <f>'3.3 паспорт описание'!C24</f>
        <v>Приобретение комплекта сервера Dell EMC PE R640 8B (2x Gold 6234 3.3Ghz 8C 24.75Mb/HSP  Kit/PF Kit/4x 16GB 3200Mhz Kit/PERC H750/2x 480GB SSD SATA RI/2x 1.2TB SAS 10k/4x GbE/2x 750W/iDRAC9 Ent./Bezel/Rails/3yw ProSupport NBD</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536</v>
      </c>
      <c r="C108" s="59"/>
      <c r="D108" s="59"/>
    </row>
    <row r="109" spans="1:4" ht="28.5" x14ac:dyDescent="0.25">
      <c r="A109" s="122" t="s">
        <v>404</v>
      </c>
      <c r="B109" s="522" t="s">
        <v>535</v>
      </c>
      <c r="C109" s="59"/>
      <c r="D109" s="59"/>
    </row>
    <row r="110" spans="1:4" x14ac:dyDescent="0.25">
      <c r="A110" s="125" t="s">
        <v>405</v>
      </c>
      <c r="B110" s="523"/>
      <c r="C110" s="59"/>
      <c r="D110" s="59"/>
    </row>
    <row r="111" spans="1:4" x14ac:dyDescent="0.25">
      <c r="A111" s="125" t="s">
        <v>406</v>
      </c>
      <c r="B111" s="523"/>
      <c r="C111" s="59"/>
      <c r="D111" s="59"/>
    </row>
    <row r="112" spans="1:4" x14ac:dyDescent="0.25">
      <c r="A112" s="125" t="s">
        <v>407</v>
      </c>
      <c r="B112" s="523"/>
      <c r="C112" s="59"/>
      <c r="D112" s="59"/>
    </row>
    <row r="113" spans="1:4" x14ac:dyDescent="0.25">
      <c r="A113" s="125" t="s">
        <v>408</v>
      </c>
      <c r="B113" s="523"/>
      <c r="C113" s="59"/>
      <c r="D113" s="59"/>
    </row>
    <row r="114" spans="1:4" ht="16.5" thickBot="1" x14ac:dyDescent="0.3">
      <c r="A114" s="134" t="s">
        <v>409</v>
      </c>
      <c r="B114" s="524"/>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1" t="s">
        <v>7</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6" t="s">
        <v>6</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M 22-04</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36.75" customHeight="1" x14ac:dyDescent="0.2">
      <c r="A14" s="418"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468</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3</v>
      </c>
      <c r="B19" s="410" t="s">
        <v>94</v>
      </c>
      <c r="C19" s="413" t="s">
        <v>362</v>
      </c>
      <c r="D19" s="410" t="s">
        <v>361</v>
      </c>
      <c r="E19" s="410" t="s">
        <v>93</v>
      </c>
      <c r="F19" s="410" t="s">
        <v>92</v>
      </c>
      <c r="G19" s="410" t="s">
        <v>357</v>
      </c>
      <c r="H19" s="410" t="s">
        <v>91</v>
      </c>
      <c r="I19" s="410" t="s">
        <v>90</v>
      </c>
      <c r="J19" s="410" t="s">
        <v>89</v>
      </c>
      <c r="K19" s="410" t="s">
        <v>88</v>
      </c>
      <c r="L19" s="410" t="s">
        <v>87</v>
      </c>
      <c r="M19" s="410" t="s">
        <v>86</v>
      </c>
      <c r="N19" s="410" t="s">
        <v>85</v>
      </c>
      <c r="O19" s="410" t="s">
        <v>84</v>
      </c>
      <c r="P19" s="410" t="s">
        <v>83</v>
      </c>
      <c r="Q19" s="410" t="s">
        <v>360</v>
      </c>
      <c r="R19" s="410"/>
      <c r="S19" s="415" t="s">
        <v>462</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39" t="s">
        <v>358</v>
      </c>
      <c r="R20" s="40" t="s">
        <v>359</v>
      </c>
      <c r="S20" s="415"/>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2022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"Западная энергетическая компания"</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M 22-04</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66" customHeight="1" x14ac:dyDescent="0.2">
      <c r="A16"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473</v>
      </c>
      <c r="B19" s="436"/>
      <c r="C19" s="436"/>
      <c r="D19" s="436"/>
      <c r="E19" s="436"/>
      <c r="F19" s="436"/>
      <c r="G19" s="436"/>
      <c r="H19" s="436"/>
      <c r="I19" s="436"/>
      <c r="J19" s="436"/>
      <c r="K19" s="436"/>
      <c r="L19" s="436"/>
      <c r="M19" s="436"/>
      <c r="N19" s="436"/>
      <c r="O19" s="436"/>
      <c r="P19" s="436"/>
      <c r="Q19" s="436"/>
      <c r="R19" s="436"/>
      <c r="S19" s="436"/>
      <c r="T19" s="436"/>
    </row>
    <row r="20" spans="1:113" s="52"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217</v>
      </c>
      <c r="C21" s="424"/>
      <c r="D21" s="427" t="s">
        <v>116</v>
      </c>
      <c r="E21" s="423" t="s">
        <v>502</v>
      </c>
      <c r="F21" s="424"/>
      <c r="G21" s="423" t="s">
        <v>267</v>
      </c>
      <c r="H21" s="424"/>
      <c r="I21" s="423" t="s">
        <v>115</v>
      </c>
      <c r="J21" s="424"/>
      <c r="K21" s="427" t="s">
        <v>114</v>
      </c>
      <c r="L21" s="423" t="s">
        <v>113</v>
      </c>
      <c r="M21" s="424"/>
      <c r="N21" s="423" t="s">
        <v>498</v>
      </c>
      <c r="O21" s="424"/>
      <c r="P21" s="427" t="s">
        <v>112</v>
      </c>
      <c r="Q21" s="433" t="s">
        <v>111</v>
      </c>
      <c r="R21" s="434"/>
      <c r="S21" s="433" t="s">
        <v>110</v>
      </c>
      <c r="T21" s="435"/>
    </row>
    <row r="22" spans="1:113" ht="204.75" customHeight="1" x14ac:dyDescent="0.25">
      <c r="A22" s="431"/>
      <c r="B22" s="425"/>
      <c r="C22" s="426"/>
      <c r="D22" s="429"/>
      <c r="E22" s="425"/>
      <c r="F22" s="426"/>
      <c r="G22" s="425"/>
      <c r="H22" s="426"/>
      <c r="I22" s="425"/>
      <c r="J22" s="426"/>
      <c r="K22" s="428"/>
      <c r="L22" s="425"/>
      <c r="M22" s="426"/>
      <c r="N22" s="425"/>
      <c r="O22" s="426"/>
      <c r="P22" s="428"/>
      <c r="Q22" s="96" t="s">
        <v>109</v>
      </c>
      <c r="R22" s="96" t="s">
        <v>472</v>
      </c>
      <c r="S22" s="96" t="s">
        <v>108</v>
      </c>
      <c r="T22" s="96" t="s">
        <v>107</v>
      </c>
    </row>
    <row r="23" spans="1:113" ht="51.75" customHeight="1" x14ac:dyDescent="0.25">
      <c r="A23" s="432"/>
      <c r="B23" s="145" t="s">
        <v>105</v>
      </c>
      <c r="C23" s="145" t="s">
        <v>106</v>
      </c>
      <c r="D23" s="42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2" t="s">
        <v>508</v>
      </c>
      <c r="C29" s="422"/>
      <c r="D29" s="422"/>
      <c r="E29" s="422"/>
      <c r="F29" s="422"/>
      <c r="G29" s="422"/>
      <c r="H29" s="422"/>
      <c r="I29" s="422"/>
      <c r="J29" s="422"/>
      <c r="K29" s="422"/>
      <c r="L29" s="422"/>
      <c r="M29" s="422"/>
      <c r="N29" s="422"/>
      <c r="O29" s="422"/>
      <c r="P29" s="422"/>
      <c r="Q29" s="422"/>
      <c r="R29" s="42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"Западная энергетическая компания"</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 22-04</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475</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2" customFormat="1" ht="21" customHeight="1" x14ac:dyDescent="0.25"/>
    <row r="21" spans="1:27" ht="15.75" customHeight="1" x14ac:dyDescent="0.25">
      <c r="A21" s="438" t="s">
        <v>3</v>
      </c>
      <c r="B21" s="441" t="s">
        <v>482</v>
      </c>
      <c r="C21" s="442"/>
      <c r="D21" s="441" t="s">
        <v>484</v>
      </c>
      <c r="E21" s="442"/>
      <c r="F21" s="433" t="s">
        <v>88</v>
      </c>
      <c r="G21" s="435"/>
      <c r="H21" s="435"/>
      <c r="I21" s="434"/>
      <c r="J21" s="438" t="s">
        <v>485</v>
      </c>
      <c r="K21" s="441" t="s">
        <v>486</v>
      </c>
      <c r="L21" s="442"/>
      <c r="M21" s="441" t="s">
        <v>487</v>
      </c>
      <c r="N21" s="442"/>
      <c r="O21" s="441" t="s">
        <v>474</v>
      </c>
      <c r="P21" s="442"/>
      <c r="Q21" s="441" t="s">
        <v>121</v>
      </c>
      <c r="R21" s="442"/>
      <c r="S21" s="438" t="s">
        <v>120</v>
      </c>
      <c r="T21" s="438" t="s">
        <v>488</v>
      </c>
      <c r="U21" s="438" t="s">
        <v>483</v>
      </c>
      <c r="V21" s="441" t="s">
        <v>119</v>
      </c>
      <c r="W21" s="442"/>
      <c r="X21" s="433" t="s">
        <v>111</v>
      </c>
      <c r="Y21" s="435"/>
      <c r="Z21" s="433" t="s">
        <v>110</v>
      </c>
      <c r="AA21" s="435"/>
    </row>
    <row r="22" spans="1:27" ht="216" customHeight="1" x14ac:dyDescent="0.25">
      <c r="A22" s="439"/>
      <c r="B22" s="443"/>
      <c r="C22" s="444"/>
      <c r="D22" s="443"/>
      <c r="E22" s="444"/>
      <c r="F22" s="433" t="s">
        <v>118</v>
      </c>
      <c r="G22" s="434"/>
      <c r="H22" s="433" t="s">
        <v>117</v>
      </c>
      <c r="I22" s="43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2022 год</v>
      </c>
      <c r="B5" s="403"/>
      <c r="C5" s="403"/>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1" t="s">
        <v>7</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"Западная энергетическая компания"</v>
      </c>
      <c r="B9" s="412"/>
      <c r="C9" s="412"/>
      <c r="D9" s="7"/>
      <c r="E9" s="7"/>
      <c r="F9" s="7"/>
      <c r="G9" s="7"/>
      <c r="H9" s="12"/>
      <c r="I9" s="12"/>
      <c r="J9" s="12"/>
      <c r="K9" s="12"/>
      <c r="L9" s="12"/>
      <c r="M9" s="12"/>
      <c r="N9" s="12"/>
      <c r="O9" s="12"/>
      <c r="P9" s="12"/>
      <c r="Q9" s="12"/>
      <c r="R9" s="12"/>
      <c r="S9" s="12"/>
      <c r="T9" s="12"/>
      <c r="U9" s="12"/>
    </row>
    <row r="10" spans="1:29" s="11" customFormat="1" ht="18.75" x14ac:dyDescent="0.2">
      <c r="A10" s="416" t="s">
        <v>6</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 22-04</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6" t="s">
        <v>5</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78.75" customHeight="1" x14ac:dyDescent="0.2">
      <c r="A15"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16" t="s">
        <v>4</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467</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607</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
        <v>608</v>
      </c>
      <c r="D24" s="26"/>
      <c r="E24" s="184"/>
      <c r="F24" s="26"/>
      <c r="G24" s="26"/>
      <c r="H24" s="26"/>
      <c r="I24" s="26"/>
      <c r="J24" s="26"/>
      <c r="K24" s="26"/>
      <c r="L24" s="26"/>
      <c r="M24" s="26"/>
      <c r="N24" s="26"/>
      <c r="O24" s="26"/>
      <c r="P24" s="26"/>
      <c r="Q24" s="26"/>
      <c r="R24" s="26"/>
      <c r="S24" s="26"/>
      <c r="T24" s="26"/>
      <c r="U24" s="26"/>
    </row>
    <row r="25" spans="1:21" ht="47.25" x14ac:dyDescent="0.25">
      <c r="A25" s="27" t="s">
        <v>59</v>
      </c>
      <c r="B25" s="29" t="s">
        <v>501</v>
      </c>
      <c r="C25" s="256" t="s">
        <v>611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535</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0"/>
      <c r="AB6" s="140"/>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0"/>
      <c r="AB7" s="140"/>
    </row>
    <row r="8" spans="1:28" x14ac:dyDescent="0.25">
      <c r="A8" s="412" t="str">
        <f>'1. паспорт местоположение'!A9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1"/>
      <c r="AB8" s="141"/>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42"/>
      <c r="AB9" s="14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0"/>
      <c r="AB10" s="140"/>
    </row>
    <row r="11" spans="1:28" x14ac:dyDescent="0.25">
      <c r="A11" s="412" t="str">
        <f>'1. паспорт местоположение'!A12:C12</f>
        <v>M 22-04</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1"/>
      <c r="AB11" s="141"/>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42"/>
      <c r="AB12" s="142"/>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ht="57" customHeight="1" x14ac:dyDescent="0.25">
      <c r="A14"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42"/>
      <c r="AB15" s="142"/>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51"/>
      <c r="AB16" s="151"/>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51"/>
      <c r="AB17" s="151"/>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51"/>
      <c r="AB18" s="151"/>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51"/>
      <c r="AB19" s="151"/>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52"/>
      <c r="AB20" s="152"/>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52"/>
      <c r="AB21" s="152"/>
    </row>
    <row r="22" spans="1:28" x14ac:dyDescent="0.25">
      <c r="A22" s="446" t="s">
        <v>499</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53"/>
      <c r="AB22" s="153"/>
    </row>
    <row r="23" spans="1:28" ht="32.25" customHeight="1" x14ac:dyDescent="0.25">
      <c r="A23" s="448" t="s">
        <v>353</v>
      </c>
      <c r="B23" s="449"/>
      <c r="C23" s="449"/>
      <c r="D23" s="449"/>
      <c r="E23" s="449"/>
      <c r="F23" s="449"/>
      <c r="G23" s="449"/>
      <c r="H23" s="449"/>
      <c r="I23" s="449"/>
      <c r="J23" s="449"/>
      <c r="K23" s="449"/>
      <c r="L23" s="450"/>
      <c r="M23" s="447" t="s">
        <v>354</v>
      </c>
      <c r="N23" s="447"/>
      <c r="O23" s="447"/>
      <c r="P23" s="447"/>
      <c r="Q23" s="447"/>
      <c r="R23" s="447"/>
      <c r="S23" s="447"/>
      <c r="T23" s="447"/>
      <c r="U23" s="447"/>
      <c r="V23" s="447"/>
      <c r="W23" s="447"/>
      <c r="X23" s="447"/>
      <c r="Y23" s="447"/>
      <c r="Z23" s="447"/>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1" t="s">
        <v>7</v>
      </c>
      <c r="B7" s="411"/>
      <c r="C7" s="411"/>
      <c r="D7" s="411"/>
      <c r="E7" s="411"/>
      <c r="F7" s="411"/>
      <c r="G7" s="411"/>
      <c r="H7" s="411"/>
      <c r="I7" s="411"/>
      <c r="J7" s="411"/>
      <c r="K7" s="411"/>
      <c r="L7" s="411"/>
      <c r="M7" s="411"/>
      <c r="N7" s="140"/>
      <c r="O7" s="140"/>
      <c r="P7" s="140"/>
      <c r="Q7" s="140"/>
      <c r="R7" s="140"/>
      <c r="S7" s="140"/>
      <c r="T7" s="140"/>
      <c r="U7" s="140"/>
      <c r="V7" s="140"/>
      <c r="W7" s="140"/>
      <c r="X7" s="140"/>
    </row>
    <row r="8" spans="1:26" s="11" customFormat="1" ht="18.75" x14ac:dyDescent="0.2">
      <c r="A8" s="411"/>
      <c r="B8" s="411"/>
      <c r="C8" s="411"/>
      <c r="D8" s="411"/>
      <c r="E8" s="411"/>
      <c r="F8" s="411"/>
      <c r="G8" s="411"/>
      <c r="H8" s="411"/>
      <c r="I8" s="411"/>
      <c r="J8" s="411"/>
      <c r="K8" s="411"/>
      <c r="L8" s="411"/>
      <c r="M8" s="411"/>
      <c r="N8" s="140"/>
      <c r="O8" s="140"/>
      <c r="P8" s="140"/>
      <c r="Q8" s="140"/>
      <c r="R8" s="140"/>
      <c r="S8" s="140"/>
      <c r="T8" s="140"/>
      <c r="U8" s="140"/>
      <c r="V8" s="140"/>
      <c r="W8" s="140"/>
      <c r="X8" s="140"/>
    </row>
    <row r="9" spans="1:26" s="11" customFormat="1" ht="18.75" x14ac:dyDescent="0.2">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140"/>
      <c r="O9" s="140"/>
      <c r="P9" s="140"/>
      <c r="Q9" s="140"/>
      <c r="R9" s="140"/>
      <c r="S9" s="140"/>
      <c r="T9" s="140"/>
      <c r="U9" s="140"/>
      <c r="V9" s="140"/>
      <c r="W9" s="140"/>
      <c r="X9" s="140"/>
    </row>
    <row r="10" spans="1:26" s="11" customFormat="1" ht="18.75" x14ac:dyDescent="0.2">
      <c r="A10" s="416" t="s">
        <v>6</v>
      </c>
      <c r="B10" s="416"/>
      <c r="C10" s="416"/>
      <c r="D10" s="416"/>
      <c r="E10" s="416"/>
      <c r="F10" s="416"/>
      <c r="G10" s="416"/>
      <c r="H10" s="416"/>
      <c r="I10" s="416"/>
      <c r="J10" s="416"/>
      <c r="K10" s="416"/>
      <c r="L10" s="416"/>
      <c r="M10" s="416"/>
      <c r="N10" s="140"/>
      <c r="O10" s="140"/>
      <c r="P10" s="140"/>
      <c r="Q10" s="140"/>
      <c r="R10" s="140"/>
      <c r="S10" s="140"/>
      <c r="T10" s="140"/>
      <c r="U10" s="140"/>
      <c r="V10" s="140"/>
      <c r="W10" s="140"/>
      <c r="X10" s="140"/>
    </row>
    <row r="11" spans="1:26" s="11" customFormat="1" ht="18.75" x14ac:dyDescent="0.2">
      <c r="A11" s="411"/>
      <c r="B11" s="411"/>
      <c r="C11" s="411"/>
      <c r="D11" s="411"/>
      <c r="E11" s="411"/>
      <c r="F11" s="411"/>
      <c r="G11" s="411"/>
      <c r="H11" s="411"/>
      <c r="I11" s="411"/>
      <c r="J11" s="411"/>
      <c r="K11" s="411"/>
      <c r="L11" s="411"/>
      <c r="M11" s="411"/>
      <c r="N11" s="140"/>
      <c r="O11" s="140"/>
      <c r="P11" s="140"/>
      <c r="Q11" s="140"/>
      <c r="R11" s="140"/>
      <c r="S11" s="140"/>
      <c r="T11" s="140"/>
      <c r="U11" s="140"/>
      <c r="V11" s="140"/>
      <c r="W11" s="140"/>
      <c r="X11" s="140"/>
    </row>
    <row r="12" spans="1:26" s="11" customFormat="1" ht="18.75" x14ac:dyDescent="0.2">
      <c r="A12" s="412" t="str">
        <f>'1. паспорт местоположение'!A12:C12</f>
        <v>M 22-04</v>
      </c>
      <c r="B12" s="412"/>
      <c r="C12" s="412"/>
      <c r="D12" s="412"/>
      <c r="E12" s="412"/>
      <c r="F12" s="412"/>
      <c r="G12" s="412"/>
      <c r="H12" s="412"/>
      <c r="I12" s="412"/>
      <c r="J12" s="412"/>
      <c r="K12" s="412"/>
      <c r="L12" s="412"/>
      <c r="M12" s="412"/>
      <c r="N12" s="140"/>
      <c r="O12" s="140"/>
      <c r="P12" s="140"/>
      <c r="Q12" s="140"/>
      <c r="R12" s="140"/>
      <c r="S12" s="140"/>
      <c r="T12" s="140"/>
      <c r="U12" s="140"/>
      <c r="V12" s="140"/>
      <c r="W12" s="140"/>
      <c r="X12" s="140"/>
    </row>
    <row r="13" spans="1:26" s="11" customFormat="1" ht="18.75" x14ac:dyDescent="0.2">
      <c r="A13" s="416" t="s">
        <v>5</v>
      </c>
      <c r="B13" s="416"/>
      <c r="C13" s="416"/>
      <c r="D13" s="416"/>
      <c r="E13" s="416"/>
      <c r="F13" s="416"/>
      <c r="G13" s="416"/>
      <c r="H13" s="416"/>
      <c r="I13" s="416"/>
      <c r="J13" s="416"/>
      <c r="K13" s="416"/>
      <c r="L13" s="416"/>
      <c r="M13" s="416"/>
      <c r="N13" s="140"/>
      <c r="O13" s="140"/>
      <c r="P13" s="140"/>
      <c r="Q13" s="140"/>
      <c r="R13" s="140"/>
      <c r="S13" s="140"/>
      <c r="T13" s="140"/>
      <c r="U13" s="140"/>
      <c r="V13" s="140"/>
      <c r="W13" s="140"/>
      <c r="X13" s="140"/>
    </row>
    <row r="14" spans="1:26" s="8" customFormat="1" ht="15.75" customHeight="1" x14ac:dyDescent="0.2">
      <c r="A14" s="417"/>
      <c r="B14" s="417"/>
      <c r="C14" s="417"/>
      <c r="D14" s="417"/>
      <c r="E14" s="417"/>
      <c r="F14" s="417"/>
      <c r="G14" s="417"/>
      <c r="H14" s="417"/>
      <c r="I14" s="417"/>
      <c r="J14" s="417"/>
      <c r="K14" s="417"/>
      <c r="L14" s="417"/>
      <c r="M14" s="417"/>
      <c r="N14" s="207"/>
      <c r="O14" s="207"/>
      <c r="P14" s="207"/>
      <c r="Q14" s="207"/>
      <c r="R14" s="207"/>
      <c r="S14" s="207"/>
      <c r="T14" s="207"/>
      <c r="U14" s="207"/>
      <c r="V14" s="207"/>
      <c r="W14" s="207"/>
      <c r="X14" s="207"/>
    </row>
    <row r="15" spans="1:26" s="3" customFormat="1" ht="54.75" customHeight="1" x14ac:dyDescent="0.2">
      <c r="A15" s="457"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57"/>
      <c r="C15" s="457"/>
      <c r="D15" s="457"/>
      <c r="E15" s="457"/>
      <c r="F15" s="457"/>
      <c r="G15" s="457"/>
      <c r="H15" s="457"/>
      <c r="I15" s="457"/>
      <c r="J15" s="457"/>
      <c r="K15" s="457"/>
      <c r="L15" s="457"/>
      <c r="M15" s="457"/>
      <c r="N15" s="155"/>
      <c r="O15" s="155"/>
      <c r="P15" s="155"/>
      <c r="Q15" s="155"/>
      <c r="R15" s="155"/>
      <c r="S15" s="155"/>
      <c r="T15" s="155"/>
      <c r="U15" s="155"/>
      <c r="V15" s="155"/>
      <c r="W15" s="155"/>
      <c r="X15" s="155"/>
    </row>
    <row r="16" spans="1:26" s="3" customFormat="1" ht="15" customHeight="1" x14ac:dyDescent="0.2">
      <c r="A16" s="416" t="s">
        <v>4</v>
      </c>
      <c r="B16" s="416"/>
      <c r="C16" s="416"/>
      <c r="D16" s="416"/>
      <c r="E16" s="416"/>
      <c r="F16" s="416"/>
      <c r="G16" s="416"/>
      <c r="H16" s="416"/>
      <c r="I16" s="416"/>
      <c r="J16" s="416"/>
      <c r="K16" s="416"/>
      <c r="L16" s="416"/>
      <c r="M16" s="416"/>
      <c r="N16" s="142"/>
      <c r="O16" s="142"/>
      <c r="P16" s="142"/>
      <c r="Q16" s="142"/>
      <c r="R16" s="142"/>
      <c r="S16" s="142"/>
      <c r="T16" s="142"/>
      <c r="U16" s="142"/>
      <c r="V16" s="142"/>
      <c r="W16" s="142"/>
      <c r="X16" s="142"/>
    </row>
    <row r="17" spans="1:24" s="3" customFormat="1" ht="15" customHeight="1" x14ac:dyDescent="0.2">
      <c r="A17" s="419"/>
      <c r="B17" s="419"/>
      <c r="C17" s="419"/>
      <c r="D17" s="419"/>
      <c r="E17" s="419"/>
      <c r="F17" s="419"/>
      <c r="G17" s="419"/>
      <c r="H17" s="419"/>
      <c r="I17" s="419"/>
      <c r="J17" s="419"/>
      <c r="K17" s="419"/>
      <c r="L17" s="419"/>
      <c r="M17" s="419"/>
      <c r="N17" s="208"/>
      <c r="O17" s="208"/>
      <c r="P17" s="208"/>
      <c r="Q17" s="208"/>
      <c r="R17" s="208"/>
      <c r="S17" s="208"/>
      <c r="T17" s="208"/>
      <c r="U17" s="208"/>
    </row>
    <row r="18" spans="1:24" s="3" customFormat="1" ht="91.5" customHeight="1" x14ac:dyDescent="0.2">
      <c r="A18" s="452" t="s">
        <v>476</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53" t="s">
        <v>3</v>
      </c>
      <c r="B19" s="453" t="s">
        <v>82</v>
      </c>
      <c r="C19" s="453" t="s">
        <v>81</v>
      </c>
      <c r="D19" s="453" t="s">
        <v>73</v>
      </c>
      <c r="E19" s="454" t="s">
        <v>80</v>
      </c>
      <c r="F19" s="455"/>
      <c r="G19" s="455"/>
      <c r="H19" s="455"/>
      <c r="I19" s="456"/>
      <c r="J19" s="453" t="s">
        <v>79</v>
      </c>
      <c r="K19" s="453"/>
      <c r="L19" s="453"/>
      <c r="M19" s="453"/>
      <c r="N19" s="208"/>
      <c r="O19" s="208"/>
      <c r="P19" s="208"/>
      <c r="Q19" s="208"/>
      <c r="R19" s="208"/>
      <c r="S19" s="208"/>
      <c r="T19" s="208"/>
      <c r="U19" s="208"/>
    </row>
    <row r="20" spans="1:24" s="3" customFormat="1" ht="51" customHeight="1" x14ac:dyDescent="0.2">
      <c r="A20" s="453"/>
      <c r="B20" s="453"/>
      <c r="C20" s="453"/>
      <c r="D20" s="453"/>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542</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46" workbookViewId="0">
      <selection activeCell="I80" sqref="I80"/>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0" t="str">
        <f>'[1]1. паспорт местоположение'!A5:C5</f>
        <v>Год раскрытия информации: 2022 год</v>
      </c>
      <c r="B5" s="470"/>
      <c r="C5" s="470"/>
      <c r="D5" s="470"/>
      <c r="E5" s="470"/>
      <c r="F5" s="470"/>
      <c r="G5" s="470"/>
      <c r="H5" s="470"/>
      <c r="I5" s="470"/>
      <c r="J5" s="470"/>
      <c r="K5" s="470"/>
      <c r="L5" s="470"/>
      <c r="M5" s="470"/>
      <c r="N5" s="470"/>
      <c r="O5" s="470"/>
      <c r="P5" s="47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0" t="s">
        <v>7</v>
      </c>
      <c r="B7" s="470"/>
      <c r="C7" s="470"/>
      <c r="D7" s="470"/>
      <c r="E7" s="470"/>
      <c r="F7" s="470"/>
      <c r="G7" s="470"/>
      <c r="H7" s="470"/>
      <c r="I7" s="470"/>
      <c r="J7" s="470"/>
      <c r="K7" s="470"/>
      <c r="L7" s="470"/>
      <c r="M7" s="470"/>
      <c r="N7" s="470"/>
      <c r="O7" s="470"/>
      <c r="P7" s="47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1" t="str">
        <f>'[1]1. паспорт местоположение'!A9:C9</f>
        <v xml:space="preserve">Акционерное общество "Западная энергетическая компания" </v>
      </c>
      <c r="B9" s="471"/>
      <c r="C9" s="471"/>
      <c r="D9" s="471"/>
      <c r="E9" s="471"/>
      <c r="F9" s="471"/>
      <c r="G9" s="471"/>
      <c r="H9" s="471"/>
      <c r="I9" s="471"/>
      <c r="J9" s="471"/>
      <c r="K9" s="471"/>
      <c r="L9" s="471"/>
      <c r="M9" s="471"/>
      <c r="N9" s="471"/>
      <c r="O9" s="471"/>
      <c r="P9" s="4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69" t="s">
        <v>6</v>
      </c>
      <c r="B10" s="469"/>
      <c r="C10" s="469"/>
      <c r="D10" s="469"/>
      <c r="E10" s="469"/>
      <c r="F10" s="469"/>
      <c r="G10" s="469"/>
      <c r="H10" s="469"/>
      <c r="I10" s="469"/>
      <c r="J10" s="469"/>
      <c r="K10" s="469"/>
      <c r="L10" s="469"/>
      <c r="M10" s="469"/>
      <c r="N10" s="469"/>
      <c r="O10" s="469"/>
      <c r="P10" s="46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1" t="str">
        <f>'1. паспорт местоположение'!A12:C12</f>
        <v>M 22-04</v>
      </c>
      <c r="B12" s="471"/>
      <c r="C12" s="471"/>
      <c r="D12" s="471"/>
      <c r="E12" s="471"/>
      <c r="F12" s="471"/>
      <c r="G12" s="471"/>
      <c r="H12" s="471"/>
      <c r="I12" s="471"/>
      <c r="J12" s="471"/>
      <c r="K12" s="471"/>
      <c r="L12" s="471"/>
      <c r="M12" s="471"/>
      <c r="N12" s="471"/>
      <c r="O12" s="471"/>
      <c r="P12" s="4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69" t="s">
        <v>5</v>
      </c>
      <c r="B13" s="469"/>
      <c r="C13" s="469"/>
      <c r="D13" s="469"/>
      <c r="E13" s="469"/>
      <c r="F13" s="469"/>
      <c r="G13" s="469"/>
      <c r="H13" s="469"/>
      <c r="I13" s="469"/>
      <c r="J13" s="469"/>
      <c r="K13" s="469"/>
      <c r="L13" s="469"/>
      <c r="M13" s="469"/>
      <c r="N13" s="469"/>
      <c r="O13" s="469"/>
      <c r="P13" s="46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0"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5" s="460"/>
      <c r="C15" s="460"/>
      <c r="D15" s="460"/>
      <c r="E15" s="460"/>
      <c r="F15" s="460"/>
      <c r="G15" s="460"/>
      <c r="H15" s="460"/>
      <c r="I15" s="460"/>
      <c r="J15" s="460"/>
      <c r="K15" s="460"/>
      <c r="L15" s="460"/>
      <c r="M15" s="460"/>
      <c r="N15" s="460"/>
      <c r="O15" s="460"/>
      <c r="P15" s="460"/>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1" t="s">
        <v>4</v>
      </c>
      <c r="B16" s="461"/>
      <c r="C16" s="461"/>
      <c r="D16" s="461"/>
      <c r="E16" s="461"/>
      <c r="F16" s="461"/>
      <c r="G16" s="461"/>
      <c r="H16" s="461"/>
      <c r="I16" s="461"/>
      <c r="J16" s="461"/>
      <c r="K16" s="461"/>
      <c r="L16" s="461"/>
      <c r="M16" s="461"/>
      <c r="N16" s="461"/>
      <c r="O16" s="461"/>
      <c r="P16" s="461"/>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2" t="s">
        <v>477</v>
      </c>
      <c r="B18" s="462"/>
      <c r="C18" s="462"/>
      <c r="D18" s="462"/>
      <c r="E18" s="462"/>
      <c r="F18" s="462"/>
      <c r="G18" s="462"/>
      <c r="H18" s="462"/>
      <c r="I18" s="462"/>
      <c r="J18" s="462"/>
      <c r="K18" s="462"/>
      <c r="L18" s="462"/>
      <c r="M18" s="462"/>
      <c r="N18" s="462"/>
      <c r="O18" s="462"/>
      <c r="P18" s="462"/>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1109166.6666666667</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3" t="s">
        <v>324</v>
      </c>
      <c r="E27" s="464"/>
      <c r="F27" s="465"/>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110.91666666666669</v>
      </c>
      <c r="C28" s="272"/>
      <c r="D28" s="463" t="s">
        <v>322</v>
      </c>
      <c r="E28" s="464"/>
      <c r="F28" s="465"/>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3" t="s">
        <v>558</v>
      </c>
      <c r="E29" s="464"/>
      <c r="F29" s="465"/>
      <c r="G29" s="289">
        <f>L87</f>
        <v>-1652908.1452378128</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3"/>
      <c r="E30" s="464"/>
      <c r="F30" s="465"/>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559</v>
      </c>
      <c r="B34" s="284">
        <f>B24*0.0003</f>
        <v>332.75</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560</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-23425.599999999999</v>
      </c>
      <c r="D59" s="324">
        <f t="shared" si="3"/>
        <v>-23425.599999999999</v>
      </c>
      <c r="E59" s="324">
        <f t="shared" si="3"/>
        <v>-23425.599999999999</v>
      </c>
      <c r="F59" s="324">
        <f>SUM(F60:F65)</f>
        <v>-23425.599999999999</v>
      </c>
      <c r="G59" s="324">
        <f t="shared" si="3"/>
        <v>-22449.533333333333</v>
      </c>
      <c r="H59" s="324">
        <f t="shared" si="3"/>
        <v>-21473.466666666667</v>
      </c>
      <c r="I59" s="324">
        <f t="shared" si="3"/>
        <v>-20497.400000000001</v>
      </c>
      <c r="J59" s="324">
        <f t="shared" si="3"/>
        <v>-19521.333333333336</v>
      </c>
      <c r="K59" s="324">
        <f t="shared" si="3"/>
        <v>-18545.26666666667</v>
      </c>
      <c r="L59" s="324">
        <f t="shared" si="3"/>
        <v>-17702.300000000003</v>
      </c>
      <c r="M59" s="324">
        <f t="shared" si="3"/>
        <v>-16593.133333333339</v>
      </c>
      <c r="N59" s="324">
        <f t="shared" si="3"/>
        <v>-16016.366666666672</v>
      </c>
      <c r="O59" s="324">
        <f t="shared" si="3"/>
        <v>-14641.000000000007</v>
      </c>
      <c r="P59" s="324">
        <f t="shared" si="3"/>
        <v>-35138.400000000016</v>
      </c>
      <c r="Q59" s="324">
        <f t="shared" si="3"/>
        <v>-12688.866666666676</v>
      </c>
      <c r="R59" s="324">
        <f t="shared" si="3"/>
        <v>-345868.67945394397</v>
      </c>
      <c r="S59" s="324">
        <f t="shared" si="3"/>
        <v>-10736.733333333343</v>
      </c>
      <c r="T59" s="324">
        <f t="shared" si="3"/>
        <v>-9760.6666666666752</v>
      </c>
      <c r="U59" s="324">
        <f t="shared" si="3"/>
        <v>-8784.6000000000076</v>
      </c>
      <c r="V59" s="324">
        <f t="shared" ref="V59:AE59" si="4">SUM(V60:V65)</f>
        <v>-8207.8333333333412</v>
      </c>
      <c r="W59" s="324">
        <f t="shared" si="4"/>
        <v>-6832.4666666666744</v>
      </c>
      <c r="X59" s="324">
        <f t="shared" si="4"/>
        <v>-340012.27945394401</v>
      </c>
      <c r="Y59" s="324">
        <f t="shared" si="4"/>
        <v>-4880.3333333333412</v>
      </c>
      <c r="Z59" s="324">
        <f t="shared" si="4"/>
        <v>-3904.2666666666746</v>
      </c>
      <c r="AA59" s="324">
        <f t="shared" si="4"/>
        <v>-2928.200000000008</v>
      </c>
      <c r="AB59" s="324">
        <f t="shared" si="4"/>
        <v>-1952.1333333333419</v>
      </c>
      <c r="AC59" s="324">
        <f t="shared" si="4"/>
        <v>0</v>
      </c>
      <c r="AD59" s="324">
        <f t="shared" si="4"/>
        <v>-399.3</v>
      </c>
      <c r="AE59" s="324">
        <f t="shared" si="4"/>
        <v>0</v>
      </c>
    </row>
    <row r="60" spans="1:31" s="262" customFormat="1" ht="12.75" x14ac:dyDescent="0.2">
      <c r="A60" s="325" t="s">
        <v>299</v>
      </c>
      <c r="B60" s="318"/>
      <c r="C60" s="318"/>
      <c r="D60" s="318"/>
      <c r="E60" s="318"/>
      <c r="F60" s="318"/>
      <c r="G60" s="318"/>
      <c r="H60" s="318"/>
      <c r="I60" s="318"/>
      <c r="J60" s="318"/>
      <c r="K60" s="318"/>
      <c r="L60" s="318">
        <f>-B28*1.2</f>
        <v>-133.10000000000002</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559</v>
      </c>
      <c r="B62" s="318"/>
      <c r="C62" s="318"/>
      <c r="D62" s="318"/>
      <c r="E62" s="318"/>
      <c r="F62" s="326"/>
      <c r="G62" s="318"/>
      <c r="H62" s="318"/>
      <c r="I62" s="318"/>
      <c r="J62" s="318"/>
      <c r="K62" s="318"/>
      <c r="L62" s="318"/>
      <c r="M62" s="318"/>
      <c r="N62" s="318">
        <f>-B34*1.2</f>
        <v>-399.3</v>
      </c>
      <c r="O62" s="318"/>
      <c r="P62" s="318"/>
      <c r="Q62" s="318"/>
      <c r="R62" s="318"/>
      <c r="S62" s="318"/>
      <c r="T62" s="318"/>
      <c r="U62" s="318"/>
      <c r="V62" s="318">
        <f>N62</f>
        <v>-399.3</v>
      </c>
      <c r="W62" s="318"/>
      <c r="X62" s="318"/>
      <c r="Y62" s="318"/>
      <c r="Z62" s="318"/>
      <c r="AA62" s="318"/>
      <c r="AB62" s="318"/>
      <c r="AC62" s="318"/>
      <c r="AD62" s="318">
        <f>V62</f>
        <v>-399.3</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561</v>
      </c>
      <c r="B65" s="327">
        <v>0</v>
      </c>
      <c r="C65" s="327">
        <f>-($B$24+C67)*0.022</f>
        <v>-23425.599999999999</v>
      </c>
      <c r="D65" s="327">
        <f t="shared" ref="D65:E65" si="5">-($B$24+D67)*0.022</f>
        <v>-23425.599999999999</v>
      </c>
      <c r="E65" s="327">
        <f t="shared" si="5"/>
        <v>-23425.599999999999</v>
      </c>
      <c r="F65" s="327">
        <f>-($B$24+F67)*0.022</f>
        <v>-23425.599999999999</v>
      </c>
      <c r="G65" s="327">
        <f>-($B$24+G67+F67)*0.022</f>
        <v>-22449.533333333333</v>
      </c>
      <c r="H65" s="328">
        <f>-($B$24+H67+F67+G67)*0.022</f>
        <v>-21473.466666666667</v>
      </c>
      <c r="I65" s="328">
        <f>-($B$24+I67+G67+H67+F67)*0.022</f>
        <v>-20497.400000000001</v>
      </c>
      <c r="J65" s="328">
        <f>-($B$24+J67+H67+I67+G67+F67)*0.022</f>
        <v>-19521.333333333336</v>
      </c>
      <c r="K65" s="328">
        <f>-($B$24+K67+I67+J67+H67+F67+G67)*0.022</f>
        <v>-18545.26666666667</v>
      </c>
      <c r="L65" s="328">
        <f>-($B$24+F67+L67+J67+K67+I67+G67+H67)*0.022</f>
        <v>-17569.200000000004</v>
      </c>
      <c r="M65" s="328">
        <f>-($B$24+G67+M67+K67+L67+J67+H67+I67+F67)*0.022</f>
        <v>-16593.133333333339</v>
      </c>
      <c r="N65" s="328">
        <f>-($B$24+H67+N67+L67+M67+K67+I67+J67+F67+G67)*0.022</f>
        <v>-15617.066666666673</v>
      </c>
      <c r="O65" s="328">
        <f>-($B$24+I67+O67+M67+N67+L67+J67+K67+H67+G67+F67)*0.022</f>
        <v>-14641.000000000007</v>
      </c>
      <c r="P65" s="328">
        <f>(-$B$24+J67+P67+N67+O67+M67+K67+L67+I67+H67+G67+F67)*0.022</f>
        <v>-35138.400000000016</v>
      </c>
      <c r="Q65" s="328">
        <f>-($B$24+K67+Q67+O67+P67+N67+L67+M67+J67+I67+H67+F67+G67)*0.022</f>
        <v>-12688.866666666676</v>
      </c>
      <c r="R65" s="328">
        <f>-($B$24+L67+R67+P67+Q67+O67+M67+N67+K67+J67+I67+G67+F67+H67)*0.022</f>
        <v>-11712.80000000001</v>
      </c>
      <c r="S65" s="328">
        <f>-($B$24+M67+S67+Q67+R67+P67+N67+O67+L67+K67+J67+H67+I67+F67+G67)*0.022</f>
        <v>-10736.733333333343</v>
      </c>
      <c r="T65" s="328">
        <f>-($B$24+N67+T67+R67+S67+Q67+O67+P67+M67+L67+K67+I67+J67+G67+F67+H67)*0.022</f>
        <v>-9760.6666666666752</v>
      </c>
      <c r="U65" s="328">
        <f>-($B$24+O67+U67+S67+T67+R67+P67+Q67+N67+M67+L67+J67+K67+H67+G67+F67+I67)*0.022</f>
        <v>-8784.6000000000076</v>
      </c>
      <c r="V65" s="328">
        <f>-($B$24+P67+V67+T67+U67+S67+Q67+R67+O67+N67+M67+K67+L67+I67+H67+G67+F67+J67)*0.022</f>
        <v>-7808.533333333341</v>
      </c>
      <c r="W65" s="328">
        <f>-($B$24+Q67+W67+U67+V67+T67+R67+S67+P67+O67+N67+L67+M67+J67+I67+H67+G67+F67+K67)*0.022</f>
        <v>-6832.4666666666744</v>
      </c>
      <c r="X65" s="328">
        <f>-($B$24+R67+X67+V67+W67+U67+S67+T67+Q67+P67+O67+M67+N67+K67+J67+I67+H67+F67+G67++L67)*0.022</f>
        <v>-5856.4000000000069</v>
      </c>
      <c r="Y65" s="328">
        <f>-($B$24+S67+Y67+W67+X67+V67+T67+U67+R67+Q67+P67+N67+O67+L67+K67+J67+I67+G67+H67+F67+M67)*0.022</f>
        <v>-4880.3333333333412</v>
      </c>
      <c r="Z65" s="328">
        <f>-($B$24+T67+Z67+X67+Y67+W67+U67+V67+S67+R67+Q67+O67+P67+M67+L67+K67+J67+H67+I67+G67+F67+N67)*0.022</f>
        <v>-3904.2666666666746</v>
      </c>
      <c r="AA65" s="328">
        <f>-($B$24+U67+AA67+Y67+Z67+X67+V67+W67+T67+S67+R67+P67+Q67+N67+M67+L67+K67+I67+J67+H67+G67+F67+O67)*0.022</f>
        <v>-2928.200000000008</v>
      </c>
      <c r="AB65" s="328">
        <f>-($B$24+V67+AB67+Z67+AA67+Y67+W67+X67+U67+T67+S67+Q67+R67+O67+N67+M67+L67+J67+K67+I67+H67+G67+F67+P67)*0.022</f>
        <v>-1952.1333333333419</v>
      </c>
      <c r="AC65" s="328">
        <v>0</v>
      </c>
      <c r="AD65" s="328">
        <v>0</v>
      </c>
      <c r="AE65" s="328">
        <v>0</v>
      </c>
      <c r="AF65" s="328"/>
    </row>
    <row r="66" spans="1:32" s="262" customFormat="1" ht="12.75" x14ac:dyDescent="0.2">
      <c r="A66" s="329" t="s">
        <v>562</v>
      </c>
      <c r="B66" s="258">
        <f t="shared" ref="B66:AE66" si="6">B58+B59</f>
        <v>0</v>
      </c>
      <c r="C66" s="258">
        <f t="shared" si="6"/>
        <v>-23425.599999999999</v>
      </c>
      <c r="D66" s="258">
        <f t="shared" ref="D66:E66" si="7">D58+D59</f>
        <v>-23425.599999999999</v>
      </c>
      <c r="E66" s="258">
        <f t="shared" si="7"/>
        <v>-23425.599999999999</v>
      </c>
      <c r="F66" s="258">
        <f t="shared" si="6"/>
        <v>-23425.599999999999</v>
      </c>
      <c r="G66" s="258">
        <f t="shared" si="6"/>
        <v>-22449.533333333333</v>
      </c>
      <c r="H66" s="258">
        <f t="shared" si="6"/>
        <v>-21473.466666666667</v>
      </c>
      <c r="I66" s="258">
        <f t="shared" si="6"/>
        <v>-20497.400000000001</v>
      </c>
      <c r="J66" s="258">
        <f t="shared" si="6"/>
        <v>-19521.333333333336</v>
      </c>
      <c r="K66" s="258">
        <f t="shared" si="6"/>
        <v>-18545.26666666667</v>
      </c>
      <c r="L66" s="258">
        <f t="shared" si="6"/>
        <v>-17702.300000000003</v>
      </c>
      <c r="M66" s="258">
        <f t="shared" si="6"/>
        <v>-16593.133333333339</v>
      </c>
      <c r="N66" s="258">
        <f t="shared" si="6"/>
        <v>-16016.366666666672</v>
      </c>
      <c r="O66" s="258">
        <f t="shared" si="6"/>
        <v>-14641.000000000007</v>
      </c>
      <c r="P66" s="258">
        <f t="shared" si="6"/>
        <v>-35138.400000000016</v>
      </c>
      <c r="Q66" s="258">
        <f t="shared" si="6"/>
        <v>-12688.866666666676</v>
      </c>
      <c r="R66" s="258">
        <f t="shared" si="6"/>
        <v>-345868.67945394397</v>
      </c>
      <c r="S66" s="258">
        <f t="shared" si="6"/>
        <v>-10736.733333333343</v>
      </c>
      <c r="T66" s="258">
        <f t="shared" si="6"/>
        <v>-9760.6666666666752</v>
      </c>
      <c r="U66" s="258">
        <f t="shared" si="6"/>
        <v>-8784.6000000000076</v>
      </c>
      <c r="V66" s="258">
        <f t="shared" si="6"/>
        <v>-8207.8333333333412</v>
      </c>
      <c r="W66" s="258">
        <f t="shared" si="6"/>
        <v>-6832.4666666666744</v>
      </c>
      <c r="X66" s="258">
        <f t="shared" si="6"/>
        <v>-340012.27945394401</v>
      </c>
      <c r="Y66" s="258">
        <f t="shared" si="6"/>
        <v>-4880.3333333333412</v>
      </c>
      <c r="Z66" s="258">
        <f t="shared" si="6"/>
        <v>-3904.2666666666746</v>
      </c>
      <c r="AA66" s="258">
        <f t="shared" si="6"/>
        <v>-2928.200000000008</v>
      </c>
      <c r="AB66" s="258">
        <f t="shared" si="6"/>
        <v>-1952.1333333333419</v>
      </c>
      <c r="AC66" s="258">
        <f t="shared" si="6"/>
        <v>0</v>
      </c>
      <c r="AD66" s="258">
        <f t="shared" si="6"/>
        <v>-399.3</v>
      </c>
      <c r="AE66" s="258">
        <f t="shared" si="6"/>
        <v>0</v>
      </c>
    </row>
    <row r="67" spans="1:32" s="262" customFormat="1" ht="12.75" x14ac:dyDescent="0.2">
      <c r="A67" s="325" t="s">
        <v>294</v>
      </c>
      <c r="B67" s="330">
        <v>0</v>
      </c>
      <c r="C67" s="330">
        <f>($B$81+$C$81+$D$81+$E$81+$F$81)*$B$27/$B$26</f>
        <v>-44366.666666666664</v>
      </c>
      <c r="D67" s="330">
        <f t="shared" ref="D67:E67" si="8">($B$81+$C$81+$D$81+$E$81+$F$81)*$B$27/$B$26</f>
        <v>-44366.666666666664</v>
      </c>
      <c r="E67" s="330">
        <f t="shared" si="8"/>
        <v>-44366.666666666664</v>
      </c>
      <c r="F67" s="330">
        <f>($B$81+$C$81+$D$81+$E$81+$F$81)*$B$27/$B$26</f>
        <v>-44366.666666666664</v>
      </c>
      <c r="G67" s="330">
        <f>($B$81+$C$81+$D$81+$E$81+$F$81)*$B$27/$B$26</f>
        <v>-44366.666666666664</v>
      </c>
      <c r="H67" s="328">
        <f t="shared" ref="H67:AE67" si="9">G67</f>
        <v>-44366.666666666664</v>
      </c>
      <c r="I67" s="328">
        <f t="shared" si="9"/>
        <v>-44366.666666666664</v>
      </c>
      <c r="J67" s="328">
        <f t="shared" si="9"/>
        <v>-44366.666666666664</v>
      </c>
      <c r="K67" s="328">
        <f t="shared" si="9"/>
        <v>-44366.666666666664</v>
      </c>
      <c r="L67" s="328">
        <f t="shared" si="9"/>
        <v>-44366.666666666664</v>
      </c>
      <c r="M67" s="328">
        <f t="shared" si="9"/>
        <v>-44366.666666666664</v>
      </c>
      <c r="N67" s="328">
        <f t="shared" si="9"/>
        <v>-44366.666666666664</v>
      </c>
      <c r="O67" s="328">
        <f t="shared" si="9"/>
        <v>-44366.666666666664</v>
      </c>
      <c r="P67" s="328">
        <f t="shared" si="9"/>
        <v>-44366.666666666664</v>
      </c>
      <c r="Q67" s="328">
        <f t="shared" si="9"/>
        <v>-44366.666666666664</v>
      </c>
      <c r="R67" s="328">
        <f t="shared" si="9"/>
        <v>-44366.666666666664</v>
      </c>
      <c r="S67" s="328">
        <f t="shared" si="9"/>
        <v>-44366.666666666664</v>
      </c>
      <c r="T67" s="328">
        <f t="shared" si="9"/>
        <v>-44366.666666666664</v>
      </c>
      <c r="U67" s="328">
        <f t="shared" si="9"/>
        <v>-44366.666666666664</v>
      </c>
      <c r="V67" s="328">
        <f t="shared" si="9"/>
        <v>-44366.666666666664</v>
      </c>
      <c r="W67" s="328">
        <f t="shared" si="9"/>
        <v>-44366.666666666664</v>
      </c>
      <c r="X67" s="328">
        <f t="shared" si="9"/>
        <v>-44366.666666666664</v>
      </c>
      <c r="Y67" s="328">
        <f t="shared" si="9"/>
        <v>-44366.666666666664</v>
      </c>
      <c r="Z67" s="328">
        <f t="shared" si="9"/>
        <v>-44366.666666666664</v>
      </c>
      <c r="AA67" s="328">
        <f t="shared" si="9"/>
        <v>-44366.666666666664</v>
      </c>
      <c r="AB67" s="328">
        <f t="shared" si="9"/>
        <v>-44366.666666666664</v>
      </c>
      <c r="AC67" s="328">
        <v>0</v>
      </c>
      <c r="AD67" s="328">
        <f t="shared" si="9"/>
        <v>0</v>
      </c>
      <c r="AE67" s="328">
        <f t="shared" si="9"/>
        <v>0</v>
      </c>
    </row>
    <row r="68" spans="1:32" s="262" customFormat="1" ht="12.75" x14ac:dyDescent="0.2">
      <c r="A68" s="329" t="s">
        <v>563</v>
      </c>
      <c r="B68" s="258">
        <f t="shared" ref="B68:AE68" si="10">B66+B67</f>
        <v>0</v>
      </c>
      <c r="C68" s="258">
        <f t="shared" si="10"/>
        <v>-67792.266666666663</v>
      </c>
      <c r="D68" s="258">
        <f t="shared" si="10"/>
        <v>-67792.266666666663</v>
      </c>
      <c r="E68" s="258">
        <f t="shared" si="10"/>
        <v>-67792.266666666663</v>
      </c>
      <c r="F68" s="258">
        <f t="shared" si="10"/>
        <v>-67792.266666666663</v>
      </c>
      <c r="G68" s="258">
        <f t="shared" si="10"/>
        <v>-66816.2</v>
      </c>
      <c r="H68" s="258">
        <f t="shared" si="10"/>
        <v>-65840.133333333331</v>
      </c>
      <c r="I68" s="258">
        <f t="shared" si="10"/>
        <v>-64864.066666666666</v>
      </c>
      <c r="J68" s="258">
        <f t="shared" si="10"/>
        <v>-63888</v>
      </c>
      <c r="K68" s="258">
        <f t="shared" si="10"/>
        <v>-62911.933333333334</v>
      </c>
      <c r="L68" s="258">
        <f t="shared" si="10"/>
        <v>-62068.966666666667</v>
      </c>
      <c r="M68" s="258">
        <f t="shared" si="10"/>
        <v>-60959.8</v>
      </c>
      <c r="N68" s="258">
        <f t="shared" si="10"/>
        <v>-60383.03333333334</v>
      </c>
      <c r="O68" s="258">
        <f t="shared" si="10"/>
        <v>-59007.666666666672</v>
      </c>
      <c r="P68" s="258">
        <f t="shared" si="10"/>
        <v>-79505.06666666668</v>
      </c>
      <c r="Q68" s="258">
        <f t="shared" si="10"/>
        <v>-57055.53333333334</v>
      </c>
      <c r="R68" s="258">
        <f t="shared" si="10"/>
        <v>-390235.34612061066</v>
      </c>
      <c r="S68" s="258">
        <f t="shared" si="10"/>
        <v>-55103.400000000009</v>
      </c>
      <c r="T68" s="258">
        <f t="shared" si="10"/>
        <v>-54127.333333333343</v>
      </c>
      <c r="U68" s="258">
        <f t="shared" si="10"/>
        <v>-53151.26666666667</v>
      </c>
      <c r="V68" s="258">
        <f t="shared" si="10"/>
        <v>-52574.500000000007</v>
      </c>
      <c r="W68" s="258">
        <f t="shared" si="10"/>
        <v>-51199.133333333339</v>
      </c>
      <c r="X68" s="258">
        <f t="shared" si="10"/>
        <v>-384378.94612061069</v>
      </c>
      <c r="Y68" s="258">
        <f t="shared" si="10"/>
        <v>-49247.000000000007</v>
      </c>
      <c r="Z68" s="258">
        <f t="shared" si="10"/>
        <v>-48270.933333333342</v>
      </c>
      <c r="AA68" s="258">
        <f t="shared" si="10"/>
        <v>-47294.866666666669</v>
      </c>
      <c r="AB68" s="258">
        <f t="shared" si="10"/>
        <v>-46318.8</v>
      </c>
      <c r="AC68" s="258">
        <f t="shared" si="10"/>
        <v>0</v>
      </c>
      <c r="AD68" s="258">
        <f t="shared" si="10"/>
        <v>-399.3</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-67792.266666666663</v>
      </c>
      <c r="D70" s="258">
        <f t="shared" si="11"/>
        <v>-67792.266666666663</v>
      </c>
      <c r="E70" s="258">
        <f t="shared" si="11"/>
        <v>-67792.266666666663</v>
      </c>
      <c r="F70" s="258">
        <f t="shared" si="11"/>
        <v>-67792.266666666663</v>
      </c>
      <c r="G70" s="258">
        <f t="shared" si="11"/>
        <v>-66816.2</v>
      </c>
      <c r="H70" s="258">
        <f t="shared" si="11"/>
        <v>-65840.133333333331</v>
      </c>
      <c r="I70" s="258">
        <f t="shared" si="11"/>
        <v>-64864.066666666666</v>
      </c>
      <c r="J70" s="258">
        <f t="shared" si="11"/>
        <v>-63888</v>
      </c>
      <c r="K70" s="258">
        <f t="shared" si="11"/>
        <v>-62911.933333333334</v>
      </c>
      <c r="L70" s="258">
        <f t="shared" si="11"/>
        <v>-62068.966666666667</v>
      </c>
      <c r="M70" s="258">
        <f t="shared" si="11"/>
        <v>-60959.8</v>
      </c>
      <c r="N70" s="258">
        <f t="shared" si="11"/>
        <v>-60383.03333333334</v>
      </c>
      <c r="O70" s="258">
        <f t="shared" si="11"/>
        <v>-59007.666666666672</v>
      </c>
      <c r="P70" s="258">
        <f t="shared" si="11"/>
        <v>-79505.06666666668</v>
      </c>
      <c r="Q70" s="258">
        <f t="shared" si="11"/>
        <v>-57055.53333333334</v>
      </c>
      <c r="R70" s="258">
        <f t="shared" si="11"/>
        <v>-390235.34612061066</v>
      </c>
      <c r="S70" s="258">
        <f t="shared" si="11"/>
        <v>-55103.400000000009</v>
      </c>
      <c r="T70" s="258">
        <f t="shared" si="11"/>
        <v>-54127.333333333343</v>
      </c>
      <c r="U70" s="258">
        <f t="shared" si="11"/>
        <v>-53151.26666666667</v>
      </c>
      <c r="V70" s="258">
        <f t="shared" si="11"/>
        <v>-52574.500000000007</v>
      </c>
      <c r="W70" s="258">
        <f t="shared" si="11"/>
        <v>-51199.133333333339</v>
      </c>
      <c r="X70" s="258">
        <f t="shared" si="11"/>
        <v>-384378.94612061069</v>
      </c>
      <c r="Y70" s="258">
        <f t="shared" si="11"/>
        <v>-49247.000000000007</v>
      </c>
      <c r="Z70" s="258">
        <f t="shared" si="11"/>
        <v>-48270.933333333342</v>
      </c>
      <c r="AA70" s="258">
        <f t="shared" si="11"/>
        <v>-47294.866666666669</v>
      </c>
      <c r="AB70" s="258">
        <f t="shared" si="11"/>
        <v>-46318.8</v>
      </c>
      <c r="AC70" s="258">
        <f t="shared" si="11"/>
        <v>0</v>
      </c>
      <c r="AD70" s="258">
        <f t="shared" si="11"/>
        <v>-399.3</v>
      </c>
      <c r="AE70" s="258">
        <f t="shared" si="11"/>
        <v>0</v>
      </c>
    </row>
    <row r="71" spans="1:32" s="262" customFormat="1" ht="12.75" x14ac:dyDescent="0.2">
      <c r="A71" s="325" t="s">
        <v>292</v>
      </c>
      <c r="B71" s="330">
        <f t="shared" ref="B71:AE71" si="12">-B70*$B$35</f>
        <v>0</v>
      </c>
      <c r="C71" s="330">
        <f t="shared" si="12"/>
        <v>13558.453333333333</v>
      </c>
      <c r="D71" s="330">
        <f t="shared" si="12"/>
        <v>13558.453333333333</v>
      </c>
      <c r="E71" s="330">
        <f t="shared" si="12"/>
        <v>13558.453333333333</v>
      </c>
      <c r="F71" s="330">
        <f t="shared" si="12"/>
        <v>13558.453333333333</v>
      </c>
      <c r="G71" s="330">
        <f t="shared" si="12"/>
        <v>13363.24</v>
      </c>
      <c r="H71" s="330">
        <f t="shared" si="12"/>
        <v>13168.026666666667</v>
      </c>
      <c r="I71" s="330">
        <f t="shared" si="12"/>
        <v>12972.813333333334</v>
      </c>
      <c r="J71" s="330">
        <f t="shared" si="12"/>
        <v>12777.6</v>
      </c>
      <c r="K71" s="330">
        <f t="shared" si="12"/>
        <v>12582.386666666667</v>
      </c>
      <c r="L71" s="330">
        <f t="shared" si="12"/>
        <v>12413.793333333335</v>
      </c>
      <c r="M71" s="330">
        <f t="shared" si="12"/>
        <v>12191.960000000001</v>
      </c>
      <c r="N71" s="330">
        <f t="shared" si="12"/>
        <v>12076.606666666668</v>
      </c>
      <c r="O71" s="330">
        <f t="shared" si="12"/>
        <v>11801.533333333335</v>
      </c>
      <c r="P71" s="330">
        <f t="shared" si="12"/>
        <v>15901.013333333336</v>
      </c>
      <c r="Q71" s="330">
        <f t="shared" si="12"/>
        <v>11411.106666666668</v>
      </c>
      <c r="R71" s="330">
        <f t="shared" si="12"/>
        <v>78047.06922412214</v>
      </c>
      <c r="S71" s="330">
        <f t="shared" si="12"/>
        <v>11020.680000000002</v>
      </c>
      <c r="T71" s="330">
        <f t="shared" si="12"/>
        <v>10825.466666666669</v>
      </c>
      <c r="U71" s="330">
        <f t="shared" si="12"/>
        <v>10630.253333333334</v>
      </c>
      <c r="V71" s="330">
        <f t="shared" si="12"/>
        <v>10514.900000000001</v>
      </c>
      <c r="W71" s="330">
        <f t="shared" si="12"/>
        <v>10239.826666666668</v>
      </c>
      <c r="X71" s="330">
        <f t="shared" si="12"/>
        <v>76875.789224122142</v>
      </c>
      <c r="Y71" s="330">
        <f t="shared" si="12"/>
        <v>9849.4000000000015</v>
      </c>
      <c r="Z71" s="330">
        <f t="shared" si="12"/>
        <v>9654.1866666666683</v>
      </c>
      <c r="AA71" s="330">
        <f t="shared" si="12"/>
        <v>9458.9733333333334</v>
      </c>
      <c r="AB71" s="330">
        <f t="shared" si="12"/>
        <v>9263.76</v>
      </c>
      <c r="AC71" s="330">
        <f t="shared" si="12"/>
        <v>0</v>
      </c>
      <c r="AD71" s="330">
        <f t="shared" si="12"/>
        <v>79.860000000000014</v>
      </c>
      <c r="AE71" s="330">
        <f t="shared" si="12"/>
        <v>0</v>
      </c>
    </row>
    <row r="72" spans="1:32" s="262" customFormat="1" ht="13.5" thickBot="1" x14ac:dyDescent="0.25">
      <c r="A72" s="331" t="s">
        <v>296</v>
      </c>
      <c r="B72" s="332">
        <f t="shared" ref="B72:AE72" si="13">B70+B71</f>
        <v>0</v>
      </c>
      <c r="C72" s="332">
        <f t="shared" si="13"/>
        <v>-54233.813333333332</v>
      </c>
      <c r="D72" s="332">
        <f t="shared" si="13"/>
        <v>-54233.813333333332</v>
      </c>
      <c r="E72" s="332">
        <f t="shared" si="13"/>
        <v>-54233.813333333332</v>
      </c>
      <c r="F72" s="332">
        <f t="shared" si="13"/>
        <v>-54233.813333333332</v>
      </c>
      <c r="G72" s="332">
        <f t="shared" si="13"/>
        <v>-53452.959999999999</v>
      </c>
      <c r="H72" s="332">
        <f t="shared" si="13"/>
        <v>-52672.106666666667</v>
      </c>
      <c r="I72" s="332">
        <f t="shared" si="13"/>
        <v>-51891.253333333334</v>
      </c>
      <c r="J72" s="332">
        <f t="shared" si="13"/>
        <v>-51110.400000000001</v>
      </c>
      <c r="K72" s="332">
        <f t="shared" si="13"/>
        <v>-50329.546666666669</v>
      </c>
      <c r="L72" s="332">
        <f t="shared" si="13"/>
        <v>-49655.173333333332</v>
      </c>
      <c r="M72" s="332">
        <f t="shared" si="13"/>
        <v>-48767.840000000004</v>
      </c>
      <c r="N72" s="332">
        <f t="shared" si="13"/>
        <v>-48306.426666666674</v>
      </c>
      <c r="O72" s="332">
        <f t="shared" si="13"/>
        <v>-47206.133333333339</v>
      </c>
      <c r="P72" s="332">
        <f t="shared" si="13"/>
        <v>-63604.053333333344</v>
      </c>
      <c r="Q72" s="332">
        <f t="shared" si="13"/>
        <v>-45644.426666666674</v>
      </c>
      <c r="R72" s="332">
        <f t="shared" si="13"/>
        <v>-312188.2768964885</v>
      </c>
      <c r="S72" s="332">
        <f t="shared" si="13"/>
        <v>-44082.720000000008</v>
      </c>
      <c r="T72" s="332">
        <f t="shared" si="13"/>
        <v>-43301.866666666676</v>
      </c>
      <c r="U72" s="332">
        <f t="shared" si="13"/>
        <v>-42521.013333333336</v>
      </c>
      <c r="V72" s="332">
        <f t="shared" si="13"/>
        <v>-42059.600000000006</v>
      </c>
      <c r="W72" s="332">
        <f t="shared" si="13"/>
        <v>-40959.306666666671</v>
      </c>
      <c r="X72" s="332">
        <f t="shared" si="13"/>
        <v>-307503.15689648857</v>
      </c>
      <c r="Y72" s="332">
        <f t="shared" si="13"/>
        <v>-39397.600000000006</v>
      </c>
      <c r="Z72" s="332">
        <f t="shared" si="13"/>
        <v>-38616.746666666673</v>
      </c>
      <c r="AA72" s="332">
        <f t="shared" si="13"/>
        <v>-37835.893333333333</v>
      </c>
      <c r="AB72" s="332">
        <f t="shared" si="13"/>
        <v>-37055.040000000001</v>
      </c>
      <c r="AC72" s="332">
        <f t="shared" si="13"/>
        <v>0</v>
      </c>
      <c r="AD72" s="332">
        <f t="shared" si="13"/>
        <v>-319.44</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563</v>
      </c>
      <c r="B75" s="258">
        <f t="shared" ref="B75:AE75" si="14">B68</f>
        <v>0</v>
      </c>
      <c r="C75" s="258">
        <f t="shared" si="14"/>
        <v>-67792.266666666663</v>
      </c>
      <c r="D75" s="258">
        <f t="shared" si="14"/>
        <v>-67792.266666666663</v>
      </c>
      <c r="E75" s="258">
        <f t="shared" si="14"/>
        <v>-67792.266666666663</v>
      </c>
      <c r="F75" s="258">
        <f t="shared" si="14"/>
        <v>-67792.266666666663</v>
      </c>
      <c r="G75" s="258">
        <f t="shared" si="14"/>
        <v>-66816.2</v>
      </c>
      <c r="H75" s="258">
        <f t="shared" si="14"/>
        <v>-65840.133333333331</v>
      </c>
      <c r="I75" s="258">
        <f t="shared" si="14"/>
        <v>-64864.066666666666</v>
      </c>
      <c r="J75" s="258">
        <f t="shared" si="14"/>
        <v>-63888</v>
      </c>
      <c r="K75" s="258">
        <f t="shared" si="14"/>
        <v>-62911.933333333334</v>
      </c>
      <c r="L75" s="258">
        <f t="shared" si="14"/>
        <v>-62068.966666666667</v>
      </c>
      <c r="M75" s="258">
        <f t="shared" si="14"/>
        <v>-60959.8</v>
      </c>
      <c r="N75" s="258">
        <f t="shared" si="14"/>
        <v>-60383.03333333334</v>
      </c>
      <c r="O75" s="258">
        <f t="shared" si="14"/>
        <v>-59007.666666666672</v>
      </c>
      <c r="P75" s="258">
        <f t="shared" si="14"/>
        <v>-79505.06666666668</v>
      </c>
      <c r="Q75" s="258">
        <f t="shared" si="14"/>
        <v>-57055.53333333334</v>
      </c>
      <c r="R75" s="258">
        <f t="shared" si="14"/>
        <v>-390235.34612061066</v>
      </c>
      <c r="S75" s="258">
        <f t="shared" si="14"/>
        <v>-55103.400000000009</v>
      </c>
      <c r="T75" s="258">
        <f t="shared" si="14"/>
        <v>-54127.333333333343</v>
      </c>
      <c r="U75" s="258">
        <f t="shared" si="14"/>
        <v>-53151.26666666667</v>
      </c>
      <c r="V75" s="258">
        <f t="shared" si="14"/>
        <v>-52574.500000000007</v>
      </c>
      <c r="W75" s="258">
        <f t="shared" si="14"/>
        <v>-51199.133333333339</v>
      </c>
      <c r="X75" s="258">
        <f t="shared" si="14"/>
        <v>-384378.94612061069</v>
      </c>
      <c r="Y75" s="258">
        <f t="shared" si="14"/>
        <v>-49247.000000000007</v>
      </c>
      <c r="Z75" s="258">
        <f t="shared" si="14"/>
        <v>-48270.933333333342</v>
      </c>
      <c r="AA75" s="258">
        <f t="shared" si="14"/>
        <v>-47294.866666666669</v>
      </c>
      <c r="AB75" s="258">
        <f t="shared" si="14"/>
        <v>-46318.8</v>
      </c>
      <c r="AC75" s="258">
        <f t="shared" si="14"/>
        <v>0</v>
      </c>
      <c r="AD75" s="258">
        <f t="shared" si="14"/>
        <v>-399.3</v>
      </c>
      <c r="AE75" s="258">
        <f t="shared" si="14"/>
        <v>0</v>
      </c>
    </row>
    <row r="76" spans="1:32" s="262" customFormat="1" ht="12.75" x14ac:dyDescent="0.2">
      <c r="A76" s="325" t="s">
        <v>294</v>
      </c>
      <c r="B76" s="330">
        <f t="shared" ref="B76:AE76" si="15">-B67</f>
        <v>0</v>
      </c>
      <c r="C76" s="330">
        <f t="shared" si="15"/>
        <v>44366.666666666664</v>
      </c>
      <c r="D76" s="330">
        <f t="shared" si="15"/>
        <v>44366.666666666664</v>
      </c>
      <c r="E76" s="330">
        <f t="shared" si="15"/>
        <v>44366.666666666664</v>
      </c>
      <c r="F76" s="330">
        <f t="shared" si="15"/>
        <v>44366.666666666664</v>
      </c>
      <c r="G76" s="330">
        <f>-G67</f>
        <v>44366.666666666664</v>
      </c>
      <c r="H76" s="330">
        <f t="shared" si="15"/>
        <v>44366.666666666664</v>
      </c>
      <c r="I76" s="330">
        <f t="shared" si="15"/>
        <v>44366.666666666664</v>
      </c>
      <c r="J76" s="330">
        <f t="shared" si="15"/>
        <v>44366.666666666664</v>
      </c>
      <c r="K76" s="330">
        <f t="shared" si="15"/>
        <v>44366.666666666664</v>
      </c>
      <c r="L76" s="330">
        <f t="shared" si="15"/>
        <v>44366.666666666664</v>
      </c>
      <c r="M76" s="330">
        <f t="shared" si="15"/>
        <v>44366.666666666664</v>
      </c>
      <c r="N76" s="330">
        <f t="shared" si="15"/>
        <v>44366.666666666664</v>
      </c>
      <c r="O76" s="330">
        <f t="shared" si="15"/>
        <v>44366.666666666664</v>
      </c>
      <c r="P76" s="330">
        <f t="shared" si="15"/>
        <v>44366.666666666664</v>
      </c>
      <c r="Q76" s="330">
        <f t="shared" si="15"/>
        <v>44366.666666666664</v>
      </c>
      <c r="R76" s="330">
        <f t="shared" si="15"/>
        <v>44366.666666666664</v>
      </c>
      <c r="S76" s="330">
        <f t="shared" si="15"/>
        <v>44366.666666666664</v>
      </c>
      <c r="T76" s="330">
        <f t="shared" si="15"/>
        <v>44366.666666666664</v>
      </c>
      <c r="U76" s="330">
        <f t="shared" si="15"/>
        <v>44366.666666666664</v>
      </c>
      <c r="V76" s="330">
        <f t="shared" si="15"/>
        <v>44366.666666666664</v>
      </c>
      <c r="W76" s="330">
        <f t="shared" si="15"/>
        <v>44366.666666666664</v>
      </c>
      <c r="X76" s="330">
        <f t="shared" si="15"/>
        <v>44366.666666666664</v>
      </c>
      <c r="Y76" s="330">
        <f t="shared" si="15"/>
        <v>44366.666666666664</v>
      </c>
      <c r="Z76" s="330">
        <f t="shared" si="15"/>
        <v>44366.666666666664</v>
      </c>
      <c r="AA76" s="330">
        <f t="shared" si="15"/>
        <v>44366.666666666664</v>
      </c>
      <c r="AB76" s="330">
        <f t="shared" si="15"/>
        <v>44366.666666666664</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-266200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-26.620000000053551</v>
      </c>
      <c r="M79" s="330">
        <f>IF(((SUM($B$58:M58)+SUM($B$60:M64))+SUM($B$81:M81))&lt;0,((SUM($B$58:M58)+SUM($B$60:M64))+SUM($B$81:M81))*0.2-SUM($A$79:L79),IF(SUM($A$79:L79)&lt;0,0-SUM($A$79:L79),0))</f>
        <v>0</v>
      </c>
      <c r="N79" s="330">
        <f>IF(((SUM($B$58:N58)+SUM($B$60:N64))+SUM($B$81:N81))&lt;0,((SUM($B$58:N58)+SUM($B$60:N64))+SUM($B$81:N81))*0.2-SUM($A$79:M79),IF(SUM($A$79:M79)&lt;0,0-SUM($A$79:M79),0))</f>
        <v>-79.859999999927823</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-66831.175890788843</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-79.85999999998603</v>
      </c>
      <c r="W79" s="330">
        <f>IF(((SUM($B$58:W58)+SUM($B$60:W64))+SUM($B$81:W81))&lt;0,((SUM($B$58:W58)+SUM($B$60:W64))+SUM($B$81:W81))*0.2-SUM($A$79:V79),IF(SUM($A$79:V79)&lt;0,0-SUM($A$79:V79),0))</f>
        <v>0</v>
      </c>
      <c r="X79" s="330">
        <f>IF(((SUM($B$58:X58)+SUM($B$60:X64))+SUM($B$81:X81))&lt;0,((SUM($B$58:X58)+SUM($B$60:X64))+SUM($B$81:X81))*0.2-SUM($A$79:W79),IF(SUM($A$79:W79)&lt;0,0-SUM($A$79:W79),0))</f>
        <v>-66831.175890788843</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-79.85999999998603</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-1331000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-1597200</v>
      </c>
      <c r="C83" s="258">
        <f t="shared" ref="C83:AE83" si="18">SUM(C75:C82)</f>
        <v>-23425.599999999999</v>
      </c>
      <c r="D83" s="258">
        <f t="shared" si="18"/>
        <v>-23425.599999999999</v>
      </c>
      <c r="E83" s="258">
        <f t="shared" si="18"/>
        <v>-23425.599999999999</v>
      </c>
      <c r="F83" s="258">
        <f t="shared" si="18"/>
        <v>-23425.599999999999</v>
      </c>
      <c r="G83" s="258">
        <f t="shared" si="18"/>
        <v>-22449.533333333333</v>
      </c>
      <c r="H83" s="258">
        <f t="shared" si="18"/>
        <v>-21473.466666666667</v>
      </c>
      <c r="I83" s="258">
        <f t="shared" si="18"/>
        <v>-20497.400000000001</v>
      </c>
      <c r="J83" s="258">
        <f t="shared" si="18"/>
        <v>-19521.333333333336</v>
      </c>
      <c r="K83" s="258">
        <f t="shared" si="18"/>
        <v>-18545.26666666667</v>
      </c>
      <c r="L83" s="258">
        <f t="shared" si="18"/>
        <v>-17728.920000000056</v>
      </c>
      <c r="M83" s="258">
        <f t="shared" si="18"/>
        <v>-16593.133333333339</v>
      </c>
      <c r="N83" s="258">
        <f t="shared" si="18"/>
        <v>-16096.226666666604</v>
      </c>
      <c r="O83" s="258">
        <f t="shared" si="18"/>
        <v>-14641.000000000007</v>
      </c>
      <c r="P83" s="258">
        <f t="shared" si="18"/>
        <v>-35138.400000000016</v>
      </c>
      <c r="Q83" s="258">
        <f t="shared" si="18"/>
        <v>-12688.866666666676</v>
      </c>
      <c r="R83" s="258">
        <f t="shared" si="18"/>
        <v>-412699.85534473282</v>
      </c>
      <c r="S83" s="258">
        <f t="shared" si="18"/>
        <v>-10736.733333333344</v>
      </c>
      <c r="T83" s="258">
        <f t="shared" si="18"/>
        <v>-9760.6666666666788</v>
      </c>
      <c r="U83" s="258">
        <f t="shared" si="18"/>
        <v>-8784.6000000000058</v>
      </c>
      <c r="V83" s="258">
        <f t="shared" si="18"/>
        <v>-8287.6933333333291</v>
      </c>
      <c r="W83" s="258">
        <f t="shared" si="18"/>
        <v>-6832.4666666666744</v>
      </c>
      <c r="X83" s="258">
        <f t="shared" si="18"/>
        <v>-406843.45534473285</v>
      </c>
      <c r="Y83" s="258">
        <f t="shared" si="18"/>
        <v>-4880.333333333343</v>
      </c>
      <c r="Z83" s="258">
        <f t="shared" si="18"/>
        <v>-3904.2666666666773</v>
      </c>
      <c r="AA83" s="258">
        <f t="shared" si="18"/>
        <v>-2928.2000000000044</v>
      </c>
      <c r="AB83" s="258">
        <f t="shared" si="18"/>
        <v>-1952.1333333333387</v>
      </c>
      <c r="AC83" s="258">
        <f t="shared" si="18"/>
        <v>0</v>
      </c>
      <c r="AD83" s="258">
        <f t="shared" si="18"/>
        <v>-479.15999999998604</v>
      </c>
      <c r="AE83" s="258">
        <f t="shared" si="18"/>
        <v>0</v>
      </c>
    </row>
    <row r="84" spans="1:31" s="262" customFormat="1" ht="12.75" x14ac:dyDescent="0.2">
      <c r="A84" s="329" t="s">
        <v>564</v>
      </c>
      <c r="B84" s="258">
        <f>SUM($B$83:B83)</f>
        <v>-1597200</v>
      </c>
      <c r="C84" s="258">
        <f>SUM($B$83:C83)</f>
        <v>-1620625.6</v>
      </c>
      <c r="D84" s="258">
        <f>SUM($B$83:D83)</f>
        <v>-1644051.2000000002</v>
      </c>
      <c r="E84" s="258">
        <f>SUM($B$83:E83)</f>
        <v>-1667476.8000000003</v>
      </c>
      <c r="F84" s="258">
        <f>SUM($B$83:F83)</f>
        <v>-1690902.4000000004</v>
      </c>
      <c r="G84" s="258">
        <f>SUM($B$83:G83)</f>
        <v>-1713351.9333333338</v>
      </c>
      <c r="H84" s="258">
        <f>SUM($B$83:H83)</f>
        <v>-1734825.4000000004</v>
      </c>
      <c r="I84" s="258">
        <f>SUM($B$83:I83)</f>
        <v>-1755322.8000000003</v>
      </c>
      <c r="J84" s="258">
        <f>SUM($B$83:J83)</f>
        <v>-1774844.1333333335</v>
      </c>
      <c r="K84" s="258">
        <f>SUM($B$83:K83)</f>
        <v>-1793389.4000000001</v>
      </c>
      <c r="L84" s="258">
        <f>SUM($B$83:L83)</f>
        <v>-1811118.3200000003</v>
      </c>
      <c r="M84" s="258">
        <f>SUM($B$83:M83)</f>
        <v>-1827711.4533333336</v>
      </c>
      <c r="N84" s="258">
        <f>SUM($B$83:N83)</f>
        <v>-1843807.6800000002</v>
      </c>
      <c r="O84" s="258">
        <f>SUM($B$83:O83)</f>
        <v>-1858448.6800000002</v>
      </c>
      <c r="P84" s="258">
        <f>SUM($B$83:P83)</f>
        <v>-1893587.08</v>
      </c>
      <c r="Q84" s="258">
        <f>SUM($B$83:Q83)</f>
        <v>-1906275.9466666668</v>
      </c>
      <c r="R84" s="258">
        <f>SUM($B$83:R83)</f>
        <v>-2318975.8020113995</v>
      </c>
      <c r="S84" s="258">
        <f>SUM($B$83:S83)</f>
        <v>-2329712.5353447329</v>
      </c>
      <c r="T84" s="258">
        <f>SUM($B$83:T83)</f>
        <v>-2339473.2020113994</v>
      </c>
      <c r="U84" s="258">
        <f>SUM($B$83:U83)</f>
        <v>-2348257.8020113995</v>
      </c>
      <c r="V84" s="258">
        <f>SUM($B$83:V83)</f>
        <v>-2356545.4953447329</v>
      </c>
      <c r="W84" s="258">
        <f>SUM($B$83:W83)</f>
        <v>-2363377.9620113997</v>
      </c>
      <c r="X84" s="258">
        <f>SUM($B$83:X83)</f>
        <v>-2770221.4173561325</v>
      </c>
      <c r="Y84" s="258">
        <f>SUM($B$83:Y83)</f>
        <v>-2775101.750689466</v>
      </c>
      <c r="Z84" s="258">
        <f>SUM($B$83:Z83)</f>
        <v>-2779006.0173561326</v>
      </c>
      <c r="AA84" s="258">
        <f>SUM($B$83:AA83)</f>
        <v>-2781934.2173561328</v>
      </c>
      <c r="AB84" s="258">
        <f>SUM($B$83:AB83)</f>
        <v>-2783886.3506894661</v>
      </c>
      <c r="AC84" s="258">
        <f>SUM($B$83:AC83)</f>
        <v>-2783886.3506894661</v>
      </c>
      <c r="AD84" s="258">
        <f>SUM($B$83:AD83)</f>
        <v>-2784365.5106894663</v>
      </c>
      <c r="AE84" s="258">
        <f>SUM($B$83:AE83)</f>
        <v>-2784365.5106894663</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565</v>
      </c>
      <c r="B86" s="258">
        <f t="shared" ref="B86:AE86" si="20">B83*B85</f>
        <v>-1523771.1239402664</v>
      </c>
      <c r="C86" s="258">
        <f t="shared" si="20"/>
        <v>-20340.987668266043</v>
      </c>
      <c r="D86" s="258">
        <f t="shared" si="20"/>
        <v>-18513.686782803354</v>
      </c>
      <c r="E86" s="258">
        <f t="shared" si="20"/>
        <v>-16850.53862091868</v>
      </c>
      <c r="F86" s="258">
        <f t="shared" si="20"/>
        <v>-15336.796778846527</v>
      </c>
      <c r="G86" s="258">
        <f t="shared" si="20"/>
        <v>-13377.412924117521</v>
      </c>
      <c r="H86" s="258">
        <f t="shared" si="20"/>
        <v>-11646.296782782241</v>
      </c>
      <c r="I86" s="258">
        <f t="shared" si="20"/>
        <v>-10118.248526706235</v>
      </c>
      <c r="J86" s="258">
        <f t="shared" si="20"/>
        <v>-8770.7537710855122</v>
      </c>
      <c r="K86" s="258">
        <f t="shared" si="20"/>
        <v>-7583.7044530183275</v>
      </c>
      <c r="L86" s="258">
        <f t="shared" si="20"/>
        <v>-6598.5949890020811</v>
      </c>
      <c r="M86" s="258">
        <f t="shared" si="20"/>
        <v>-5621.0632355454818</v>
      </c>
      <c r="N86" s="258">
        <f t="shared" si="20"/>
        <v>-4962.8942660380153</v>
      </c>
      <c r="O86" s="258">
        <f t="shared" si="20"/>
        <v>-4108.682286022683</v>
      </c>
      <c r="P86" s="258">
        <f t="shared" si="20"/>
        <v>-8975.0045385040848</v>
      </c>
      <c r="Q86" s="258">
        <f t="shared" si="20"/>
        <v>-2949.8260317889099</v>
      </c>
      <c r="R86" s="258">
        <f t="shared" si="20"/>
        <v>-87323.023036648563</v>
      </c>
      <c r="S86" s="258">
        <f t="shared" si="20"/>
        <v>-2067.6998093595166</v>
      </c>
      <c r="T86" s="258">
        <f t="shared" si="20"/>
        <v>-1710.8647487191615</v>
      </c>
      <c r="U86" s="258">
        <f t="shared" si="20"/>
        <v>-1401.4546954102527</v>
      </c>
      <c r="V86" s="258">
        <f t="shared" si="20"/>
        <v>-1203.4044692976681</v>
      </c>
      <c r="W86" s="258">
        <f t="shared" si="20"/>
        <v>-902.97628495658967</v>
      </c>
      <c r="X86" s="258">
        <f t="shared" si="20"/>
        <v>-48938.091941494837</v>
      </c>
      <c r="Y86" s="258">
        <f t="shared" si="20"/>
        <v>-534.30601065835015</v>
      </c>
      <c r="Z86" s="258">
        <f t="shared" si="20"/>
        <v>-389.04597117200365</v>
      </c>
      <c r="AA86" s="258">
        <f t="shared" si="20"/>
        <v>-265.57247508783331</v>
      </c>
      <c r="AB86" s="258">
        <f t="shared" si="20"/>
        <v>-161.14345747266984</v>
      </c>
      <c r="AC86" s="258">
        <f t="shared" si="20"/>
        <v>0</v>
      </c>
      <c r="AD86" s="258">
        <f t="shared" si="20"/>
        <v>-32.766156976093505</v>
      </c>
      <c r="AE86" s="258">
        <f t="shared" si="20"/>
        <v>0</v>
      </c>
    </row>
    <row r="87" spans="1:31" s="262" customFormat="1" ht="12.75" x14ac:dyDescent="0.2">
      <c r="A87" s="334" t="s">
        <v>566</v>
      </c>
      <c r="B87" s="258">
        <f>SUM($B$86:B86)</f>
        <v>-1523771.1239402664</v>
      </c>
      <c r="C87" s="258">
        <f>SUM($B$86:C86)</f>
        <v>-1544112.1116085325</v>
      </c>
      <c r="D87" s="258">
        <f>SUM($B$86:D86)</f>
        <v>-1562625.7983913359</v>
      </c>
      <c r="E87" s="258">
        <f>SUM($B$86:E86)</f>
        <v>-1579476.3370122546</v>
      </c>
      <c r="F87" s="258">
        <f>SUM($B$86:F86)</f>
        <v>-1594813.1337911012</v>
      </c>
      <c r="G87" s="258">
        <f>SUM($B$86:G86)</f>
        <v>-1608190.5467152186</v>
      </c>
      <c r="H87" s="258">
        <f>SUM($B$86:H86)</f>
        <v>-1619836.8434980009</v>
      </c>
      <c r="I87" s="258">
        <f>SUM($B$86:I86)</f>
        <v>-1629955.092024707</v>
      </c>
      <c r="J87" s="258">
        <f>SUM($B$86:J86)</f>
        <v>-1638725.8457957925</v>
      </c>
      <c r="K87" s="258">
        <f>SUM($B$86:K86)</f>
        <v>-1646309.5502488108</v>
      </c>
      <c r="L87" s="258">
        <f>SUM($B$86:L86)</f>
        <v>-1652908.1452378128</v>
      </c>
      <c r="M87" s="258">
        <f>SUM($B$86:M86)</f>
        <v>-1658529.2084733583</v>
      </c>
      <c r="N87" s="258">
        <f>SUM($B$86:N86)</f>
        <v>-1663492.1027393963</v>
      </c>
      <c r="O87" s="258">
        <f>SUM($B$86:O86)</f>
        <v>-1667600.785025419</v>
      </c>
      <c r="P87" s="258">
        <f>SUM($B$86:P86)</f>
        <v>-1676575.7895639231</v>
      </c>
      <c r="Q87" s="258">
        <f>SUM($B$86:Q86)</f>
        <v>-1679525.6155957121</v>
      </c>
      <c r="R87" s="258">
        <f>SUM($B$86:R86)</f>
        <v>-1766848.6386323606</v>
      </c>
      <c r="S87" s="258">
        <f>SUM($B$86:S86)</f>
        <v>-1768916.3384417202</v>
      </c>
      <c r="T87" s="258">
        <f>SUM($B$86:T86)</f>
        <v>-1770627.2031904394</v>
      </c>
      <c r="U87" s="258">
        <f>SUM($B$86:U86)</f>
        <v>-1772028.6578858497</v>
      </c>
      <c r="V87" s="258">
        <f>SUM($B$86:V86)</f>
        <v>-1773232.0623551474</v>
      </c>
      <c r="W87" s="258">
        <f>SUM($B$86:W86)</f>
        <v>-1774135.038640104</v>
      </c>
      <c r="X87" s="258">
        <f>SUM($B$86:X86)</f>
        <v>-1823073.1305815987</v>
      </c>
      <c r="Y87" s="258">
        <f>SUM($B$86:Y86)</f>
        <v>-1823607.4365922571</v>
      </c>
      <c r="Z87" s="258">
        <f>SUM($B$86:Z86)</f>
        <v>-1823996.482563429</v>
      </c>
      <c r="AA87" s="258">
        <f>SUM($B$86:AA86)</f>
        <v>-1824262.0550385169</v>
      </c>
      <c r="AB87" s="258">
        <f>SUM($B$86:AB86)</f>
        <v>-1824423.1984959894</v>
      </c>
      <c r="AC87" s="258">
        <f>SUM($B$86:AC86)</f>
        <v>-1824423.1984959894</v>
      </c>
      <c r="AD87" s="258">
        <f>SUM($B$86:AD86)</f>
        <v>-1824455.9646529655</v>
      </c>
      <c r="AE87" s="258">
        <f>SUM($B$86:AE86)</f>
        <v>-1824455.9646529655</v>
      </c>
    </row>
    <row r="88" spans="1:31" s="262" customFormat="1" ht="12.75" x14ac:dyDescent="0.2">
      <c r="A88" s="334" t="s">
        <v>567</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568</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569</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6" t="s">
        <v>570</v>
      </c>
      <c r="B93" s="466"/>
      <c r="C93" s="466"/>
      <c r="D93" s="466"/>
      <c r="E93" s="466"/>
      <c r="F93" s="466"/>
      <c r="G93" s="466"/>
      <c r="H93" s="466"/>
      <c r="I93" s="466"/>
      <c r="J93" s="466"/>
      <c r="K93" s="466"/>
      <c r="L93" s="466"/>
      <c r="M93" s="466"/>
      <c r="N93" s="466"/>
      <c r="O93" s="466"/>
      <c r="P93" s="466"/>
      <c r="Q93" s="466"/>
      <c r="R93" s="466"/>
      <c r="S93" s="466"/>
      <c r="T93" s="466"/>
      <c r="U93" s="466"/>
      <c r="V93" s="466"/>
      <c r="W93" s="466"/>
      <c r="X93" s="466"/>
      <c r="Y93" s="466"/>
      <c r="Z93" s="466"/>
      <c r="AA93" s="466"/>
      <c r="AB93" s="466"/>
      <c r="AC93" s="466"/>
    </row>
    <row r="94" spans="1:31" s="262" customFormat="1" ht="12.75" x14ac:dyDescent="0.2">
      <c r="A94" s="466" t="s">
        <v>571</v>
      </c>
      <c r="B94" s="466"/>
      <c r="C94" s="466"/>
      <c r="D94" s="466"/>
      <c r="E94" s="466"/>
      <c r="F94" s="466"/>
      <c r="G94" s="466"/>
      <c r="H94" s="466"/>
      <c r="I94" s="466"/>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572</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573</v>
      </c>
      <c r="B102" s="351" t="s">
        <v>574</v>
      </c>
      <c r="C102" s="351" t="s">
        <v>575</v>
      </c>
      <c r="D102" s="351" t="s">
        <v>576</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-6598.5949890020811</v>
      </c>
      <c r="C103" s="355">
        <f>G26</f>
        <v>0</v>
      </c>
      <c r="D103" s="355" t="str">
        <f>G27</f>
        <v>не окупается</v>
      </c>
      <c r="E103" s="352" t="s">
        <v>577</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578</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579</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580</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581</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582</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583</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7" t="s">
        <v>584</v>
      </c>
      <c r="C114" s="468"/>
      <c r="D114" s="467" t="s">
        <v>585</v>
      </c>
      <c r="E114" s="468"/>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586</v>
      </c>
      <c r="B115" s="365"/>
      <c r="C115" s="356" t="s">
        <v>587</v>
      </c>
      <c r="D115" s="365">
        <v>16</v>
      </c>
      <c r="E115" s="356" t="s">
        <v>587</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586</v>
      </c>
      <c r="B116" s="356">
        <f>$B$110*B115</f>
        <v>0</v>
      </c>
      <c r="C116" s="356" t="s">
        <v>125</v>
      </c>
      <c r="D116" s="356">
        <f>D115*B108</f>
        <v>14.88</v>
      </c>
      <c r="E116" s="356" t="s">
        <v>125</v>
      </c>
      <c r="F116" s="359" t="s">
        <v>588</v>
      </c>
      <c r="G116" s="356">
        <f>D115-B115</f>
        <v>16</v>
      </c>
      <c r="H116" s="356" t="s">
        <v>587</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589</v>
      </c>
      <c r="G117" s="366">
        <v>9.4623655913978499</v>
      </c>
      <c r="H117" s="356" t="s">
        <v>587</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590</v>
      </c>
      <c r="G118" s="356">
        <f>G116</f>
        <v>16</v>
      </c>
      <c r="H118" s="356" t="s">
        <v>587</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591</v>
      </c>
      <c r="B120" s="372">
        <f>B124/1000000</f>
        <v>0</v>
      </c>
      <c r="D120" s="458" t="s">
        <v>323</v>
      </c>
      <c r="E120" s="373" t="s">
        <v>592</v>
      </c>
      <c r="F120" s="374">
        <v>35</v>
      </c>
      <c r="G120" s="459"/>
    </row>
    <row r="121" spans="1:71" s="352" customFormat="1" ht="15.75" x14ac:dyDescent="0.2">
      <c r="A121" s="371" t="s">
        <v>323</v>
      </c>
      <c r="B121" s="375">
        <v>30</v>
      </c>
      <c r="D121" s="458"/>
      <c r="E121" s="373" t="s">
        <v>593</v>
      </c>
      <c r="F121" s="374">
        <v>30</v>
      </c>
      <c r="G121" s="459"/>
    </row>
    <row r="122" spans="1:71" s="352" customFormat="1" ht="15.75" x14ac:dyDescent="0.2">
      <c r="A122" s="371" t="s">
        <v>594</v>
      </c>
      <c r="B122" s="375" t="s">
        <v>595</v>
      </c>
      <c r="C122" s="376" t="s">
        <v>596</v>
      </c>
      <c r="D122" s="458"/>
      <c r="E122" s="373" t="s">
        <v>597</v>
      </c>
      <c r="F122" s="374">
        <v>30</v>
      </c>
      <c r="G122" s="459"/>
    </row>
    <row r="123" spans="1:71" s="352" customFormat="1" ht="15.75" x14ac:dyDescent="0.2">
      <c r="A123" s="377"/>
      <c r="B123" s="378"/>
      <c r="C123" s="376"/>
      <c r="D123" s="458"/>
      <c r="E123" s="373" t="s">
        <v>598</v>
      </c>
      <c r="F123" s="374">
        <v>30</v>
      </c>
      <c r="G123" s="459"/>
    </row>
    <row r="124" spans="1:71" s="352" customFormat="1" ht="12.75" x14ac:dyDescent="0.2">
      <c r="A124" s="371" t="s">
        <v>599</v>
      </c>
      <c r="B124" s="379">
        <f>B126*1000000</f>
        <v>0</v>
      </c>
      <c r="C124" s="379"/>
      <c r="D124" s="379"/>
    </row>
    <row r="125" spans="1:71" s="352" customFormat="1" ht="12.75" x14ac:dyDescent="0.2">
      <c r="A125" s="371" t="s">
        <v>600</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601</v>
      </c>
      <c r="B127" s="382">
        <v>9.8699999999999996E-2</v>
      </c>
    </row>
    <row r="128" spans="1:71" s="352" customFormat="1" ht="15.75" x14ac:dyDescent="0.2">
      <c r="A128" s="383"/>
      <c r="B128" s="384"/>
    </row>
    <row r="129" spans="1:51" s="352" customFormat="1" ht="25.5" x14ac:dyDescent="0.2">
      <c r="A129" s="385" t="s">
        <v>602</v>
      </c>
      <c r="B129" s="386">
        <v>0.74426999999999999</v>
      </c>
    </row>
    <row r="130" spans="1:51" s="352" customFormat="1" ht="12.75" x14ac:dyDescent="0.2"/>
    <row r="131" spans="1:51" s="352" customFormat="1" ht="12.75" x14ac:dyDescent="0.2">
      <c r="A131" s="370"/>
      <c r="C131" s="352" t="s">
        <v>603</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C47" zoomScaleSheetLayoutView="10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3" t="str">
        <f>'2. паспорт  ТП'!A4:S4</f>
        <v>Год раскрытия информации: 2022 год</v>
      </c>
      <c r="B5" s="403"/>
      <c r="C5" s="403"/>
      <c r="D5" s="403"/>
      <c r="E5" s="403"/>
      <c r="F5" s="403"/>
      <c r="G5" s="403"/>
      <c r="H5" s="403"/>
      <c r="I5" s="403"/>
      <c r="J5" s="403"/>
      <c r="K5" s="403"/>
      <c r="L5" s="403"/>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row>
    <row r="10" spans="1:44" x14ac:dyDescent="0.25">
      <c r="A10" s="416" t="s">
        <v>6</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M 22-04</v>
      </c>
      <c r="B12" s="412"/>
      <c r="C12" s="412"/>
      <c r="D12" s="412"/>
      <c r="E12" s="412"/>
      <c r="F12" s="412"/>
      <c r="G12" s="412"/>
      <c r="H12" s="412"/>
      <c r="I12" s="412"/>
      <c r="J12" s="412"/>
      <c r="K12" s="412"/>
      <c r="L12" s="412"/>
    </row>
    <row r="13" spans="1:44" x14ac:dyDescent="0.25">
      <c r="A13" s="416" t="s">
        <v>5</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ht="102" customHeight="1" x14ac:dyDescent="0.25">
      <c r="A15" s="418"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8"/>
      <c r="C15" s="418"/>
      <c r="D15" s="418"/>
      <c r="E15" s="418"/>
      <c r="F15" s="418"/>
      <c r="G15" s="418"/>
      <c r="H15" s="418"/>
      <c r="I15" s="418"/>
      <c r="J15" s="418"/>
      <c r="K15" s="418"/>
      <c r="L15" s="418"/>
    </row>
    <row r="16" spans="1:44" x14ac:dyDescent="0.25">
      <c r="A16" s="416" t="s">
        <v>4</v>
      </c>
      <c r="B16" s="416"/>
      <c r="C16" s="416"/>
      <c r="D16" s="416"/>
      <c r="E16" s="416"/>
      <c r="F16" s="416"/>
      <c r="G16" s="416"/>
      <c r="H16" s="416"/>
      <c r="I16" s="416"/>
      <c r="J16" s="416"/>
      <c r="K16" s="416"/>
      <c r="L16" s="416"/>
    </row>
    <row r="17" spans="1:12" ht="15.75" customHeight="1" x14ac:dyDescent="0.25">
      <c r="L17" s="84"/>
    </row>
    <row r="18" spans="1:12" x14ac:dyDescent="0.25">
      <c r="K18" s="83"/>
    </row>
    <row r="19" spans="1:12" ht="15.75" customHeight="1" x14ac:dyDescent="0.25">
      <c r="A19" s="480" t="s">
        <v>478</v>
      </c>
      <c r="B19" s="480"/>
      <c r="C19" s="480"/>
      <c r="D19" s="480"/>
      <c r="E19" s="480"/>
      <c r="F19" s="480"/>
      <c r="G19" s="480"/>
      <c r="H19" s="480"/>
      <c r="I19" s="480"/>
      <c r="J19" s="480"/>
      <c r="K19" s="480"/>
      <c r="L19" s="480"/>
    </row>
    <row r="20" spans="1:12" x14ac:dyDescent="0.25">
      <c r="A20" s="61"/>
      <c r="B20" s="61"/>
      <c r="C20" s="82"/>
      <c r="D20" s="82"/>
      <c r="E20" s="82"/>
      <c r="F20" s="82"/>
      <c r="G20" s="82"/>
      <c r="H20" s="82"/>
      <c r="I20" s="82"/>
      <c r="J20" s="82"/>
      <c r="K20" s="82"/>
      <c r="L20" s="82"/>
    </row>
    <row r="21" spans="1:12" ht="28.5" customHeight="1" x14ac:dyDescent="0.25">
      <c r="A21" s="472" t="s">
        <v>216</v>
      </c>
      <c r="B21" s="472" t="s">
        <v>215</v>
      </c>
      <c r="C21" s="478" t="s">
        <v>410</v>
      </c>
      <c r="D21" s="478"/>
      <c r="E21" s="478"/>
      <c r="F21" s="478"/>
      <c r="G21" s="478"/>
      <c r="H21" s="478"/>
      <c r="I21" s="473" t="s">
        <v>214</v>
      </c>
      <c r="J21" s="475" t="s">
        <v>412</v>
      </c>
      <c r="K21" s="472" t="s">
        <v>213</v>
      </c>
      <c r="L21" s="474" t="s">
        <v>411</v>
      </c>
    </row>
    <row r="22" spans="1:12" ht="58.5" customHeight="1" x14ac:dyDescent="0.25">
      <c r="A22" s="472"/>
      <c r="B22" s="472"/>
      <c r="C22" s="479" t="s">
        <v>2</v>
      </c>
      <c r="D22" s="479"/>
      <c r="E22" s="479" t="s">
        <v>9</v>
      </c>
      <c r="F22" s="479"/>
      <c r="G22" s="479" t="s">
        <v>533</v>
      </c>
      <c r="H22" s="479"/>
      <c r="I22" s="473"/>
      <c r="J22" s="476"/>
      <c r="K22" s="472"/>
      <c r="L22" s="474"/>
    </row>
    <row r="23" spans="1:12" ht="31.5" x14ac:dyDescent="0.25">
      <c r="A23" s="472"/>
      <c r="B23" s="472"/>
      <c r="C23" s="81" t="s">
        <v>212</v>
      </c>
      <c r="D23" s="81" t="s">
        <v>211</v>
      </c>
      <c r="E23" s="81" t="s">
        <v>212</v>
      </c>
      <c r="F23" s="81" t="s">
        <v>211</v>
      </c>
      <c r="G23" s="81" t="s">
        <v>212</v>
      </c>
      <c r="H23" s="81" t="s">
        <v>211</v>
      </c>
      <c r="I23" s="473"/>
      <c r="J23" s="477"/>
      <c r="K23" s="472"/>
      <c r="L23" s="474"/>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2022-08-10T02:58:47Z</dcterms:modified>
</cp:coreProperties>
</file>