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M 22-01\M  22-01_паспорт_карта\"/>
    </mc:Choice>
  </mc:AlternateContent>
  <xr:revisionPtr revIDLastSave="0" documentId="13_ncr:1_{557F5796-4340-4D7B-ACAA-1419F367D2A3}" xr6:coauthVersionLast="47" xr6:coauthVersionMax="47" xr10:uidLastSave="{00000000-0000-0000-0000-000000000000}"/>
  <bookViews>
    <workbookView xWindow="165" yWindow="75"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ввод'!$A$1:$AD$64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81" i="35" l="1"/>
  <c r="AB24" i="29"/>
  <c r="X24" i="29"/>
  <c r="X27" i="29"/>
  <c r="B27" i="26" l="1"/>
  <c r="C81" i="35"/>
  <c r="T33" i="29"/>
  <c r="D58" i="29"/>
  <c r="D48" i="35"/>
  <c r="C48" i="35"/>
  <c r="B48" i="35"/>
  <c r="B25" i="35"/>
  <c r="B122" i="35"/>
  <c r="A15" i="35"/>
  <c r="AG33" i="29" l="1"/>
  <c r="X29" i="29"/>
  <c r="X28" i="29"/>
  <c r="X26" i="29"/>
  <c r="X25" i="29"/>
  <c r="T30" i="29"/>
  <c r="T31" i="29"/>
  <c r="D34" i="29"/>
  <c r="D31" i="29"/>
  <c r="T27" i="29" l="1"/>
  <c r="B47" i="35"/>
  <c r="B52" i="35"/>
  <c r="C58" i="35"/>
  <c r="D58" i="35" s="1"/>
  <c r="E58" i="35" s="1"/>
  <c r="F58" i="35" s="1"/>
  <c r="G58" i="35" s="1"/>
  <c r="H58" i="35" s="1"/>
  <c r="I58" i="35" s="1"/>
  <c r="J58" i="35" s="1"/>
  <c r="K58" i="35" s="1"/>
  <c r="L58" i="35" s="1"/>
  <c r="T24" i="29" l="1"/>
  <c r="F52" i="35"/>
  <c r="E52" i="35"/>
  <c r="D52" i="35"/>
  <c r="B81" i="35" l="1"/>
  <c r="AE35" i="29"/>
  <c r="AE36" i="29"/>
  <c r="AE37" i="29"/>
  <c r="AE38" i="29"/>
  <c r="AE39" i="29"/>
  <c r="AE40" i="29"/>
  <c r="AE41" i="29"/>
  <c r="AE42" i="29"/>
  <c r="AE43" i="29"/>
  <c r="AE44" i="29"/>
  <c r="AE45" i="29"/>
  <c r="AE46" i="29"/>
  <c r="AE47" i="29"/>
  <c r="AE48" i="29"/>
  <c r="AE49" i="29"/>
  <c r="AE50" i="29"/>
  <c r="AE51" i="29"/>
  <c r="AE53" i="29"/>
  <c r="AE54" i="29"/>
  <c r="AE55" i="29"/>
  <c r="AE56" i="29"/>
  <c r="AE57" i="29"/>
  <c r="AE59" i="29"/>
  <c r="AE60" i="29"/>
  <c r="AE61" i="29"/>
  <c r="AE62" i="29"/>
  <c r="AE63" i="29"/>
  <c r="AE64" i="29"/>
  <c r="E25" i="29"/>
  <c r="E26" i="29"/>
  <c r="E27" i="29"/>
  <c r="E29" i="29"/>
  <c r="E31"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141" i="35"/>
  <c r="C73" i="35" s="1"/>
  <c r="I119" i="35"/>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F137" i="35" s="1"/>
  <c r="AU136" i="35"/>
  <c r="AV136" i="35" s="1"/>
  <c r="AW136" i="35" s="1"/>
  <c r="AX136" i="35" s="1"/>
  <c r="AY136"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AP48" i="35"/>
  <c r="AO48" i="35"/>
  <c r="AN48" i="35"/>
  <c r="AM48" i="35"/>
  <c r="AL48" i="35"/>
  <c r="AK48" i="35"/>
  <c r="AJ48" i="35"/>
  <c r="AI48" i="35"/>
  <c r="AH48" i="35"/>
  <c r="AG48" i="35"/>
  <c r="AF48" i="35"/>
  <c r="B45" i="35"/>
  <c r="B44" i="35"/>
  <c r="C85" i="35" s="1"/>
  <c r="B27" i="35"/>
  <c r="G137" i="35" l="1"/>
  <c r="I118" i="35"/>
  <c r="D74" i="35"/>
  <c r="C52" i="35"/>
  <c r="C47" i="35"/>
  <c r="C61" i="35" s="1"/>
  <c r="C60" i="35" s="1"/>
  <c r="B46" i="35"/>
  <c r="I120" i="35" l="1"/>
  <c r="K119" i="35"/>
  <c r="H137" i="35"/>
  <c r="B49" i="35" s="1"/>
  <c r="D47" i="35"/>
  <c r="D61" i="35" s="1"/>
  <c r="D60" i="35" s="1"/>
  <c r="E74" i="35"/>
  <c r="F141" i="35"/>
  <c r="G140" i="35"/>
  <c r="G141" i="35" s="1"/>
  <c r="C109" i="35" l="1"/>
  <c r="I109" i="35"/>
  <c r="I137" i="35"/>
  <c r="C49" i="35" s="1"/>
  <c r="C50" i="35" s="1"/>
  <c r="C59" i="35" s="1"/>
  <c r="B73" i="35"/>
  <c r="B85" i="35" s="1"/>
  <c r="B99" i="35" s="1"/>
  <c r="E47" i="35"/>
  <c r="E61" i="35" s="1"/>
  <c r="F47" i="35"/>
  <c r="F61" i="35" s="1"/>
  <c r="F60" i="35" s="1"/>
  <c r="H140" i="35"/>
  <c r="H141" i="35" s="1"/>
  <c r="D109" i="35" l="1"/>
  <c r="C108" i="35"/>
  <c r="J137" i="35"/>
  <c r="D49" i="35" s="1"/>
  <c r="D73" i="35"/>
  <c r="D85" i="35" s="1"/>
  <c r="C66" i="35"/>
  <c r="C68" i="35" s="1"/>
  <c r="C75" i="35" s="1"/>
  <c r="E60" i="35"/>
  <c r="F74" i="35"/>
  <c r="H108" i="35"/>
  <c r="G74" i="35"/>
  <c r="G52" i="35"/>
  <c r="G47" i="35"/>
  <c r="G61" i="35" s="1"/>
  <c r="G60" i="35" s="1"/>
  <c r="I140" i="35"/>
  <c r="I141" i="35" s="1"/>
  <c r="E109" i="35" l="1"/>
  <c r="D108" i="35"/>
  <c r="K137" i="35"/>
  <c r="E49" i="35" s="1"/>
  <c r="E73" i="35"/>
  <c r="E85" i="35" s="1"/>
  <c r="H74" i="35"/>
  <c r="H52" i="35"/>
  <c r="H47" i="35"/>
  <c r="J140" i="35"/>
  <c r="J109" i="35"/>
  <c r="I108" i="35"/>
  <c r="E50" i="35" s="1"/>
  <c r="E59" i="35" s="1"/>
  <c r="L137" i="35" l="1"/>
  <c r="M137" i="35" s="1"/>
  <c r="G49" i="35" s="1"/>
  <c r="F109" i="35"/>
  <c r="F108" i="35" s="1"/>
  <c r="E108" i="35"/>
  <c r="K109" i="35"/>
  <c r="J108" i="35"/>
  <c r="K140" i="35"/>
  <c r="K141" i="35" s="1"/>
  <c r="J141" i="35"/>
  <c r="I74" i="35"/>
  <c r="I47" i="35"/>
  <c r="I52" i="35"/>
  <c r="E66" i="35"/>
  <c r="F49" i="35" l="1"/>
  <c r="F50" i="35" s="1"/>
  <c r="F59" i="35" s="1"/>
  <c r="F73" i="35"/>
  <c r="F85" i="35" s="1"/>
  <c r="F99" i="35" s="1"/>
  <c r="G73" i="35"/>
  <c r="G85" i="35" s="1"/>
  <c r="G99" i="35" s="1"/>
  <c r="N137" i="35"/>
  <c r="H49" i="35" s="1"/>
  <c r="D50" i="35" s="1"/>
  <c r="D59" i="35" s="1"/>
  <c r="J74" i="35"/>
  <c r="J52" i="35"/>
  <c r="J47" i="35"/>
  <c r="L140" i="35"/>
  <c r="L141" i="35" s="1"/>
  <c r="L109" i="35"/>
  <c r="K108" i="35"/>
  <c r="G50" i="35" s="1"/>
  <c r="G59" i="35" s="1"/>
  <c r="D66" i="35" l="1"/>
  <c r="E80" i="35"/>
  <c r="D80" i="35"/>
  <c r="F80" i="35"/>
  <c r="F66" i="35"/>
  <c r="F68" i="35" s="1"/>
  <c r="H73" i="35"/>
  <c r="H85" i="35" s="1"/>
  <c r="H99" i="35" s="1"/>
  <c r="O137" i="35"/>
  <c r="I49" i="35" s="1"/>
  <c r="F75" i="35"/>
  <c r="G80" i="35"/>
  <c r="G66" i="35"/>
  <c r="M109" i="35"/>
  <c r="L108" i="35"/>
  <c r="H50" i="35" s="1"/>
  <c r="H59" i="35" s="1"/>
  <c r="K74" i="35"/>
  <c r="K52" i="35"/>
  <c r="K47" i="35"/>
  <c r="M140" i="35"/>
  <c r="M141" i="35" s="1"/>
  <c r="I73" i="35" l="1"/>
  <c r="I85" i="35" s="1"/>
  <c r="I99" i="35" s="1"/>
  <c r="P137" i="35"/>
  <c r="J49" i="35" s="1"/>
  <c r="H80" i="35"/>
  <c r="L74" i="35"/>
  <c r="M58" i="35"/>
  <c r="L52" i="35"/>
  <c r="L47" i="35"/>
  <c r="N109" i="35"/>
  <c r="M108" i="35"/>
  <c r="I50" i="35" s="1"/>
  <c r="I59" i="35" s="1"/>
  <c r="N140" i="35"/>
  <c r="Q137" i="35" l="1"/>
  <c r="I80" i="35"/>
  <c r="O109" i="35"/>
  <c r="N108" i="35"/>
  <c r="O140" i="35"/>
  <c r="N141" i="35"/>
  <c r="M74" i="35"/>
  <c r="N58" i="35"/>
  <c r="M47" i="35"/>
  <c r="M52" i="35"/>
  <c r="M49" i="35" l="1"/>
  <c r="K49" i="35"/>
  <c r="J73" i="35"/>
  <c r="J85" i="35" s="1"/>
  <c r="J99" i="35" s="1"/>
  <c r="R137" i="35"/>
  <c r="O108" i="35"/>
  <c r="P109" i="35"/>
  <c r="J50" i="35"/>
  <c r="J59" i="35" s="1"/>
  <c r="N52" i="35"/>
  <c r="O58" i="35"/>
  <c r="N74" i="35"/>
  <c r="N47" i="35"/>
  <c r="P140" i="35"/>
  <c r="P141" i="35" s="1"/>
  <c r="O141" i="35"/>
  <c r="N49" i="35" l="1"/>
  <c r="N50" i="35" s="1"/>
  <c r="N59" i="35" s="1"/>
  <c r="L49" i="35"/>
  <c r="L73" i="35"/>
  <c r="L85" i="35" s="1"/>
  <c r="L99" i="35" s="1"/>
  <c r="K73" i="35"/>
  <c r="K85" i="35" s="1"/>
  <c r="K99" i="35" s="1"/>
  <c r="S137" i="35"/>
  <c r="O49" i="35" s="1"/>
  <c r="O50" i="35" s="1"/>
  <c r="O59" i="35" s="1"/>
  <c r="J80" i="35"/>
  <c r="O74" i="35"/>
  <c r="O52" i="35"/>
  <c r="P58" i="35"/>
  <c r="O47" i="35"/>
  <c r="Q140" i="35"/>
  <c r="Q141" i="35" s="1"/>
  <c r="P108" i="35"/>
  <c r="Q109" i="35"/>
  <c r="K50" i="35"/>
  <c r="K59" i="35" s="1"/>
  <c r="M73" i="35" l="1"/>
  <c r="M85" i="35" s="1"/>
  <c r="M99" i="35" s="1"/>
  <c r="T137" i="35"/>
  <c r="P49" i="35" s="1"/>
  <c r="P50" i="35" s="1"/>
  <c r="P59" i="35" s="1"/>
  <c r="R140" i="35"/>
  <c r="R141" i="35" s="1"/>
  <c r="P74" i="35"/>
  <c r="P52" i="35"/>
  <c r="Q58" i="35"/>
  <c r="P47" i="35"/>
  <c r="O80" i="35"/>
  <c r="R109" i="35"/>
  <c r="Q108" i="35"/>
  <c r="L50" i="35"/>
  <c r="L59" i="35" s="1"/>
  <c r="K80" i="35"/>
  <c r="N73" i="35" l="1"/>
  <c r="N85" i="35" s="1"/>
  <c r="N99" i="35" s="1"/>
  <c r="U137" i="35"/>
  <c r="Q49" i="35" s="1"/>
  <c r="Q50" i="35" s="1"/>
  <c r="Q59" i="35" s="1"/>
  <c r="M50" i="35"/>
  <c r="M59" i="35" s="1"/>
  <c r="Q74" i="35"/>
  <c r="R58" i="35"/>
  <c r="Q47" i="35"/>
  <c r="Q52" i="35"/>
  <c r="S109" i="35"/>
  <c r="R108" i="35"/>
  <c r="S140" i="35"/>
  <c r="P80" i="35"/>
  <c r="L80" i="35"/>
  <c r="V137" i="35" l="1"/>
  <c r="R49" i="35" s="1"/>
  <c r="R50" i="35" s="1"/>
  <c r="R59" i="35" s="1"/>
  <c r="R80" i="35" s="1"/>
  <c r="T140" i="35"/>
  <c r="T109" i="35"/>
  <c r="S108" i="35"/>
  <c r="S141" i="35"/>
  <c r="R74" i="35"/>
  <c r="S58" i="35"/>
  <c r="R52" i="35"/>
  <c r="R47" i="35"/>
  <c r="M80" i="35"/>
  <c r="N80" i="35"/>
  <c r="Q80" i="35"/>
  <c r="O73" i="35" l="1"/>
  <c r="O85" i="35" s="1"/>
  <c r="O99" i="35" s="1"/>
  <c r="W137" i="35"/>
  <c r="S49" i="35" s="1"/>
  <c r="S50" i="35" s="1"/>
  <c r="S59" i="35" s="1"/>
  <c r="S80" i="35" s="1"/>
  <c r="T108" i="35"/>
  <c r="U109" i="35"/>
  <c r="U140" i="35"/>
  <c r="U141" i="35" s="1"/>
  <c r="T58" i="35"/>
  <c r="S74" i="35"/>
  <c r="S52" i="35"/>
  <c r="S47" i="35"/>
  <c r="T141" i="35"/>
  <c r="P73" i="35" l="1"/>
  <c r="P85" i="35" s="1"/>
  <c r="P99" i="35" s="1"/>
  <c r="Q73" i="35"/>
  <c r="Q85" i="35" s="1"/>
  <c r="Q99" i="35" s="1"/>
  <c r="X137" i="35"/>
  <c r="T49" i="35" s="1"/>
  <c r="T50" i="35" s="1"/>
  <c r="T59" i="35" s="1"/>
  <c r="T80" i="35" s="1"/>
  <c r="T74" i="35"/>
  <c r="U58" i="35"/>
  <c r="T52" i="35"/>
  <c r="T47" i="35"/>
  <c r="V109" i="35"/>
  <c r="U108" i="35"/>
  <c r="V140" i="35"/>
  <c r="Y137" i="35" l="1"/>
  <c r="U49" i="35" s="1"/>
  <c r="U50" i="35" s="1"/>
  <c r="U59" i="35" s="1"/>
  <c r="U80" i="35" s="1"/>
  <c r="W140" i="35"/>
  <c r="V141" i="35"/>
  <c r="W109" i="35"/>
  <c r="V108" i="35"/>
  <c r="U74" i="35"/>
  <c r="V58" i="35"/>
  <c r="U47" i="35"/>
  <c r="U52" i="35"/>
  <c r="R73" i="35" l="1"/>
  <c r="R85" i="35" s="1"/>
  <c r="R99" i="35" s="1"/>
  <c r="Z137" i="35"/>
  <c r="V49" i="35" s="1"/>
  <c r="V50" i="35" s="1"/>
  <c r="V59" i="35" s="1"/>
  <c r="V80" i="35" s="1"/>
  <c r="X140" i="35"/>
  <c r="X141" i="35"/>
  <c r="X109" i="35"/>
  <c r="W108" i="35"/>
  <c r="V74" i="35"/>
  <c r="V52" i="35"/>
  <c r="W58" i="35"/>
  <c r="V47" i="35"/>
  <c r="W141" i="35"/>
  <c r="S73" i="35" l="1"/>
  <c r="S85" i="35" s="1"/>
  <c r="S99" i="35" s="1"/>
  <c r="T73" i="35"/>
  <c r="T85" i="35" s="1"/>
  <c r="T99" i="35" s="1"/>
  <c r="AA137" i="35"/>
  <c r="W49" i="35" s="1"/>
  <c r="W50" i="35"/>
  <c r="W59" i="35" s="1"/>
  <c r="W80" i="35" s="1"/>
  <c r="W74" i="35"/>
  <c r="X58" i="35"/>
  <c r="W52" i="35"/>
  <c r="W47" i="35"/>
  <c r="Y140" i="35"/>
  <c r="Y141" i="35" s="1"/>
  <c r="Y109" i="35"/>
  <c r="X108" i="35"/>
  <c r="U73" i="35" l="1"/>
  <c r="U85" i="35" s="1"/>
  <c r="U99" i="35" s="1"/>
  <c r="AB137" i="35"/>
  <c r="X49" i="35" s="1"/>
  <c r="X50" i="35" s="1"/>
  <c r="X59" i="35" s="1"/>
  <c r="X80" i="35" s="1"/>
  <c r="X74" i="35"/>
  <c r="Y58" i="35"/>
  <c r="X52" i="35"/>
  <c r="X47" i="35"/>
  <c r="Z109" i="35"/>
  <c r="Y108" i="35"/>
  <c r="Z140" i="35"/>
  <c r="AC137" i="35" l="1"/>
  <c r="Y49" i="35" s="1"/>
  <c r="Y50" i="35" s="1"/>
  <c r="Y59" i="35" s="1"/>
  <c r="Y80" i="35" s="1"/>
  <c r="AA140" i="35"/>
  <c r="AA109" i="35"/>
  <c r="Z108" i="35"/>
  <c r="Z141" i="35"/>
  <c r="Y74" i="35"/>
  <c r="Z58" i="35"/>
  <c r="Y47" i="35"/>
  <c r="Y52" i="35"/>
  <c r="V73" i="35" l="1"/>
  <c r="V85" i="35" s="1"/>
  <c r="V99" i="35" s="1"/>
  <c r="AD137" i="35"/>
  <c r="Z49" i="35" s="1"/>
  <c r="Z50" i="35" s="1"/>
  <c r="Z59" i="35" s="1"/>
  <c r="Z80" i="35" s="1"/>
  <c r="AB109" i="35"/>
  <c r="AA108" i="35"/>
  <c r="AB140" i="35"/>
  <c r="AA141" i="35"/>
  <c r="Z74" i="35"/>
  <c r="Z52" i="35"/>
  <c r="AA58" i="35"/>
  <c r="Z47" i="35"/>
  <c r="W73" i="35" l="1"/>
  <c r="W85" i="35" s="1"/>
  <c r="W99" i="35" s="1"/>
  <c r="AE137" i="35"/>
  <c r="AA49" i="35" s="1"/>
  <c r="AA50" i="35" s="1"/>
  <c r="AA59" i="35" s="1"/>
  <c r="AA80" i="35" s="1"/>
  <c r="AC140" i="35"/>
  <c r="AC141" i="35"/>
  <c r="AC109" i="35"/>
  <c r="AB108" i="35"/>
  <c r="AA74" i="35"/>
  <c r="AB58" i="35"/>
  <c r="AA52" i="35"/>
  <c r="AA47" i="35"/>
  <c r="AB141" i="35"/>
  <c r="Y73" i="35" l="1"/>
  <c r="Y85" i="35" s="1"/>
  <c r="Y99" i="35" s="1"/>
  <c r="X73" i="35"/>
  <c r="X85" i="35" s="1"/>
  <c r="X99" i="35" s="1"/>
  <c r="AF137" i="35"/>
  <c r="AB49" i="35" s="1"/>
  <c r="AB50" i="35" s="1"/>
  <c r="AB59" i="35" s="1"/>
  <c r="AB80" i="35" s="1"/>
  <c r="AB74" i="35"/>
  <c r="AC58" i="35"/>
  <c r="AB52" i="35"/>
  <c r="AB47" i="35"/>
  <c r="AD140" i="35"/>
  <c r="AD141" i="35" s="1"/>
  <c r="AD109" i="35"/>
  <c r="AC108" i="35"/>
  <c r="Z73" i="35" l="1"/>
  <c r="Z85" i="35" s="1"/>
  <c r="Z99" i="35" s="1"/>
  <c r="AG137" i="35"/>
  <c r="AC49" i="35" s="1"/>
  <c r="AC50" i="35" s="1"/>
  <c r="AC59" i="35" s="1"/>
  <c r="AC80" i="35" s="1"/>
  <c r="AE109" i="35"/>
  <c r="AD108" i="35"/>
  <c r="AE140" i="35"/>
  <c r="AC74" i="35"/>
  <c r="AD58" i="35"/>
  <c r="AC47" i="35"/>
  <c r="AC52" i="35"/>
  <c r="AH137" i="35" l="1"/>
  <c r="AD49" i="35" s="1"/>
  <c r="AD50" i="35" s="1"/>
  <c r="AD59" i="35" s="1"/>
  <c r="AD80" i="35" s="1"/>
  <c r="AF140" i="35"/>
  <c r="AE108" i="35"/>
  <c r="AF109" i="35"/>
  <c r="AE141" i="35"/>
  <c r="AE58" i="35"/>
  <c r="AD74" i="35"/>
  <c r="AD52" i="35"/>
  <c r="AD47" i="35"/>
  <c r="AA73" i="35" l="1"/>
  <c r="AA85" i="35" s="1"/>
  <c r="AA99" i="35" s="1"/>
  <c r="AI137" i="35"/>
  <c r="AE49" i="35" s="1"/>
  <c r="AE50" i="35" s="1"/>
  <c r="AE59" i="35" s="1"/>
  <c r="AE80" i="35" s="1"/>
  <c r="AF108" i="35"/>
  <c r="AG109" i="35"/>
  <c r="AG140" i="35"/>
  <c r="AG141" i="35" s="1"/>
  <c r="AF58" i="35"/>
  <c r="AE74" i="35"/>
  <c r="AE52" i="35"/>
  <c r="AE47" i="35"/>
  <c r="AF141" i="35"/>
  <c r="AC73" i="35" l="1"/>
  <c r="AC85" i="35" s="1"/>
  <c r="AC99" i="35" s="1"/>
  <c r="AB73" i="35"/>
  <c r="AB85" i="35" s="1"/>
  <c r="AB99" i="35" s="1"/>
  <c r="AJ137" i="35"/>
  <c r="AF49" i="35" s="1"/>
  <c r="AF50" i="35" s="1"/>
  <c r="AF59" i="35" s="1"/>
  <c r="AF80" i="35" s="1"/>
  <c r="AF74" i="35"/>
  <c r="AF52" i="35"/>
  <c r="AG58" i="35"/>
  <c r="AF47" i="35"/>
  <c r="AH109" i="35"/>
  <c r="AG108" i="35"/>
  <c r="AH140" i="35"/>
  <c r="AK137" i="35" l="1"/>
  <c r="AG49" i="35" s="1"/>
  <c r="AG50" i="35" s="1"/>
  <c r="AG59" i="35" s="1"/>
  <c r="AG80" i="35" s="1"/>
  <c r="AH108" i="35"/>
  <c r="AI109" i="35"/>
  <c r="AI140" i="35"/>
  <c r="AI141" i="35" s="1"/>
  <c r="AH141" i="35"/>
  <c r="AG74" i="35"/>
  <c r="AH58" i="35"/>
  <c r="AG47" i="35"/>
  <c r="AG52" i="35"/>
  <c r="AD73" i="35" l="1"/>
  <c r="AD85" i="35" s="1"/>
  <c r="AD99" i="35" s="1"/>
  <c r="AE73" i="35"/>
  <c r="AE85" i="35" s="1"/>
  <c r="AE99" i="35" s="1"/>
  <c r="AL137" i="35"/>
  <c r="AH49" i="35" s="1"/>
  <c r="AH50" i="35" s="1"/>
  <c r="AH59" i="35" s="1"/>
  <c r="AH80" i="35" s="1"/>
  <c r="AH74" i="35"/>
  <c r="AI58" i="35"/>
  <c r="AH52" i="35"/>
  <c r="AH47" i="35"/>
  <c r="AJ140" i="35"/>
  <c r="AJ141" i="35" s="1"/>
  <c r="AJ109" i="35"/>
  <c r="AI108" i="35"/>
  <c r="AF73" i="35" l="1"/>
  <c r="AF85" i="35" s="1"/>
  <c r="AF99" i="35" s="1"/>
  <c r="AM137" i="35"/>
  <c r="AI49" i="35" s="1"/>
  <c r="AI50" i="35" s="1"/>
  <c r="AI59" i="35" s="1"/>
  <c r="AI80" i="35" s="1"/>
  <c r="AJ108" i="35"/>
  <c r="AK109" i="35"/>
  <c r="AK140" i="35"/>
  <c r="AJ58" i="35"/>
  <c r="AI74" i="35"/>
  <c r="AI52" i="35"/>
  <c r="AI47" i="35"/>
  <c r="AN137" i="35" l="1"/>
  <c r="AJ49" i="35" s="1"/>
  <c r="AJ50" i="35" s="1"/>
  <c r="AJ59" i="35" s="1"/>
  <c r="AJ80" i="35" s="1"/>
  <c r="AL140" i="35"/>
  <c r="AJ74" i="35"/>
  <c r="AJ52" i="35"/>
  <c r="AJ47" i="35"/>
  <c r="AK58" i="35"/>
  <c r="AL109" i="35"/>
  <c r="AK108" i="35"/>
  <c r="AK141" i="35"/>
  <c r="AG73" i="35" l="1"/>
  <c r="AG85" i="35" s="1"/>
  <c r="AG99" i="35" s="1"/>
  <c r="AO137" i="35"/>
  <c r="AK49" i="35" s="1"/>
  <c r="AK50" i="35" s="1"/>
  <c r="AK59" i="35" s="1"/>
  <c r="AK80" i="35" s="1"/>
  <c r="AM140" i="35"/>
  <c r="AM141" i="35" s="1"/>
  <c r="AL108" i="35"/>
  <c r="AM109" i="35"/>
  <c r="AL141" i="35"/>
  <c r="AK74" i="35"/>
  <c r="AL58" i="35"/>
  <c r="AK47" i="35"/>
  <c r="AK52" i="35"/>
  <c r="AH73" i="35" l="1"/>
  <c r="AH85" i="35" s="1"/>
  <c r="AH99" i="35" s="1"/>
  <c r="AI73" i="35"/>
  <c r="AI85" i="35" s="1"/>
  <c r="AI99" i="35" s="1"/>
  <c r="AP137" i="35"/>
  <c r="AL49" i="35" s="1"/>
  <c r="AL50" i="35" s="1"/>
  <c r="AL59" i="35" s="1"/>
  <c r="AL80" i="35" s="1"/>
  <c r="AL74" i="35"/>
  <c r="AM58" i="35"/>
  <c r="AL52" i="35"/>
  <c r="AL47" i="35"/>
  <c r="AM108" i="35"/>
  <c r="AN109" i="35"/>
  <c r="AN140" i="35"/>
  <c r="AN141" i="35" s="1"/>
  <c r="AJ73" i="35" l="1"/>
  <c r="AJ85" i="35" s="1"/>
  <c r="AJ99" i="35" s="1"/>
  <c r="AQ137" i="35"/>
  <c r="AM49" i="35" s="1"/>
  <c r="AM50" i="35" s="1"/>
  <c r="AM59" i="35" s="1"/>
  <c r="AM80" i="35" s="1"/>
  <c r="AM74" i="35"/>
  <c r="AN58" i="35"/>
  <c r="AM52" i="35"/>
  <c r="AM47" i="35"/>
  <c r="AO109" i="35"/>
  <c r="AN108" i="35"/>
  <c r="AO140" i="35"/>
  <c r="AO141" i="35" s="1"/>
  <c r="AK73" i="35" l="1"/>
  <c r="AK85" i="35" s="1"/>
  <c r="AK99" i="35" s="1"/>
  <c r="AR137" i="35"/>
  <c r="AN49" i="35" s="1"/>
  <c r="AN50" i="35" s="1"/>
  <c r="AN59" i="35" s="1"/>
  <c r="AN80" i="35" s="1"/>
  <c r="AP140" i="35"/>
  <c r="AP141" i="35" s="1"/>
  <c r="AP109" i="35"/>
  <c r="AP108" i="35" s="1"/>
  <c r="AO108" i="35"/>
  <c r="AN74" i="35"/>
  <c r="AO58" i="35"/>
  <c r="AN52" i="35"/>
  <c r="AN47" i="35"/>
  <c r="AL73" i="35" l="1"/>
  <c r="AL85" i="35" s="1"/>
  <c r="AL99" i="35" s="1"/>
  <c r="AS137" i="35"/>
  <c r="AO74" i="35"/>
  <c r="AP58" i="35"/>
  <c r="AO47" i="35"/>
  <c r="AO52" i="35"/>
  <c r="AQ140" i="35"/>
  <c r="AT137" i="35" l="1"/>
  <c r="AO49" i="35"/>
  <c r="AO50" i="35" s="1"/>
  <c r="AO59" i="35" s="1"/>
  <c r="AO80" i="35" s="1"/>
  <c r="AR140" i="35"/>
  <c r="AR141" i="35" s="1"/>
  <c r="AQ141" i="35"/>
  <c r="AP74" i="35"/>
  <c r="AP52" i="35"/>
  <c r="AP47" i="35"/>
  <c r="AM73" i="35" l="1"/>
  <c r="AM85" i="35" s="1"/>
  <c r="AM99" i="35" s="1"/>
  <c r="AN73" i="35"/>
  <c r="AN85" i="35" s="1"/>
  <c r="AN99" i="35" s="1"/>
  <c r="AU137" i="35"/>
  <c r="AV137" i="35" s="1"/>
  <c r="AW137" i="35" s="1"/>
  <c r="AX137" i="35" s="1"/>
  <c r="AY137" i="35" s="1"/>
  <c r="AP49" i="35"/>
  <c r="AP50" i="35" s="1"/>
  <c r="AP59" i="35" s="1"/>
  <c r="AP80" i="35" s="1"/>
  <c r="AS140" i="35"/>
  <c r="AS141" i="35" s="1"/>
  <c r="AO73" i="35" s="1"/>
  <c r="AO85" i="35" s="1"/>
  <c r="AO99" i="35" s="1"/>
  <c r="AT140" i="35" l="1"/>
  <c r="AT141" i="35" s="1"/>
  <c r="AP73" i="35" s="1"/>
  <c r="AP85" i="35" s="1"/>
  <c r="AP99" i="35" s="1"/>
  <c r="AU140" i="35" l="1"/>
  <c r="AV140" i="35" l="1"/>
  <c r="AV141" i="35" s="1"/>
  <c r="AU141" i="35"/>
  <c r="AW140" i="35" l="1"/>
  <c r="AW141" i="35" s="1"/>
  <c r="AX140" i="35" l="1"/>
  <c r="AY140" i="35" l="1"/>
  <c r="AY141" i="35" s="1"/>
  <c r="AX141" i="35"/>
  <c r="B90" i="26" l="1"/>
  <c r="F27" i="29"/>
  <c r="G27" i="29" s="1"/>
  <c r="F31" i="29"/>
  <c r="G31" i="29" s="1"/>
  <c r="AE29" i="29"/>
  <c r="AE27" i="29"/>
  <c r="AE26" i="29"/>
  <c r="AE25" i="29"/>
  <c r="AE31" i="29"/>
  <c r="E128" i="35" l="1"/>
  <c r="D99" i="35" s="1"/>
  <c r="AE32" i="29"/>
  <c r="E32" i="29"/>
  <c r="AE33" i="29"/>
  <c r="E33" i="29"/>
  <c r="AE34" i="29"/>
  <c r="E34" i="29"/>
  <c r="I33" i="29"/>
  <c r="I32" i="29"/>
  <c r="E30" i="29" l="1"/>
  <c r="AE58" i="29"/>
  <c r="I30" i="29"/>
  <c r="I28" i="29" s="1"/>
  <c r="I24" i="29" s="1"/>
  <c r="D52" i="29"/>
  <c r="E52" i="29" s="1"/>
  <c r="AE30" i="29"/>
  <c r="D24" i="29" l="1"/>
  <c r="E28" i="29"/>
  <c r="C51" i="7"/>
  <c r="AE52" i="29"/>
  <c r="AE28" i="29"/>
  <c r="E24" i="29" l="1"/>
  <c r="C50" i="7"/>
  <c r="C99" i="35"/>
  <c r="F128" i="35"/>
  <c r="B128" i="35" s="1"/>
  <c r="B126" i="35" s="1"/>
  <c r="B29" i="35" s="1"/>
  <c r="B75" i="26"/>
  <c r="B83" i="26"/>
  <c r="B79" i="26"/>
  <c r="B67" i="26"/>
  <c r="B34" i="26"/>
  <c r="B63" i="26"/>
  <c r="B71" i="26"/>
  <c r="B87" i="26"/>
  <c r="B55" i="26"/>
  <c r="B59" i="26"/>
  <c r="AE24" i="29" l="1"/>
  <c r="E99" i="35"/>
  <c r="AQ99" i="35" s="1"/>
  <c r="A100" i="35" s="1"/>
  <c r="B50" i="35"/>
  <c r="B59" i="35" s="1"/>
  <c r="AQ81"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D67" i="35"/>
  <c r="B54" i="35"/>
  <c r="B55" i="35" l="1"/>
  <c r="B56" i="35" s="1"/>
  <c r="B69" i="35" s="1"/>
  <c r="B77" i="35" s="1"/>
  <c r="D76" i="35"/>
  <c r="E67" i="35"/>
  <c r="D68" i="35"/>
  <c r="B75" i="35"/>
  <c r="C53" i="35" l="1"/>
  <c r="B82" i="35"/>
  <c r="B70" i="35"/>
  <c r="B71" i="35" s="1"/>
  <c r="D75" i="35"/>
  <c r="C55" i="35"/>
  <c r="C56" i="35" s="1"/>
  <c r="C69" i="35" s="1"/>
  <c r="F67" i="35"/>
  <c r="E76" i="35"/>
  <c r="E68" i="35"/>
  <c r="C77" i="35" l="1"/>
  <c r="C70" i="35"/>
  <c r="B78" i="35"/>
  <c r="D53" i="35"/>
  <c r="C82" i="35"/>
  <c r="E75" i="35"/>
  <c r="B72" i="35"/>
  <c r="F76" i="35"/>
  <c r="G67" i="35"/>
  <c r="H67" i="35" l="1"/>
  <c r="G76" i="35"/>
  <c r="G68" i="35"/>
  <c r="D55" i="35"/>
  <c r="D56" i="35" s="1"/>
  <c r="D69" i="35" s="1"/>
  <c r="C71" i="35"/>
  <c r="C72" i="35" s="1"/>
  <c r="F29" i="29"/>
  <c r="G29" i="29" s="1"/>
  <c r="C78" i="35" l="1"/>
  <c r="G75" i="35"/>
  <c r="D77" i="35"/>
  <c r="D70" i="35"/>
  <c r="E53" i="35"/>
  <c r="D82" i="35"/>
  <c r="I67" i="35"/>
  <c r="H76" i="35"/>
  <c r="H68" i="35"/>
  <c r="H24" i="29"/>
  <c r="H75" i="35" l="1"/>
  <c r="E55" i="35"/>
  <c r="E82" i="35" s="1"/>
  <c r="D71" i="35"/>
  <c r="D72" i="35" s="1"/>
  <c r="I76" i="35"/>
  <c r="J67" i="35"/>
  <c r="I68" i="35"/>
  <c r="F28" i="29"/>
  <c r="G28" i="29" s="1"/>
  <c r="E56" i="35" l="1"/>
  <c r="E69" i="35" s="1"/>
  <c r="E77" i="35" s="1"/>
  <c r="I75" i="35"/>
  <c r="D78" i="35"/>
  <c r="J76" i="35"/>
  <c r="K67" i="35"/>
  <c r="J68" i="35"/>
  <c r="F53" i="35"/>
  <c r="H57" i="29"/>
  <c r="F58" i="29"/>
  <c r="G58" i="29" s="1"/>
  <c r="F59" i="29"/>
  <c r="G59" i="29" s="1"/>
  <c r="F60" i="29"/>
  <c r="G60" i="29" s="1"/>
  <c r="F61" i="29"/>
  <c r="G61" i="29" s="1"/>
  <c r="F62" i="29"/>
  <c r="G62" i="29" s="1"/>
  <c r="F63" i="29"/>
  <c r="G63" i="29" s="1"/>
  <c r="F64" i="29"/>
  <c r="G64" i="29" s="1"/>
  <c r="F54" i="29"/>
  <c r="G54" i="29" s="1"/>
  <c r="F57" i="29"/>
  <c r="G57" i="29" s="1"/>
  <c r="F50" i="29"/>
  <c r="G50" i="29" s="1"/>
  <c r="F45" i="29"/>
  <c r="G45" i="29" s="1"/>
  <c r="F25" i="29"/>
  <c r="G25" i="29" s="1"/>
  <c r="F26" i="29"/>
  <c r="G26" i="29" s="1"/>
  <c r="E70" i="35" l="1"/>
  <c r="E71" i="35" s="1"/>
  <c r="E72" i="35" s="1"/>
  <c r="F32" i="29"/>
  <c r="G32" i="29" s="1"/>
  <c r="J75" i="35"/>
  <c r="F55" i="35"/>
  <c r="F56" i="35" s="1"/>
  <c r="F69" i="35" s="1"/>
  <c r="L67" i="35"/>
  <c r="K76" i="35"/>
  <c r="K68" i="35"/>
  <c r="F42" i="29"/>
  <c r="G42" i="29" s="1"/>
  <c r="F37" i="29"/>
  <c r="G37" i="29" s="1"/>
  <c r="E78" i="35" l="1"/>
  <c r="F77" i="35"/>
  <c r="F70" i="35"/>
  <c r="K75" i="35"/>
  <c r="L76" i="35"/>
  <c r="M67" i="35"/>
  <c r="L68" i="35"/>
  <c r="G53" i="35"/>
  <c r="F82" i="35"/>
  <c r="G26" i="5"/>
  <c r="G55" i="35" l="1"/>
  <c r="G82" i="35" s="1"/>
  <c r="L75" i="35"/>
  <c r="N67" i="35"/>
  <c r="M76" i="35"/>
  <c r="M68" i="35"/>
  <c r="F71" i="35"/>
  <c r="F72" i="35" s="1"/>
  <c r="C45" i="7"/>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F51" i="29"/>
  <c r="G51" i="29" s="1"/>
  <c r="F49" i="29"/>
  <c r="G49" i="29" s="1"/>
  <c r="F48" i="29"/>
  <c r="G48" i="29" s="1"/>
  <c r="F47" i="29"/>
  <c r="G47" i="29" s="1"/>
  <c r="F46" i="29"/>
  <c r="G46" i="29" s="1"/>
  <c r="F44" i="29"/>
  <c r="G44" i="29" s="1"/>
  <c r="F43" i="29"/>
  <c r="G43" i="29" s="1"/>
  <c r="F41" i="29"/>
  <c r="G41" i="29" s="1"/>
  <c r="F40" i="29"/>
  <c r="G40" i="29" s="1"/>
  <c r="F39" i="29"/>
  <c r="G39" i="29" s="1"/>
  <c r="F36" i="29"/>
  <c r="G36" i="29" s="1"/>
  <c r="F35" i="29"/>
  <c r="G35" i="29" s="1"/>
  <c r="J53" i="35" l="1"/>
  <c r="J55" i="35" s="1"/>
  <c r="J56" i="35" s="1"/>
  <c r="J69" i="35" s="1"/>
  <c r="I56" i="35"/>
  <c r="I69" i="35" s="1"/>
  <c r="I77" i="35" s="1"/>
  <c r="P75" i="35"/>
  <c r="H72" i="35"/>
  <c r="H78" i="35"/>
  <c r="R67" i="35"/>
  <c r="Q76" i="35"/>
  <c r="Q68" i="35"/>
  <c r="F55" i="29"/>
  <c r="G55" i="29" s="1"/>
  <c r="F56" i="29"/>
  <c r="G56" i="29" s="1"/>
  <c r="F38" i="29"/>
  <c r="G38" i="29" s="1"/>
  <c r="F53" i="29"/>
  <c r="G53" i="29"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J77" i="35"/>
  <c r="J70" i="35"/>
  <c r="Q75" i="35"/>
  <c r="I71" i="35"/>
  <c r="I78" i="35" s="1"/>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B22" i="26"/>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F33" i="29"/>
  <c r="G33" i="29" s="1"/>
  <c r="AK67" i="35" l="1"/>
  <c r="AJ76" i="35"/>
  <c r="AJ68" i="35"/>
  <c r="S77" i="35"/>
  <c r="S70" i="35"/>
  <c r="R72" i="35"/>
  <c r="AI75" i="35"/>
  <c r="T53" i="35"/>
  <c r="S82" i="35"/>
  <c r="T55" i="35" l="1"/>
  <c r="T82" i="35" s="1"/>
  <c r="AJ75" i="35"/>
  <c r="S71" i="35"/>
  <c r="S78" i="35" s="1"/>
  <c r="AK76" i="35"/>
  <c r="AL67" i="35"/>
  <c r="AK68" i="35"/>
  <c r="F34" i="29"/>
  <c r="G34" i="29" s="1"/>
  <c r="T56" i="35" l="1"/>
  <c r="T69" i="35" s="1"/>
  <c r="T70" i="35" s="1"/>
  <c r="S72" i="35"/>
  <c r="U53" i="35"/>
  <c r="AK75" i="35"/>
  <c r="AM67" i="35"/>
  <c r="AL76" i="35"/>
  <c r="AL68" i="35"/>
  <c r="F30" i="29"/>
  <c r="G30" i="29" s="1"/>
  <c r="T77" i="35" l="1"/>
  <c r="AL75" i="35"/>
  <c r="U55" i="35"/>
  <c r="U56" i="35" s="1"/>
  <c r="U69" i="35" s="1"/>
  <c r="AM76" i="35"/>
  <c r="AN67" i="35"/>
  <c r="AM68" i="35"/>
  <c r="T71" i="35"/>
  <c r="T78" i="35" s="1"/>
  <c r="F24" i="29"/>
  <c r="G24" i="29" s="1"/>
  <c r="F52" i="29"/>
  <c r="G52" i="29"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B79" i="35"/>
  <c r="C79" i="35" l="1"/>
  <c r="C83" i="35" s="1"/>
  <c r="C86" i="35" s="1"/>
  <c r="B83" i="35"/>
  <c r="D79" i="35" l="1"/>
  <c r="E79" i="35" s="1"/>
  <c r="E83" i="35" s="1"/>
  <c r="C84" i="35"/>
  <c r="B84" i="35"/>
  <c r="B89" i="35" s="1"/>
  <c r="C88" i="35"/>
  <c r="B86" i="35"/>
  <c r="B88" i="35"/>
  <c r="D83" i="35" l="1"/>
  <c r="F79" i="35"/>
  <c r="G79" i="35" s="1"/>
  <c r="G83" i="35" s="1"/>
  <c r="G86" i="35" s="1"/>
  <c r="C89" i="35"/>
  <c r="B87" i="35"/>
  <c r="B90" i="35" s="1"/>
  <c r="C87" i="35"/>
  <c r="D88" i="35" l="1"/>
  <c r="D84" i="35"/>
  <c r="D89" i="35" s="1"/>
  <c r="D86" i="35"/>
  <c r="D87" i="35" s="1"/>
  <c r="E86" i="35"/>
  <c r="E84" i="35"/>
  <c r="E88" i="35"/>
  <c r="D90" i="35"/>
  <c r="F83" i="35"/>
  <c r="F86" i="35" s="1"/>
  <c r="H79" i="35"/>
  <c r="C90" i="35"/>
  <c r="E89" i="35" l="1"/>
  <c r="F88" i="35"/>
  <c r="G84" i="35"/>
  <c r="H83" i="35"/>
  <c r="I79" i="35"/>
  <c r="H84" i="35"/>
  <c r="F84" i="35"/>
  <c r="F89" i="35" s="1"/>
  <c r="G88" i="35"/>
  <c r="F87" i="35"/>
  <c r="E87" i="35"/>
  <c r="E90" i="35" s="1"/>
  <c r="G87" i="35"/>
  <c r="H89" i="35" l="1"/>
  <c r="G90" i="35"/>
  <c r="F90" i="35"/>
  <c r="H86" i="35"/>
  <c r="H88" i="35"/>
  <c r="I83" i="35"/>
  <c r="I88" i="35" s="1"/>
  <c r="J79" i="35"/>
  <c r="K79" i="35" s="1"/>
  <c r="K83" i="35" s="1"/>
  <c r="K86" i="35" s="1"/>
  <c r="G89" i="35"/>
  <c r="H87" i="35" l="1"/>
  <c r="H90" i="35" s="1"/>
  <c r="J83" i="35"/>
  <c r="K88" i="35" s="1"/>
  <c r="L79" i="35"/>
  <c r="I86" i="35"/>
  <c r="I84" i="35"/>
  <c r="I89" i="35" s="1"/>
  <c r="J88" i="35"/>
  <c r="K84" i="35"/>
  <c r="I87" i="35" l="1"/>
  <c r="I90" i="35" s="1"/>
  <c r="L83" i="35"/>
  <c r="L84" i="35" s="1"/>
  <c r="L89" i="35" s="1"/>
  <c r="M79" i="35"/>
  <c r="J86" i="35"/>
  <c r="J84" i="35"/>
  <c r="J89" i="35" s="1"/>
  <c r="L86" i="35" l="1"/>
  <c r="L88" i="35"/>
  <c r="B105" i="35" s="1"/>
  <c r="K87" i="35"/>
  <c r="K89" i="35"/>
  <c r="G28" i="35" s="1"/>
  <c r="C105" i="35" s="1"/>
  <c r="J87" i="35"/>
  <c r="J90" i="35" s="1"/>
  <c r="L87" i="35"/>
  <c r="M83" i="35"/>
  <c r="N79" i="35"/>
  <c r="L90" i="35" l="1"/>
  <c r="G30" i="35"/>
  <c r="A105" i="35" s="1"/>
  <c r="N83" i="35"/>
  <c r="O79" i="35"/>
  <c r="M86" i="35"/>
  <c r="M87" i="35" s="1"/>
  <c r="M90" i="35" s="1"/>
  <c r="M88" i="35"/>
  <c r="N88" i="35"/>
  <c r="K90" i="35"/>
  <c r="M84" i="35"/>
  <c r="M89" i="35" s="1"/>
  <c r="O83" i="35" l="1"/>
  <c r="P79" i="35"/>
  <c r="N86" i="35"/>
  <c r="N87" i="35" s="1"/>
  <c r="N90" i="35" s="1"/>
  <c r="N84" i="35"/>
  <c r="N89" i="35" s="1"/>
  <c r="G29" i="35"/>
  <c r="D105" i="35" s="1"/>
  <c r="O86" i="35" l="1"/>
  <c r="O87" i="35" s="1"/>
  <c r="O90" i="35" s="1"/>
  <c r="O88" i="35"/>
  <c r="O84" i="35"/>
  <c r="O89" i="35" s="1"/>
  <c r="P83" i="35"/>
  <c r="Q79" i="35"/>
  <c r="Q83" i="35" l="1"/>
  <c r="R79" i="35"/>
  <c r="P86" i="35"/>
  <c r="P87" i="35" s="1"/>
  <c r="P90" i="35" s="1"/>
  <c r="P84" i="35"/>
  <c r="P89" i="35" s="1"/>
  <c r="P88" i="35"/>
  <c r="R83" i="35" l="1"/>
  <c r="S79" i="35"/>
  <c r="Q86" i="35"/>
  <c r="Q87" i="35" s="1"/>
  <c r="Q90" i="35" s="1"/>
  <c r="Q84" i="35"/>
  <c r="Q89" i="35" s="1"/>
  <c r="Q88" i="35"/>
  <c r="R86" i="35" l="1"/>
  <c r="R87" i="35" s="1"/>
  <c r="R90" i="35" s="1"/>
  <c r="R88" i="35"/>
  <c r="R84" i="35"/>
  <c r="R89" i="35" s="1"/>
  <c r="S83" i="35"/>
  <c r="T79" i="35"/>
  <c r="T83" i="35" l="1"/>
  <c r="U79" i="35"/>
  <c r="S86" i="35"/>
  <c r="S87" i="35" s="1"/>
  <c r="S90" i="35" s="1"/>
  <c r="S84" i="35"/>
  <c r="S89" i="35" s="1"/>
  <c r="S88" i="35"/>
  <c r="T86" i="35" l="1"/>
  <c r="T87" i="35" s="1"/>
  <c r="T90" i="35" s="1"/>
  <c r="T88" i="35"/>
  <c r="T84" i="35"/>
  <c r="T89" i="35" s="1"/>
  <c r="U83" i="35"/>
  <c r="V79" i="35"/>
  <c r="V83" i="35" l="1"/>
  <c r="W79" i="35"/>
  <c r="U86" i="35"/>
  <c r="U87" i="35" s="1"/>
  <c r="U90" i="35" s="1"/>
  <c r="U84" i="35"/>
  <c r="U89" i="35" s="1"/>
  <c r="U88" i="35"/>
  <c r="W83" i="35" l="1"/>
  <c r="X79" i="35"/>
  <c r="V86" i="35"/>
  <c r="V87" i="35" s="1"/>
  <c r="V90" i="35" s="1"/>
  <c r="V88" i="35"/>
  <c r="V84" i="35"/>
  <c r="V89" i="35" s="1"/>
  <c r="X83" i="35" l="1"/>
  <c r="Y79" i="35"/>
  <c r="W86" i="35"/>
  <c r="W87" i="35" s="1"/>
  <c r="W90" i="35" s="1"/>
  <c r="W84" i="35"/>
  <c r="W89" i="35" s="1"/>
  <c r="W88" i="35"/>
  <c r="Y83" i="35" l="1"/>
  <c r="Z79" i="35"/>
  <c r="X86" i="35"/>
  <c r="X87" i="35" s="1"/>
  <c r="X90" i="35" s="1"/>
  <c r="X84" i="35"/>
  <c r="X89" i="35" s="1"/>
  <c r="X88" i="35"/>
  <c r="Z83" i="35" l="1"/>
  <c r="AA79" i="35"/>
  <c r="Y86" i="35"/>
  <c r="Y87" i="35" s="1"/>
  <c r="Y90" i="35" s="1"/>
  <c r="Y84" i="35"/>
  <c r="Y89" i="35" s="1"/>
  <c r="Y88" i="35"/>
  <c r="AA83" i="35" l="1"/>
  <c r="AB79" i="35"/>
  <c r="Z86" i="35"/>
  <c r="Z87" i="35" s="1"/>
  <c r="Z90" i="35" s="1"/>
  <c r="Z84" i="35"/>
  <c r="Z89" i="35" s="1"/>
  <c r="Z88" i="35"/>
  <c r="AB83" i="35" l="1"/>
  <c r="AC79" i="35"/>
  <c r="AA86" i="35"/>
  <c r="AA87" i="35" s="1"/>
  <c r="AA90" i="35" s="1"/>
  <c r="AA84" i="35"/>
  <c r="AA89" i="35" s="1"/>
  <c r="AA88" i="35"/>
  <c r="AC83" i="35" l="1"/>
  <c r="AD79" i="35"/>
  <c r="AB86" i="35"/>
  <c r="AB87" i="35" s="1"/>
  <c r="AB90" i="35" s="1"/>
  <c r="AB84" i="35"/>
  <c r="AB89" i="35" s="1"/>
  <c r="AB88" i="35"/>
  <c r="AD83" i="35" l="1"/>
  <c r="AE79" i="35"/>
  <c r="AC86" i="35"/>
  <c r="AC87" i="35" s="1"/>
  <c r="AC90" i="35" s="1"/>
  <c r="AC84" i="35"/>
  <c r="AC89" i="35" s="1"/>
  <c r="AC88" i="35"/>
  <c r="AE83" i="35" l="1"/>
  <c r="AF79" i="35"/>
  <c r="AD86" i="35"/>
  <c r="AD87" i="35" s="1"/>
  <c r="AD90" i="35" s="1"/>
  <c r="AD88" i="35"/>
  <c r="AD84" i="35"/>
  <c r="AD89" i="35" s="1"/>
  <c r="AF83" i="35" l="1"/>
  <c r="AG79" i="35"/>
  <c r="AE86" i="35"/>
  <c r="AE87" i="35" s="1"/>
  <c r="AE90" i="35" s="1"/>
  <c r="AE84" i="35"/>
  <c r="AE89" i="35" s="1"/>
  <c r="AE88" i="35"/>
  <c r="AG83" i="35" l="1"/>
  <c r="AH79" i="35"/>
  <c r="AF86" i="35"/>
  <c r="AF87" i="35" s="1"/>
  <c r="AF90" i="35" s="1"/>
  <c r="AF84" i="35"/>
  <c r="AF89" i="35" s="1"/>
  <c r="AF88" i="35"/>
  <c r="AH83" i="35" l="1"/>
  <c r="AI79" i="35"/>
  <c r="AG86" i="35"/>
  <c r="AG87" i="35" s="1"/>
  <c r="AG90" i="35" s="1"/>
  <c r="AG88" i="35"/>
  <c r="AG84" i="35"/>
  <c r="AG89" i="35" s="1"/>
  <c r="AI83" i="35" l="1"/>
  <c r="AJ79" i="35"/>
  <c r="AH86" i="35"/>
  <c r="AH87" i="35" s="1"/>
  <c r="AH90" i="35" s="1"/>
  <c r="AH88" i="35"/>
  <c r="AH84" i="35"/>
  <c r="AH89" i="35" s="1"/>
  <c r="AJ83" i="35" l="1"/>
  <c r="AK79" i="35"/>
  <c r="AI86" i="35"/>
  <c r="AI87" i="35" s="1"/>
  <c r="AI90" i="35" s="1"/>
  <c r="AI84" i="35"/>
  <c r="AI89" i="35" s="1"/>
  <c r="AI88" i="35"/>
  <c r="AK83" i="35" l="1"/>
  <c r="AL79" i="35"/>
  <c r="AJ86" i="35"/>
  <c r="AJ87" i="35" s="1"/>
  <c r="AJ90" i="35" s="1"/>
  <c r="AJ84" i="35"/>
  <c r="AJ89" i="35" s="1"/>
  <c r="AJ88" i="35"/>
  <c r="AL83" i="35" l="1"/>
  <c r="AM79" i="35"/>
  <c r="AK86" i="35"/>
  <c r="AK87" i="35" s="1"/>
  <c r="AK90" i="35" s="1"/>
  <c r="AK84" i="35"/>
  <c r="AK89" i="35" s="1"/>
  <c r="AK88" i="35"/>
  <c r="AM83" i="35" l="1"/>
  <c r="AN79" i="35"/>
  <c r="AL86" i="35"/>
  <c r="AL87" i="35" s="1"/>
  <c r="AL90" i="35" s="1"/>
  <c r="AL88" i="35"/>
  <c r="AL84" i="35"/>
  <c r="AL89" i="35" s="1"/>
  <c r="AN83" i="35" l="1"/>
  <c r="AO79" i="35"/>
  <c r="AM86" i="35"/>
  <c r="AM87" i="35" s="1"/>
  <c r="AM90" i="35" s="1"/>
  <c r="AM88" i="35"/>
  <c r="AM84" i="35"/>
  <c r="AM89" i="35" s="1"/>
  <c r="AO83" i="35" l="1"/>
  <c r="AP79" i="35"/>
  <c r="AP83" i="35" s="1"/>
  <c r="AN86" i="35"/>
  <c r="AN87" i="35" s="1"/>
  <c r="AN90" i="35" s="1"/>
  <c r="AN84" i="35"/>
  <c r="AN89" i="35" s="1"/>
  <c r="AN88" i="35"/>
  <c r="AP86" i="35" l="1"/>
  <c r="AP84" i="35"/>
  <c r="AP88" i="35"/>
  <c r="AO86" i="35"/>
  <c r="AO87" i="35" s="1"/>
  <c r="AO90" i="35" s="1"/>
  <c r="AO88" i="35"/>
  <c r="AO84" i="35"/>
  <c r="AO89" i="35" s="1"/>
  <c r="AP89" i="35" l="1"/>
  <c r="AP87" i="35"/>
  <c r="A101" i="35" l="1"/>
  <c r="B102" i="35" s="1"/>
  <c r="AP90" i="3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Пользователь</author>
  </authors>
  <commentList>
    <comment ref="S22" authorId="0" shapeId="0" xr:uid="{00000000-0006-0000-0100-000001000000}">
      <text>
        <r>
          <rPr>
            <b/>
            <sz val="9"/>
            <color indexed="81"/>
            <rFont val="Tahoma"/>
            <family val="2"/>
            <charset val="204"/>
          </rPr>
          <t>Пользователь:</t>
        </r>
        <r>
          <rPr>
            <sz val="9"/>
            <color indexed="81"/>
            <rFont val="Tahoma"/>
            <family val="2"/>
            <charset val="204"/>
          </rPr>
          <t xml:space="preserve">
приказ СГРЦТ Калининградской области от 15.06.2020 №34-02тпэ/20</t>
        </r>
      </text>
    </comment>
  </commentList>
</comments>
</file>

<file path=xl/sharedStrings.xml><?xml version="1.0" encoding="utf-8"?>
<sst xmlns="http://schemas.openxmlformats.org/spreadsheetml/2006/main" count="1773" uniqueCount="666">
  <si>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</si>
  <si>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</si>
  <si>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</si>
  <si>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</si>
  <si>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</si>
  <si>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</si>
  <si>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</si>
  <si>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</si>
  <si>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</si>
  <si>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</si>
  <si>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</si>
  <si>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</si>
  <si>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</si>
  <si>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</si>
  <si>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</si>
  <si>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</si>
  <si>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</si>
  <si>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</si>
  <si>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</si>
  <si>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</si>
  <si>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</si>
  <si>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</si>
  <si>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</si>
  <si>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</si>
  <si>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</si>
  <si>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</si>
  <si>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</si>
  <si>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</si>
  <si>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</si>
  <si>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</si>
  <si>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</si>
  <si>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</si>
  <si>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</si>
  <si>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</si>
  <si>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</si>
  <si>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</si>
  <si>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</si>
  <si>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</si>
  <si>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</si>
  <si>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</si>
  <si>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</si>
  <si>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</si>
  <si>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</si>
  <si>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</si>
  <si>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</si>
  <si>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</si>
  <si>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</si>
  <si>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</si>
  <si>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</si>
  <si>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</si>
  <si>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</si>
  <si>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</si>
  <si>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</si>
  <si>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</si>
  <si>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</si>
  <si>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</si>
  <si>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</si>
  <si>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</si>
  <si>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</si>
  <si>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</si>
  <si>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</si>
  <si>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</si>
  <si>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</si>
  <si>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</si>
  <si>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</si>
  <si>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</si>
  <si>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</si>
  <si>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</si>
  <si>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</si>
  <si>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</si>
  <si>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</si>
  <si>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</si>
  <si>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</si>
  <si>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</si>
  <si>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</si>
  <si>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</si>
  <si>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</si>
  <si>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</si>
  <si>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</si>
  <si>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</si>
  <si>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</si>
  <si>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</si>
  <si>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</si>
  <si>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</si>
  <si>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</si>
  <si>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</si>
  <si>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</si>
  <si>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</si>
  <si>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</si>
  <si>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</si>
  <si>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</si>
  <si>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</si>
  <si>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</si>
  <si>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</si>
  <si>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</si>
  <si>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</si>
  <si>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</si>
  <si>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</si>
  <si>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</si>
  <si>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</si>
  <si>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</si>
  <si>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</si>
  <si>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</si>
  <si>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</si>
  <si>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</si>
  <si>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</si>
  <si>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</si>
  <si>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</si>
  <si>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</si>
  <si>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</si>
  <si>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</si>
  <si>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</si>
  <si>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</si>
  <si>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</si>
  <si>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</si>
  <si>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</si>
  <si>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</si>
  <si>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</si>
  <si>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</si>
  <si>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</si>
  <si>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</si>
  <si>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</si>
  <si>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</si>
  <si>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</si>
  <si>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</si>
  <si>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</si>
  <si>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</si>
  <si>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</si>
  <si>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</si>
  <si>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</si>
  <si>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</si>
  <si>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</si>
  <si>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</si>
  <si>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</si>
  <si>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</si>
  <si>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</si>
  <si>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</si>
  <si>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</si>
  <si>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</si>
  <si>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</si>
  <si>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</si>
  <si>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</si>
  <si>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</si>
  <si>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</si>
  <si>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</si>
  <si>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</si>
  <si>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</si>
  <si>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</si>
  <si>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</si>
  <si>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</si>
  <si>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</si>
  <si>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</si>
  <si>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</si>
  <si>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</si>
  <si>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</si>
  <si>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</si>
  <si>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</si>
  <si>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</si>
  <si>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</si>
  <si>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</si>
  <si>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</si>
  <si>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</si>
  <si>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</si>
  <si>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</si>
  <si>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</si>
  <si>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</si>
  <si>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</si>
  <si>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</si>
  <si>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</si>
  <si>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</si>
  <si>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</si>
  <si>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</si>
  <si>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</si>
  <si>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</si>
  <si>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</si>
  <si>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</si>
  <si>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</si>
  <si>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</si>
  <si>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</si>
  <si>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</si>
  <si>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</si>
  <si>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</si>
  <si>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</si>
  <si>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</si>
  <si>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</si>
  <si>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</si>
  <si>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</si>
  <si>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</si>
  <si>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</si>
  <si>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</si>
  <si>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</si>
  <si>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</si>
  <si>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</si>
  <si>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</si>
  <si>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</si>
  <si>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</si>
  <si>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</si>
  <si>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</si>
  <si>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</si>
  <si>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</si>
  <si>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</si>
  <si>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</si>
  <si>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</si>
  <si>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</si>
  <si>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</si>
  <si>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</si>
  <si>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</si>
  <si>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</si>
  <si>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</si>
  <si>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</si>
  <si>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</si>
  <si>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</si>
  <si>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</si>
  <si>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</si>
  <si>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</si>
  <si>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</si>
  <si>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</si>
  <si>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</si>
  <si>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</si>
  <si>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</si>
  <si>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</si>
  <si>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</si>
  <si>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</si>
  <si>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</si>
  <si>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</si>
  <si>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</si>
  <si>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</si>
  <si>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</si>
  <si>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</si>
  <si>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</si>
  <si>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</si>
  <si>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</si>
  <si>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</si>
  <si>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</si>
  <si>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</si>
  <si>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</si>
  <si>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</si>
  <si>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</si>
  <si>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</si>
  <si>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</si>
  <si>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</si>
  <si>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</si>
  <si>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</si>
  <si>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</si>
  <si>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</si>
  <si>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</si>
  <si>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</si>
  <si>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</si>
  <si>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</si>
  <si>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</si>
  <si>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</si>
  <si>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</si>
  <si>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</si>
  <si>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</si>
  <si>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</si>
  <si>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</si>
  <si>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</si>
  <si>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</si>
  <si>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</si>
  <si>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</si>
  <si>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</si>
  <si>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</si>
  <si>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</si>
  <si>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</si>
  <si>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</si>
  <si>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</si>
  <si>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</si>
  <si>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</si>
  <si>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</si>
  <si>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</si>
  <si>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</si>
  <si>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</si>
  <si>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</si>
  <si>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</si>
  <si>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</si>
  <si>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</si>
  <si>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</si>
  <si>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</si>
  <si>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</si>
  <si>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</si>
  <si>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</si>
  <si>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</si>
  <si>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</si>
  <si>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</si>
  <si>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</si>
  <si>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</si>
  <si>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</si>
  <si>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</si>
  <si>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</si>
  <si>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</si>
  <si>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</si>
  <si>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</si>
  <si>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</si>
  <si>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</si>
  <si>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</si>
  <si>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</si>
  <si>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</si>
  <si>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</si>
  <si>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</si>
  <si>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</si>
  <si>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</si>
  <si>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</si>
  <si>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</si>
  <si>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</si>
  <si>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</si>
  <si>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</si>
  <si>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</si>
  <si>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</si>
  <si>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</si>
  <si>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</si>
  <si>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</si>
  <si>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</si>
  <si>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</si>
  <si>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</si>
  <si>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</si>
  <si>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</si>
  <si>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</si>
  <si>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</si>
  <si>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</si>
  <si>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</si>
  <si>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</si>
  <si>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</si>
  <si>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</si>
  <si>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</si>
  <si>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</si>
  <si>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</si>
  <si>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</si>
  <si>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</si>
  <si>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</si>
  <si>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</si>
  <si>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</si>
  <si>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</si>
  <si>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</si>
  <si>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</si>
  <si>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</si>
  <si>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</si>
  <si>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</si>
  <si>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</si>
  <si>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</si>
  <si>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</si>
  <si>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</si>
  <si>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</si>
  <si>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</si>
  <si>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</si>
  <si>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</si>
  <si>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</si>
  <si>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</si>
  <si>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</si>
  <si>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</si>
  <si>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</si>
  <si>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</si>
  <si>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</si>
  <si>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</si>
  <si>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</si>
  <si>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</si>
  <si>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</si>
  <si>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</si>
  <si>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</si>
  <si>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</si>
  <si>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</si>
  <si>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</si>
  <si>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</si>
  <si>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</si>
  <si>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</si>
  <si>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</si>
  <si>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</si>
  <si>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</si>
  <si>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</si>
  <si>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</si>
  <si>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</si>
  <si>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</si>
  <si>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</si>
  <si>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</si>
  <si>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</si>
  <si>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</si>
  <si>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</si>
  <si>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</si>
  <si>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</si>
  <si>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</si>
  <si>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</si>
  <si>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</si>
  <si>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</si>
  <si>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</si>
  <si>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</si>
  <si>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</si>
  <si>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</si>
  <si>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</si>
  <si>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</si>
  <si>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</si>
  <si>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</si>
  <si>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</si>
  <si>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</si>
  <si>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</si>
  <si>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</si>
  <si>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</si>
  <si>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</si>
  <si>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</si>
  <si>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</si>
  <si>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</si>
  <si>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</si>
  <si>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</si>
  <si>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</si>
  <si>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</si>
  <si>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</si>
  <si>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</si>
  <si>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</si>
  <si>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</si>
  <si>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</si>
  <si>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</si>
  <si>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</si>
  <si>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</si>
  <si>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</si>
  <si>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</si>
  <si>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</si>
  <si>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</si>
  <si>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</si>
  <si>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</si>
  <si>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</si>
  <si>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</si>
  <si>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</si>
  <si>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</si>
  <si>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</si>
  <si>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</si>
  <si>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</si>
  <si>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</si>
  <si>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</si>
  <si>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</si>
  <si>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</si>
  <si>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</si>
  <si>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</si>
  <si>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</si>
  <si>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</si>
  <si>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</si>
  <si>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</si>
  <si>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</si>
  <si>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</si>
  <si>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</si>
  <si>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</si>
  <si>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</si>
  <si>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</si>
  <si>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</si>
  <si>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</si>
  <si>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</si>
  <si>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</si>
  <si>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</si>
  <si>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</si>
  <si>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</si>
  <si>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</si>
  <si>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</si>
  <si>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</si>
  <si>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</si>
  <si>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</si>
  <si>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</si>
  <si>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</si>
  <si>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</si>
  <si>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</si>
  <si>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</si>
  <si>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</si>
  <si>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</si>
  <si>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</si>
  <si>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</si>
  <si>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</si>
  <si>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</si>
  <si>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</si>
  <si>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</si>
  <si>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</si>
  <si>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</si>
  <si>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</si>
  <si>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</si>
  <si>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</si>
  <si>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</si>
  <si>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</si>
  <si>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</si>
  <si>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</si>
  <si>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</si>
  <si>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</si>
  <si>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</si>
  <si>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</si>
  <si>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</si>
  <si>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</si>
  <si>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</si>
  <si>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</si>
  <si>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</si>
  <si>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</si>
  <si>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</si>
  <si>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</si>
  <si>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</si>
  <si>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</si>
  <si>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</si>
  <si>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</si>
  <si>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</si>
  <si>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</si>
  <si>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</si>
  <si>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</si>
  <si>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</si>
  <si>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</si>
  <si>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</si>
  <si>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</si>
  <si>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</si>
  <si>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</si>
  <si>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</si>
  <si>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</si>
  <si>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</si>
  <si>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</si>
  <si>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</si>
  <si>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</si>
  <si>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</si>
  <si>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</si>
  <si>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</si>
  <si>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</si>
  <si>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</si>
  <si>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</si>
  <si>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</si>
  <si>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</si>
  <si>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</si>
  <si>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</si>
  <si>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</si>
  <si>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</si>
  <si>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</si>
  <si>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</si>
  <si>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</si>
  <si>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</si>
  <si>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</si>
  <si>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</si>
  <si>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</si>
  <si>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</si>
  <si>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</si>
  <si>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</si>
  <si>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</si>
  <si>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</si>
  <si>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</si>
  <si>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</si>
  <si>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</si>
  <si>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</si>
  <si>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</si>
  <si>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</si>
  <si>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</si>
  <si>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</si>
  <si>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</si>
  <si>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</si>
  <si>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</si>
  <si>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</si>
  <si>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</si>
  <si>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</si>
  <si>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</si>
  <si>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</si>
  <si>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</si>
  <si>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</si>
  <si>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</si>
  <si>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</si>
  <si>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</si>
  <si>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</si>
  <si>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</si>
  <si>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</si>
  <si>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</si>
  <si>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</si>
  <si>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</si>
  <si>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</si>
  <si>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</si>
  <si>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</si>
  <si>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ТРДН 16 000/110 У1</t>
  </si>
  <si>
    <t>Т-1, Т-2</t>
  </si>
  <si>
    <t>ДГР-1, ДГР-2</t>
  </si>
  <si>
    <t>ТСН-1, ТСН-2</t>
  </si>
  <si>
    <t>трансформатор собственных нужд</t>
  </si>
  <si>
    <t>11МВт</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</si>
  <si>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</si>
  <si>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</si>
  <si>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</si>
  <si>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</si>
  <si>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</si>
  <si>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</si>
  <si>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</si>
  <si>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</si>
  <si>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</si>
  <si>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ВЛ-110</t>
  </si>
  <si>
    <t xml:space="preserve">Акционерное общество "Западная энергетическая компания" </t>
  </si>
  <si>
    <t>8,34 млн.руб./МВА</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</si>
  <si>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2020-2024 гг.
• Постановление Правительства Российской Федерации от 27 декабря 2004 г. № 861</t>
  </si>
  <si>
    <t xml:space="preserve"> по состоянию на 01.01.2020</t>
  </si>
  <si>
    <t xml:space="preserve"> факт 2019</t>
  </si>
  <si>
    <t xml:space="preserve"> факт 2020</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</si>
  <si>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</si>
  <si>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ООО "БалтСтройСервис"объем заключенного договора №14-2019/ЗЭК от 04.03.2019 в ценах 2019 года с НДС, млн. руб.</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</si>
  <si>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</si>
  <si>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</si>
  <si>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</si>
  <si>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</si>
  <si>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</si>
  <si>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</si>
  <si>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</si>
  <si>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</si>
  <si>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</si>
  <si>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</si>
  <si>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</si>
  <si>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</si>
  <si>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</si>
  <si>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</si>
  <si>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</si>
  <si>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</si>
  <si>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</si>
  <si>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</si>
  <si>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</si>
  <si>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</si>
  <si>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</si>
  <si>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</si>
  <si>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</si>
  <si>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</si>
  <si>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</si>
  <si>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</si>
  <si>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</si>
  <si>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</si>
  <si>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</si>
  <si>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</si>
  <si>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</si>
  <si>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</si>
  <si>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</si>
  <si>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</si>
  <si>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</si>
  <si>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</si>
  <si>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</si>
  <si>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</si>
  <si>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</si>
  <si>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</si>
  <si>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</si>
  <si>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</si>
  <si>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</si>
  <si>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</si>
  <si>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</si>
  <si>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</si>
  <si>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</si>
  <si>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</si>
  <si>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</si>
  <si>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</si>
  <si>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</si>
  <si>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</si>
  <si>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Калининградская область, г. Калиниград, Мамоновское шоссе, пос Прибрежный кадастровый номер земельного участка 39:15:151314:51</t>
  </si>
  <si>
    <t>Объекты электросетевого хозяйства АО "Западная энергетическая компания"</t>
  </si>
  <si>
    <t>Строительство второй очереди ПС 110 Прибрежная с установкой второго трансформатора 10МВА г. Калининград, пос. Прибрежный</t>
  </si>
  <si>
    <t>Т-1</t>
  </si>
  <si>
    <t>ТРДН 16 000/110У1    ТРДН 10 000/110 У1</t>
  </si>
  <si>
    <t>2002</t>
  </si>
  <si>
    <t>выключатель элегазовый колонковый 110 кВ ВГТ-110</t>
  </si>
  <si>
    <t>В-110 Т-1, В-110 Т-2  В-СВ-110</t>
  </si>
  <si>
    <t>2022</t>
  </si>
  <si>
    <t>I с 15 кВ, II с 15 кВ 14 яч.</t>
  </si>
  <si>
    <t>1-цепная</t>
  </si>
  <si>
    <t>ПС 110  О-59 Прибрежная</t>
  </si>
  <si>
    <t>ВЛ 110кВ ПС О-1 Центральная-ПС  Прибрежная</t>
  </si>
  <si>
    <t>ВЛ-110кВ ПС Ладушкино-ПС Прибрежная</t>
  </si>
  <si>
    <t>отпайка от ВЛ 110кВ ПС О-1 Центральная-ПС Ладшкино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</si>
  <si>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 обеспечение электроснабжения потребителей по втрой категории электроснабжения, повышение надёжности.</t>
  </si>
  <si>
    <t>Строительство 2-й очереди ПС Прибрежная с преобразованием схемы ОРУ-110кВ в схему 110-5АН с установкой блока секционного выключателя СВ-110кВ и второго трансформатора Т-2 110/15кВ 10МВА. Реконструкция 1-й очереди ПС Прибрежная с заменой оборудования 1 секции ОРУ-110кВ и РЗА Т-1 110кВ</t>
  </si>
  <si>
    <t>5 шкафов КРУ-15кВ</t>
  </si>
  <si>
    <t>14 шкафов КРУ 15 кВ</t>
  </si>
  <si>
    <t>1с 15кВ</t>
  </si>
  <si>
    <t>М  22-01</t>
  </si>
  <si>
    <t>г. Калининград, пос. Прибрежный</t>
  </si>
  <si>
    <t>Сметная стоимость проекта в ценах  2022 года с НДС, млн. руб.</t>
  </si>
  <si>
    <t>1.Проектирование и строительство втрой очереди ПС 110кВ Прибрежная с преобразованием схемы ОРУ 110кВ в 110-5АН с заходами на подстанцию ВЛ-110кВ "Центральная-Прибрежная" и "Прибрежная-Ладушкино"</t>
  </si>
  <si>
    <t>M 22-01</t>
  </si>
  <si>
    <t>Год раскрытия информации: 2022 год</t>
  </si>
  <si>
    <t xml:space="preserve"> по состоянию на 01.01.2022</t>
  </si>
  <si>
    <t>Увеличение разрешенной мощности ПС Прибрежная на 2,751мВт, обеспечение 2-й категории электроснабжения потребителей, повышение надёжности.</t>
  </si>
  <si>
    <t>П</t>
  </si>
  <si>
    <t>10 МВА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</si>
</sst>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9"/>
      <color indexed="81"/>
      <name val="Tahoma"/>
      <family val="2"/>
      <charset val="204"/>
    </font>
    <font>
      <b/>
      <sz val="9"/>
      <color indexed="81"/>
      <name val="Tahoma"/>
      <family val="2"/>
      <charset val="204"/>
    </font>
    <font>
      <sz val="8"/>
      <name val="Arial Cyr"/>
      <charset val="204"/>
    </font>
    <font>
      <b/>
      <sz val="10"/>
      <name val="Times New Roman"/>
      <family val="1"/>
      <charset val="204"/>
    </font>
    <font>
      <sz val="11"/>
      <color theme="1"/>
      <name val="Times New Roman"/>
      <family val="1"/>
      <charset val="204"/>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top style="thin">
        <color indexed="64"/>
      </top>
      <bottom/>
      <diagonal/>
    </border>
    <border>
      <left/>
      <right style="medium">
        <color auto="1"/>
      </right>
      <top/>
      <bottom style="thin">
        <color auto="1"/>
      </bottom>
      <diagonal/>
    </border>
    <border>
      <left style="medium">
        <color auto="1"/>
      </left>
      <right/>
      <top style="thin">
        <color auto="1"/>
      </top>
      <bottom style="medium">
        <color auto="1"/>
      </bottom>
      <diagonal/>
    </border>
  </borders>
  <cellStyleXfs count="14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1"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2" fillId="29" borderId="0" applyNumberFormat="0" applyBorder="0" applyAlignment="0" applyProtection="0"/>
    <xf numFmtId="0" fontId="72" fillId="32" borderId="0" applyNumberFormat="0" applyBorder="0" applyAlignment="0" applyProtection="0"/>
    <xf numFmtId="0" fontId="72" fillId="35" borderId="0" applyNumberFormat="0" applyBorder="0" applyAlignment="0" applyProtection="0"/>
    <xf numFmtId="0" fontId="72" fillId="38" borderId="0" applyNumberFormat="0" applyBorder="0" applyAlignment="0" applyProtection="0"/>
    <xf numFmtId="0" fontId="72" fillId="41" borderId="0" applyNumberFormat="0" applyBorder="0" applyAlignment="0" applyProtection="0"/>
    <xf numFmtId="0" fontId="72" fillId="44" borderId="0" applyNumberFormat="0" applyBorder="0" applyAlignment="0" applyProtection="0"/>
  </cellStyleXfs>
  <cellXfs count="55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4" xfId="2" applyFont="1" applyFill="1" applyBorder="1" applyAlignment="1">
      <alignment horizontal="justify"/>
    </xf>
    <xf numFmtId="0" fontId="36" fillId="0" borderId="24" xfId="2" applyFont="1" applyFill="1" applyBorder="1" applyAlignment="1">
      <alignment horizontal="justify"/>
    </xf>
    <xf numFmtId="0" fontId="36" fillId="0" borderId="25" xfId="2" applyFont="1" applyFill="1" applyBorder="1" applyAlignment="1">
      <alignment horizontal="justify"/>
    </xf>
    <xf numFmtId="0" fontId="37" fillId="0" borderId="24" xfId="2" applyFont="1" applyFill="1" applyBorder="1" applyAlignment="1">
      <alignment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6" fillId="0" borderId="24" xfId="2" applyFont="1" applyFill="1" applyBorder="1" applyAlignment="1">
      <alignment horizontal="justify" vertical="top" wrapText="1"/>
    </xf>
    <xf numFmtId="0" fontId="36" fillId="0" borderId="25" xfId="2" applyFont="1" applyFill="1" applyBorder="1" applyAlignment="1">
      <alignment vertical="top" wrapText="1"/>
    </xf>
    <xf numFmtId="0" fontId="36" fillId="0" borderId="24" xfId="2" applyFont="1" applyFill="1" applyBorder="1" applyAlignment="1">
      <alignment vertical="top" wrapText="1"/>
    </xf>
    <xf numFmtId="0" fontId="36" fillId="0" borderId="28" xfId="2" applyFont="1" applyFill="1" applyBorder="1" applyAlignment="1">
      <alignment vertical="top" wrapText="1"/>
    </xf>
    <xf numFmtId="0" fontId="36" fillId="0" borderId="26" xfId="2" applyFont="1" applyFill="1" applyBorder="1" applyAlignment="1">
      <alignment vertical="top" wrapText="1"/>
    </xf>
    <xf numFmtId="0" fontId="37" fillId="0" borderId="26" xfId="2" applyFont="1" applyFill="1" applyBorder="1" applyAlignment="1">
      <alignment horizontal="justify" vertical="top" wrapText="1"/>
    </xf>
    <xf numFmtId="0" fontId="37" fillId="0" borderId="24" xfId="2" applyFont="1" applyFill="1" applyBorder="1" applyAlignment="1">
      <alignment horizontal="justify" vertical="top" wrapText="1"/>
    </xf>
    <xf numFmtId="0" fontId="36" fillId="0" borderId="30" xfId="2" applyFont="1" applyFill="1" applyBorder="1" applyAlignment="1">
      <alignment horizontal="justify" vertical="top" wrapText="1"/>
    </xf>
    <xf numFmtId="0" fontId="36" fillId="0" borderId="29" xfId="2" applyFont="1" applyFill="1" applyBorder="1" applyAlignment="1">
      <alignment vertical="top" wrapText="1"/>
    </xf>
    <xf numFmtId="0" fontId="37" fillId="0" borderId="25" xfId="2" applyFont="1" applyFill="1" applyBorder="1" applyAlignment="1">
      <alignment horizontal="left" vertical="center" wrapText="1"/>
    </xf>
    <xf numFmtId="0" fontId="36" fillId="0" borderId="29" xfId="2" applyFont="1" applyFill="1" applyBorder="1" applyAlignment="1">
      <alignment horizontal="justify" vertical="top" wrapText="1"/>
    </xf>
    <xf numFmtId="0" fontId="37" fillId="0" borderId="25" xfId="2" applyFont="1" applyFill="1" applyBorder="1" applyAlignment="1">
      <alignment horizontal="center" vertical="center" wrapText="1"/>
    </xf>
    <xf numFmtId="0" fontId="36" fillId="0" borderId="26"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4" xfId="2" applyNumberFormat="1" applyFont="1" applyFill="1" applyBorder="1" applyAlignment="1">
      <alignment horizontal="justify" vertical="top" wrapText="1"/>
    </xf>
    <xf numFmtId="0" fontId="36" fillId="24" borderId="24" xfId="2" applyFont="1" applyFill="1" applyBorder="1" applyAlignment="1">
      <alignment horizontal="justify" vertical="top" wrapText="1"/>
    </xf>
    <xf numFmtId="172" fontId="36" fillId="24" borderId="24" xfId="2" applyNumberFormat="1" applyFont="1" applyFill="1" applyBorder="1" applyAlignment="1">
      <alignment horizontal="justify" vertical="top" wrapText="1"/>
    </xf>
    <xf numFmtId="10" fontId="36" fillId="0" borderId="24"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4"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7" xfId="2" applyFont="1" applyFill="1" applyBorder="1" applyAlignment="1">
      <alignment horizontal="left" vertical="center" wrapText="1"/>
    </xf>
    <xf numFmtId="4" fontId="36" fillId="0" borderId="24" xfId="2" applyNumberFormat="1" applyFont="1" applyFill="1" applyBorder="1" applyAlignment="1">
      <alignment horizontal="justify" vertical="top" wrapText="1"/>
    </xf>
    <xf numFmtId="0" fontId="36" fillId="0" borderId="24"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5"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9" xfId="2" applyNumberFormat="1" applyFont="1" applyFill="1" applyBorder="1" applyAlignment="1">
      <alignment horizontal="justify" vertical="top" wrapText="1"/>
    </xf>
    <xf numFmtId="4" fontId="38" fillId="0" borderId="31" xfId="62" applyNumberFormat="1" applyFont="1" applyFill="1" applyBorder="1" applyAlignment="1">
      <alignment horizontal="left" vertical="center" wrapText="1"/>
    </xf>
    <xf numFmtId="0" fontId="36" fillId="0" borderId="24" xfId="2" applyFont="1" applyFill="1" applyBorder="1" applyAlignment="1">
      <alignment horizontal="left" vertical="top" wrapText="1"/>
    </xf>
    <xf numFmtId="0" fontId="36" fillId="0" borderId="29"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69" fillId="0" borderId="1" xfId="1" applyFont="1" applyFill="1" applyBorder="1" applyAlignment="1">
      <alignment wrapText="1"/>
    </xf>
    <xf numFmtId="0" fontId="38" fillId="0" borderId="4"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70" fillId="0" borderId="1" xfId="1" applyFont="1" applyFill="1" applyBorder="1"/>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0" fontId="71" fillId="0" borderId="24" xfId="128" applyFill="1" applyBorder="1" applyAlignment="1">
      <alignment horizontal="justify"/>
    </xf>
    <xf numFmtId="0" fontId="38" fillId="0" borderId="36" xfId="2" applyFont="1" applyFill="1" applyBorder="1" applyAlignment="1">
      <alignment horizontal="center" vertical="center" wrapText="1" shrinkToFit="1"/>
    </xf>
    <xf numFmtId="0" fontId="38" fillId="0" borderId="36" xfId="2" applyNumberFormat="1" applyFont="1" applyFill="1" applyBorder="1" applyAlignment="1">
      <alignment horizontal="center" vertical="top" wrapText="1" shrinkToFit="1"/>
    </xf>
    <xf numFmtId="14" fontId="10" fillId="26" borderId="36" xfId="2" applyNumberFormat="1" applyFon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0" fontId="36" fillId="45" borderId="24" xfId="2" applyFont="1" applyFill="1" applyBorder="1" applyAlignment="1">
      <alignment horizontal="justify" vertical="top" wrapText="1"/>
    </xf>
    <xf numFmtId="172" fontId="36" fillId="45" borderId="24" xfId="2" applyNumberFormat="1" applyFont="1" applyFill="1" applyBorder="1" applyAlignment="1">
      <alignment horizontal="justify" vertical="top" wrapText="1"/>
    </xf>
    <xf numFmtId="4" fontId="74" fillId="25" borderId="24" xfId="2" applyNumberFormat="1" applyFont="1" applyFill="1" applyBorder="1" applyAlignment="1">
      <alignment horizontal="justify" vertical="top" wrapText="1"/>
    </xf>
    <xf numFmtId="4" fontId="74" fillId="0" borderId="24" xfId="2" applyNumberFormat="1" applyFont="1" applyFill="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38" fillId="0" borderId="51" xfId="1" applyFont="1" applyBorder="1" applyAlignment="1">
      <alignment horizontal="center" vertical="center" wrapText="1"/>
    </xf>
    <xf numFmtId="0" fontId="10" fillId="0" borderId="38" xfId="1" applyFont="1" applyBorder="1" applyAlignment="1">
      <alignment horizontal="center" vertical="center" wrapText="1"/>
    </xf>
    <xf numFmtId="0" fontId="11" fillId="0" borderId="38" xfId="1" applyFont="1" applyBorder="1" applyAlignment="1">
      <alignment horizontal="center" vertical="center" wrapText="1"/>
    </xf>
    <xf numFmtId="0" fontId="11" fillId="0" borderId="0" xfId="2" applyFont="1" applyFill="1" applyAlignment="1">
      <alignment horizontal="right" vertical="center"/>
    </xf>
    <xf numFmtId="0" fontId="11" fillId="0" borderId="0" xfId="2" applyFont="1" applyFill="1" applyAlignment="1">
      <alignment horizontal="right"/>
    </xf>
    <xf numFmtId="0" fontId="38" fillId="0" borderId="0" xfId="50" applyFont="1" applyFill="1" applyAlignment="1">
      <alignment vertical="center"/>
    </xf>
    <xf numFmtId="0" fontId="37" fillId="0" borderId="46" xfId="67" applyFont="1" applyFill="1" applyBorder="1" applyAlignment="1">
      <alignment vertical="center" wrapText="1"/>
    </xf>
    <xf numFmtId="3" fontId="36" fillId="0" borderId="36" xfId="67" applyNumberFormat="1" applyFont="1" applyFill="1" applyBorder="1" applyAlignment="1">
      <alignment vertical="center"/>
    </xf>
    <xf numFmtId="3" fontId="36" fillId="0" borderId="23" xfId="67" applyNumberFormat="1" applyFont="1" applyFill="1" applyBorder="1" applyAlignment="1">
      <alignment vertical="center"/>
    </xf>
    <xf numFmtId="0" fontId="37" fillId="0" borderId="48" xfId="67" applyFont="1" applyFill="1" applyBorder="1" applyAlignment="1">
      <alignment vertical="center" wrapText="1"/>
    </xf>
    <xf numFmtId="3" fontId="37" fillId="0" borderId="36" xfId="67" applyNumberFormat="1" applyFont="1" applyFill="1" applyBorder="1" applyAlignment="1">
      <alignment vertical="center"/>
    </xf>
    <xf numFmtId="0" fontId="37" fillId="0" borderId="48" xfId="67" applyFont="1" applyFill="1" applyBorder="1" applyAlignment="1">
      <alignment horizontal="left" vertical="center" wrapText="1"/>
    </xf>
    <xf numFmtId="0" fontId="37" fillId="0" borderId="55" xfId="67" applyFont="1" applyFill="1" applyBorder="1" applyAlignment="1">
      <alignment horizontal="left" vertical="center" wrapText="1"/>
    </xf>
    <xf numFmtId="3" fontId="37" fillId="0" borderId="23" xfId="67" applyNumberFormat="1" applyFont="1" applyFill="1" applyBorder="1" applyAlignment="1">
      <alignment vertical="center"/>
    </xf>
    <xf numFmtId="175" fontId="36" fillId="0" borderId="36" xfId="67" applyNumberFormat="1" applyFont="1" applyFill="1" applyBorder="1" applyAlignment="1">
      <alignment horizontal="center" vertical="center"/>
    </xf>
    <xf numFmtId="10" fontId="37" fillId="0" borderId="36" xfId="67" applyNumberFormat="1" applyFont="1" applyFill="1" applyBorder="1" applyAlignment="1">
      <alignment vertical="center"/>
    </xf>
    <xf numFmtId="170" fontId="37" fillId="0" borderId="36" xfId="67" applyNumberFormat="1" applyFont="1" applyFill="1" applyBorder="1" applyAlignment="1">
      <alignment vertical="center"/>
    </xf>
    <xf numFmtId="176" fontId="37" fillId="0" borderId="36" xfId="67" applyNumberFormat="1" applyFont="1" applyFill="1" applyBorder="1" applyAlignment="1">
      <alignment vertical="center"/>
    </xf>
    <xf numFmtId="0" fontId="37" fillId="0" borderId="55" xfId="67" applyFont="1" applyFill="1" applyBorder="1" applyAlignment="1">
      <alignment vertical="center" wrapText="1"/>
    </xf>
    <xf numFmtId="176" fontId="37" fillId="0" borderId="23" xfId="67" applyNumberFormat="1" applyFont="1" applyFill="1" applyBorder="1" applyAlignment="1">
      <alignment vertical="center"/>
    </xf>
    <xf numFmtId="0" fontId="50" fillId="0" borderId="0" xfId="50" applyFont="1" applyFill="1" applyAlignment="1">
      <alignment wrapText="1"/>
    </xf>
    <xf numFmtId="0" fontId="50" fillId="0" borderId="0" xfId="50" applyFont="1" applyFill="1"/>
    <xf numFmtId="49" fontId="50" fillId="0" borderId="0" xfId="50" applyNumberFormat="1" applyFont="1" applyFill="1" applyAlignment="1">
      <alignment vertical="center"/>
    </xf>
    <xf numFmtId="0" fontId="77" fillId="0" borderId="36" xfId="62" applyFont="1" applyFill="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Font="1" applyFill="1" applyAlignment="1">
      <alignment vertical="center"/>
    </xf>
    <xf numFmtId="0" fontId="40" fillId="0" borderId="0" xfId="62" applyFont="1" applyFill="1"/>
    <xf numFmtId="0" fontId="51" fillId="0" borderId="0" xfId="1" applyFont="1" applyFill="1" applyAlignment="1">
      <alignment horizontal="left" vertical="center"/>
    </xf>
    <xf numFmtId="0" fontId="44" fillId="0" borderId="0" xfId="1" applyFont="1" applyFill="1" applyAlignment="1">
      <alignment vertical="center"/>
    </xf>
    <xf numFmtId="0" fontId="44" fillId="0" borderId="0" xfId="1" applyFont="1" applyFill="1" applyAlignment="1">
      <alignment horizontal="center" vertical="center"/>
    </xf>
    <xf numFmtId="0" fontId="54" fillId="0" borderId="0" xfId="1" applyFont="1" applyFill="1" applyAlignment="1">
      <alignment vertical="center"/>
    </xf>
    <xf numFmtId="0" fontId="10" fillId="0" borderId="0" xfId="1" applyFont="1" applyFill="1" applyAlignment="1">
      <alignment vertical="center"/>
    </xf>
    <xf numFmtId="0" fontId="11" fillId="0" borderId="0" xfId="1" applyFont="1" applyFill="1" applyAlignment="1">
      <alignment horizontal="center" vertical="center"/>
    </xf>
    <xf numFmtId="0" fontId="50" fillId="0" borderId="0" xfId="1" applyFont="1" applyFill="1"/>
    <xf numFmtId="0" fontId="53" fillId="0" borderId="0" xfId="1" applyFont="1" applyFill="1" applyAlignment="1">
      <alignment vertical="center"/>
    </xf>
    <xf numFmtId="0" fontId="37" fillId="0" borderId="0" xfId="67" applyFont="1" applyFill="1" applyAlignment="1">
      <alignment vertical="center" wrapText="1"/>
    </xf>
    <xf numFmtId="0" fontId="10" fillId="0" borderId="0" xfId="67" applyFont="1" applyFill="1" applyAlignment="1">
      <alignment horizontal="right" vertical="center"/>
    </xf>
    <xf numFmtId="0" fontId="10" fillId="0" borderId="0" xfId="67" applyFont="1" applyFill="1" applyAlignment="1">
      <alignment vertical="center" wrapText="1"/>
    </xf>
    <xf numFmtId="0" fontId="37" fillId="0" borderId="0" xfId="67" applyFont="1" applyFill="1" applyAlignment="1">
      <alignment vertical="center"/>
    </xf>
    <xf numFmtId="0" fontId="37" fillId="0" borderId="0" xfId="67" applyFont="1" applyFill="1" applyAlignment="1">
      <alignment horizontal="center" vertical="center" wrapText="1"/>
    </xf>
    <xf numFmtId="0" fontId="37" fillId="0" borderId="0" xfId="67" applyFont="1" applyFill="1" applyAlignment="1">
      <alignment horizontal="center" vertical="center"/>
    </xf>
    <xf numFmtId="0" fontId="78" fillId="0" borderId="0" xfId="67" applyFont="1" applyFill="1" applyAlignment="1">
      <alignment horizontal="left" vertical="center"/>
    </xf>
    <xf numFmtId="0" fontId="41" fillId="0" borderId="0" xfId="67" applyFont="1" applyFill="1" applyAlignment="1">
      <alignment vertical="center"/>
    </xf>
    <xf numFmtId="0" fontId="10" fillId="0" borderId="42" xfId="67" applyFont="1" applyFill="1" applyBorder="1" applyAlignment="1">
      <alignment vertical="center" wrapText="1"/>
    </xf>
    <xf numFmtId="0" fontId="10" fillId="0" borderId="53" xfId="67" applyFont="1" applyFill="1" applyBorder="1" applyAlignment="1">
      <alignment vertical="center" wrapText="1"/>
    </xf>
    <xf numFmtId="3" fontId="36" fillId="0" borderId="34" xfId="67" applyNumberFormat="1" applyFont="1" applyFill="1" applyBorder="1" applyAlignment="1">
      <alignment vertical="center"/>
    </xf>
    <xf numFmtId="0" fontId="10" fillId="0" borderId="35" xfId="67" applyFont="1" applyFill="1" applyBorder="1" applyAlignment="1">
      <alignment vertical="center" wrapText="1"/>
    </xf>
    <xf numFmtId="0" fontId="10" fillId="0" borderId="32" xfId="67" applyFont="1" applyFill="1" applyBorder="1" applyAlignment="1">
      <alignment vertical="center" wrapText="1"/>
    </xf>
    <xf numFmtId="3" fontId="36" fillId="0" borderId="33" xfId="67" applyNumberFormat="1" applyFont="1" applyFill="1" applyBorder="1" applyAlignment="1">
      <alignment vertical="center"/>
    </xf>
    <xf numFmtId="0" fontId="10" fillId="0" borderId="40" xfId="67" applyFont="1" applyFill="1" applyBorder="1" applyAlignment="1">
      <alignment vertical="center" wrapText="1"/>
    </xf>
    <xf numFmtId="10" fontId="36" fillId="0" borderId="54" xfId="67" applyNumberFormat="1" applyFont="1" applyFill="1" applyBorder="1" applyAlignment="1">
      <alignment vertical="center"/>
    </xf>
    <xf numFmtId="9" fontId="36" fillId="0" borderId="41" xfId="67" applyNumberFormat="1" applyFont="1" applyFill="1" applyBorder="1" applyAlignment="1">
      <alignment vertical="center"/>
    </xf>
    <xf numFmtId="3" fontId="36" fillId="0" borderId="32" xfId="67" applyNumberFormat="1" applyFont="1" applyFill="1" applyBorder="1" applyAlignment="1">
      <alignment vertical="center"/>
    </xf>
    <xf numFmtId="0" fontId="10" fillId="0" borderId="43"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53" xfId="67" applyNumberFormat="1" applyFont="1" applyFill="1" applyBorder="1" applyAlignment="1">
      <alignment vertical="center"/>
    </xf>
    <xf numFmtId="0" fontId="10" fillId="0" borderId="45" xfId="67" applyFont="1" applyFill="1" applyBorder="1" applyAlignment="1">
      <alignment vertical="center" wrapText="1"/>
    </xf>
    <xf numFmtId="174" fontId="36" fillId="0" borderId="40" xfId="67" applyNumberFormat="1" applyFont="1" applyFill="1" applyBorder="1" applyAlignment="1">
      <alignment vertical="center"/>
    </xf>
    <xf numFmtId="0" fontId="10" fillId="0" borderId="46" xfId="67" applyFont="1" applyFill="1" applyBorder="1" applyAlignment="1">
      <alignment horizontal="left" vertical="center" wrapText="1"/>
    </xf>
    <xf numFmtId="1" fontId="10" fillId="0" borderId="47" xfId="67" applyNumberFormat="1" applyFont="1" applyFill="1" applyBorder="1" applyAlignment="1">
      <alignment horizontal="center" vertical="center"/>
    </xf>
    <xf numFmtId="0" fontId="10" fillId="0" borderId="48" xfId="67" applyFont="1" applyFill="1" applyBorder="1" applyAlignment="1">
      <alignment vertical="center" wrapText="1"/>
    </xf>
    <xf numFmtId="10" fontId="41" fillId="0" borderId="36" xfId="67" applyNumberFormat="1" applyFont="1" applyFill="1" applyBorder="1" applyAlignment="1">
      <alignment vertical="center"/>
    </xf>
    <xf numFmtId="10" fontId="41" fillId="0" borderId="36" xfId="0" applyNumberFormat="1" applyFont="1" applyFill="1" applyBorder="1" applyAlignment="1">
      <alignment vertical="center"/>
    </xf>
    <xf numFmtId="10" fontId="36" fillId="0" borderId="36" xfId="67" applyNumberFormat="1" applyFont="1" applyFill="1" applyBorder="1" applyAlignment="1">
      <alignment vertical="center"/>
    </xf>
    <xf numFmtId="0" fontId="10" fillId="0" borderId="55" xfId="67" applyFont="1" applyFill="1" applyBorder="1" applyAlignment="1">
      <alignment vertical="center" wrapText="1"/>
    </xf>
    <xf numFmtId="3" fontId="10" fillId="0" borderId="0" xfId="67" applyNumberFormat="1" applyFont="1" applyFill="1" applyAlignment="1">
      <alignment horizontal="center" vertical="center"/>
    </xf>
    <xf numFmtId="0" fontId="10" fillId="0" borderId="48" xfId="67" applyFont="1" applyFill="1" applyBorder="1" applyAlignment="1">
      <alignment horizontal="left" vertical="center" wrapText="1"/>
    </xf>
    <xf numFmtId="3" fontId="36" fillId="0" borderId="37" xfId="67" applyNumberFormat="1" applyFont="1" applyFill="1" applyBorder="1" applyAlignment="1">
      <alignment vertical="center"/>
    </xf>
    <xf numFmtId="3" fontId="36" fillId="0" borderId="0" xfId="67" applyNumberFormat="1" applyFont="1" applyFill="1" applyAlignment="1">
      <alignment vertical="center"/>
    </xf>
    <xf numFmtId="168" fontId="36" fillId="0" borderId="0" xfId="67" applyNumberFormat="1" applyFont="1" applyFill="1" applyAlignment="1">
      <alignment horizontal="center" vertical="center"/>
    </xf>
    <xf numFmtId="1" fontId="10" fillId="0" borderId="0" xfId="67" applyNumberFormat="1" applyFont="1" applyFill="1" applyAlignment="1">
      <alignment vertical="center"/>
    </xf>
    <xf numFmtId="171" fontId="10" fillId="0" borderId="0" xfId="67" applyNumberFormat="1" applyFont="1" applyFill="1" applyAlignment="1">
      <alignment vertical="center"/>
    </xf>
    <xf numFmtId="0" fontId="10" fillId="0" borderId="56" xfId="67" applyFont="1" applyFill="1" applyBorder="1" applyAlignment="1">
      <alignment vertical="center" wrapText="1"/>
    </xf>
    <xf numFmtId="3" fontId="37" fillId="0" borderId="57" xfId="67" applyNumberFormat="1" applyFont="1" applyFill="1" applyBorder="1" applyAlignment="1">
      <alignment vertical="center"/>
    </xf>
    <xf numFmtId="3" fontId="37" fillId="0" borderId="58" xfId="67" applyNumberFormat="1" applyFont="1" applyFill="1" applyBorder="1" applyAlignment="1">
      <alignment vertical="center"/>
    </xf>
    <xf numFmtId="0" fontId="40" fillId="0" borderId="56" xfId="62" applyFont="1" applyFill="1" applyBorder="1"/>
    <xf numFmtId="3" fontId="38" fillId="0" borderId="0" xfId="67" applyNumberFormat="1" applyFont="1" applyFill="1" applyAlignment="1">
      <alignment horizontal="center" vertical="center" wrapText="1"/>
    </xf>
    <xf numFmtId="172" fontId="37" fillId="0" borderId="36" xfId="67" applyNumberFormat="1" applyFont="1" applyFill="1" applyBorder="1" applyAlignment="1">
      <alignment vertical="center"/>
    </xf>
    <xf numFmtId="172" fontId="40" fillId="0" borderId="36" xfId="62" applyNumberFormat="1" applyFont="1" applyFill="1" applyBorder="1" applyAlignment="1">
      <alignment horizontal="center" vertical="center" wrapText="1"/>
    </xf>
    <xf numFmtId="9" fontId="40" fillId="0" borderId="36" xfId="62" applyNumberFormat="1" applyFont="1" applyFill="1" applyBorder="1" applyAlignment="1">
      <alignment horizontal="center" vertical="center" wrapText="1"/>
    </xf>
    <xf numFmtId="4" fontId="40" fillId="0" borderId="36" xfId="62" applyNumberFormat="1" applyFont="1" applyFill="1" applyBorder="1" applyAlignment="1">
      <alignment horizontal="center" vertical="center" wrapText="1"/>
    </xf>
    <xf numFmtId="0" fontId="40" fillId="0" borderId="0" xfId="62" applyFont="1" applyFill="1" applyAlignment="1">
      <alignment wrapText="1"/>
    </xf>
    <xf numFmtId="0" fontId="40" fillId="0" borderId="36" xfId="62" applyFont="1" applyFill="1" applyBorder="1" applyAlignment="1">
      <alignment horizontal="center" vertical="center" wrapText="1"/>
    </xf>
    <xf numFmtId="0" fontId="40" fillId="0" borderId="36" xfId="62" applyFont="1" applyFill="1" applyBorder="1" applyAlignment="1">
      <alignment horizontal="center" vertical="center"/>
    </xf>
    <xf numFmtId="0" fontId="40" fillId="0" borderId="36" xfId="62" applyFont="1" applyFill="1" applyBorder="1" applyAlignment="1">
      <alignment horizontal="left" vertical="center" wrapText="1"/>
    </xf>
    <xf numFmtId="4" fontId="40" fillId="0" borderId="36" xfId="62" applyNumberFormat="1" applyFont="1" applyFill="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Font="1" applyFill="1" applyBorder="1" applyAlignment="1">
      <alignment horizontal="center" vertical="center" wrapText="1"/>
    </xf>
    <xf numFmtId="0" fontId="40" fillId="0" borderId="36" xfId="62" applyFont="1" applyFill="1" applyBorder="1" applyAlignment="1">
      <alignment wrapText="1"/>
    </xf>
    <xf numFmtId="0" fontId="40" fillId="0" borderId="36" xfId="62" applyFont="1" applyFill="1" applyBorder="1"/>
    <xf numFmtId="0" fontId="40" fillId="0" borderId="36" xfId="62" applyFont="1" applyFill="1" applyBorder="1" applyAlignment="1">
      <alignment horizontal="left" wrapText="1"/>
    </xf>
    <xf numFmtId="4" fontId="36" fillId="0" borderId="33" xfId="67" applyNumberFormat="1" applyFont="1" applyFill="1" applyBorder="1" applyAlignment="1">
      <alignment vertical="center"/>
    </xf>
    <xf numFmtId="3" fontId="40" fillId="0" borderId="36" xfId="62" applyNumberFormat="1" applyFont="1" applyFill="1" applyBorder="1" applyAlignment="1">
      <alignment horizontal="center"/>
    </xf>
    <xf numFmtId="0" fontId="40" fillId="0" borderId="0" xfId="62" applyFont="1" applyFill="1" applyAlignment="1">
      <alignment horizontal="center"/>
    </xf>
    <xf numFmtId="0" fontId="40" fillId="0" borderId="49" xfId="62" applyFont="1" applyFill="1" applyBorder="1" applyAlignment="1">
      <alignment wrapText="1"/>
    </xf>
    <xf numFmtId="3" fontId="40" fillId="0" borderId="49" xfId="62" applyNumberFormat="1" applyFont="1" applyFill="1" applyBorder="1"/>
    <xf numFmtId="4" fontId="40" fillId="0" borderId="36" xfId="62" applyNumberFormat="1" applyFont="1" applyFill="1" applyBorder="1" applyAlignment="1">
      <alignment horizontal="center"/>
    </xf>
    <xf numFmtId="172" fontId="40" fillId="0" borderId="36" xfId="62" applyNumberFormat="1" applyFont="1" applyFill="1" applyBorder="1" applyAlignment="1">
      <alignment horizontal="center"/>
    </xf>
    <xf numFmtId="4" fontId="40" fillId="0" borderId="0" xfId="62" applyNumberFormat="1" applyFont="1" applyFill="1" applyAlignment="1">
      <alignment horizontal="center"/>
    </xf>
    <xf numFmtId="10" fontId="40" fillId="0" borderId="36" xfId="62" applyNumberFormat="1" applyFont="1" applyFill="1" applyBorder="1" applyAlignment="1">
      <alignment horizontal="center"/>
    </xf>
    <xf numFmtId="0" fontId="10"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40" fillId="0" borderId="36" xfId="62" applyFont="1" applyFill="1" applyBorder="1" applyAlignment="1">
      <alignment horizontal="center" wrapText="1"/>
    </xf>
    <xf numFmtId="10" fontId="40" fillId="0" borderId="36" xfId="62" applyNumberFormat="1" applyFont="1" applyFill="1" applyBorder="1"/>
    <xf numFmtId="0" fontId="40" fillId="0" borderId="49" xfId="62" applyFont="1" applyFill="1" applyBorder="1"/>
    <xf numFmtId="10" fontId="40" fillId="0" borderId="49" xfId="62" applyNumberFormat="1" applyFont="1" applyFill="1" applyBorder="1"/>
    <xf numFmtId="3" fontId="10" fillId="0" borderId="36" xfId="67" applyNumberFormat="1" applyFont="1" applyFill="1" applyBorder="1" applyAlignment="1">
      <alignment horizontal="right" vertical="center"/>
    </xf>
    <xf numFmtId="168" fontId="36" fillId="0" borderId="36" xfId="67" applyNumberFormat="1" applyFont="1" applyFill="1" applyBorder="1" applyAlignment="1">
      <alignment horizontal="right" vertical="center"/>
    </xf>
    <xf numFmtId="0" fontId="11" fillId="0" borderId="0" xfId="1" applyFont="1" applyFill="1" applyAlignment="1">
      <alignment vertical="center"/>
    </xf>
    <xf numFmtId="0" fontId="73" fillId="0" borderId="0" xfId="2" applyFont="1" applyFill="1" applyAlignment="1">
      <alignment vertical="center"/>
    </xf>
    <xf numFmtId="173" fontId="10" fillId="0" borderId="0" xfId="2" applyNumberFormat="1" applyFont="1" applyFill="1"/>
    <xf numFmtId="0" fontId="10" fillId="0" borderId="51"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0" fontId="10" fillId="0" borderId="36" xfId="2" applyFont="1" applyFill="1" applyBorder="1" applyAlignment="1">
      <alignment horizontal="center" vertical="center" wrapText="1"/>
    </xf>
    <xf numFmtId="173" fontId="10" fillId="0" borderId="36" xfId="2" applyNumberFormat="1" applyFont="1" applyFill="1" applyBorder="1" applyAlignment="1">
      <alignment horizontal="center" vertical="center" wrapText="1"/>
    </xf>
    <xf numFmtId="173" fontId="10" fillId="0" borderId="6" xfId="2" applyNumberFormat="1" applyFont="1" applyFill="1" applyBorder="1" applyAlignment="1">
      <alignment horizontal="center" vertical="center" wrapText="1"/>
    </xf>
    <xf numFmtId="0" fontId="10" fillId="0" borderId="0" xfId="2" applyFont="1" applyFill="1" applyAlignment="1">
      <alignment wrapText="1"/>
    </xf>
    <xf numFmtId="4" fontId="10" fillId="0" borderId="0" xfId="2" applyNumberFormat="1" applyFont="1" applyFill="1"/>
    <xf numFmtId="0" fontId="10" fillId="0" borderId="1" xfId="45" applyFont="1" applyFill="1" applyBorder="1" applyAlignment="1">
      <alignment horizontal="left" vertical="center" wrapText="1"/>
    </xf>
    <xf numFmtId="173" fontId="10"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3" fontId="10" fillId="0" borderId="2" xfId="45" applyNumberFormat="1" applyFont="1" applyFill="1" applyBorder="1" applyAlignment="1">
      <alignment horizontal="center" vertical="center" wrapText="1"/>
    </xf>
    <xf numFmtId="0" fontId="10" fillId="0" borderId="51" xfId="62" applyFont="1" applyBorder="1" applyAlignment="1">
      <alignment horizontal="center" vertical="center" wrapText="1"/>
    </xf>
    <xf numFmtId="0" fontId="41" fillId="0" borderId="36" xfId="62" applyFont="1" applyBorder="1" applyAlignment="1">
      <alignment horizontal="left"/>
    </xf>
    <xf numFmtId="0" fontId="10" fillId="0" borderId="36" xfId="62" applyFont="1" applyBorder="1" applyAlignment="1">
      <alignment horizontal="left" vertical="center" wrapText="1"/>
    </xf>
    <xf numFmtId="0" fontId="10" fillId="0" borderId="36" xfId="62" applyFont="1" applyBorder="1" applyAlignment="1">
      <alignment horizontal="left" vertical="center"/>
    </xf>
    <xf numFmtId="0" fontId="41" fillId="0" borderId="36" xfId="62" applyFont="1" applyBorder="1" applyAlignment="1">
      <alignment horizontal="center" vertical="center"/>
    </xf>
    <xf numFmtId="0" fontId="10" fillId="0" borderId="36" xfId="62" applyFont="1" applyBorder="1" applyAlignment="1">
      <alignment horizontal="center" vertical="center"/>
    </xf>
    <xf numFmtId="9" fontId="40" fillId="0" borderId="0" xfId="68" applyFont="1" applyFill="1"/>
    <xf numFmtId="0" fontId="10" fillId="0" borderId="44" xfId="67" applyFont="1" applyFill="1" applyBorder="1" applyAlignment="1">
      <alignment vertical="center" wrapText="1"/>
    </xf>
    <xf numFmtId="3" fontId="36" fillId="0" borderId="60" xfId="67" applyNumberFormat="1" applyFont="1" applyFill="1" applyBorder="1" applyAlignment="1">
      <alignment vertical="center"/>
    </xf>
    <xf numFmtId="0" fontId="10" fillId="0" borderId="24" xfId="67" applyFont="1" applyFill="1" applyBorder="1" applyAlignment="1">
      <alignment vertical="center" wrapText="1"/>
    </xf>
    <xf numFmtId="3" fontId="36" fillId="0" borderId="30" xfId="67" applyNumberFormat="1" applyFont="1" applyFill="1" applyBorder="1" applyAlignment="1">
      <alignment vertical="center"/>
    </xf>
    <xf numFmtId="0" fontId="10" fillId="0" borderId="61" xfId="67" applyFont="1" applyFill="1" applyBorder="1" applyAlignment="1">
      <alignment vertical="center" wrapText="1"/>
    </xf>
    <xf numFmtId="173" fontId="79" fillId="0" borderId="32" xfId="2" applyNumberFormat="1" applyFont="1" applyFill="1" applyBorder="1" applyAlignment="1">
      <alignment horizontal="center" vertical="center" wrapText="1"/>
    </xf>
    <xf numFmtId="3" fontId="36" fillId="0" borderId="53" xfId="67" applyNumberFormat="1" applyFont="1" applyFill="1" applyBorder="1" applyAlignment="1">
      <alignment vertical="center"/>
    </xf>
    <xf numFmtId="3" fontId="36" fillId="0" borderId="35" xfId="67" applyNumberFormat="1" applyFont="1" applyFill="1" applyBorder="1" applyAlignment="1">
      <alignment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10"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10" fillId="0" borderId="0" xfId="62" applyFont="1" applyFill="1" applyAlignment="1">
      <alignment horizontal="center" vertical="center" wrapText="1"/>
    </xf>
    <xf numFmtId="0" fontId="41" fillId="0" borderId="0" xfId="0" applyFont="1" applyFill="1" applyAlignment="1">
      <alignment horizontal="center" vertical="center" wrapText="1"/>
    </xf>
    <xf numFmtId="0" fontId="41" fillId="0" borderId="38" xfId="67" applyFont="1" applyFill="1" applyBorder="1" applyAlignment="1">
      <alignment horizontal="center" vertical="center" wrapText="1"/>
    </xf>
    <xf numFmtId="0" fontId="41" fillId="0" borderId="49" xfId="67" applyFont="1" applyFill="1" applyBorder="1" applyAlignment="1">
      <alignment horizontal="center" vertical="center" wrapText="1"/>
    </xf>
    <xf numFmtId="0" fontId="41" fillId="0" borderId="39" xfId="67" applyFont="1" applyFill="1" applyBorder="1" applyAlignment="1">
      <alignment horizontal="center" vertical="center" wrapText="1"/>
    </xf>
    <xf numFmtId="3" fontId="41" fillId="0" borderId="38" xfId="67" applyNumberFormat="1" applyFont="1" applyFill="1" applyBorder="1" applyAlignment="1">
      <alignment horizontal="center" vertical="center"/>
    </xf>
    <xf numFmtId="3" fontId="41" fillId="0" borderId="39" xfId="67" applyNumberFormat="1" applyFont="1" applyFill="1" applyBorder="1" applyAlignment="1">
      <alignment horizontal="center" vertical="center"/>
    </xf>
    <xf numFmtId="0" fontId="41" fillId="0" borderId="38" xfId="67" applyFont="1" applyFill="1" applyBorder="1" applyAlignment="1">
      <alignment horizontal="center" vertical="center"/>
    </xf>
    <xf numFmtId="0" fontId="41" fillId="0" borderId="49" xfId="67" applyFont="1" applyFill="1" applyBorder="1" applyAlignment="1">
      <alignment horizontal="center" vertical="center"/>
    </xf>
    <xf numFmtId="0" fontId="41" fillId="0" borderId="39" xfId="67" applyFont="1" applyFill="1" applyBorder="1" applyAlignment="1">
      <alignment horizontal="center" vertical="center"/>
    </xf>
    <xf numFmtId="0" fontId="50" fillId="0" borderId="0" xfId="67" applyFont="1" applyFill="1" applyAlignment="1">
      <alignment horizontal="left" vertical="center" wrapText="1"/>
    </xf>
    <xf numFmtId="0" fontId="40" fillId="0" borderId="38" xfId="62" applyFont="1" applyFill="1" applyBorder="1" applyAlignment="1">
      <alignment horizontal="center" vertical="center" wrapText="1"/>
    </xf>
    <xf numFmtId="0" fontId="40" fillId="0" borderId="39" xfId="62" applyFont="1" applyFill="1" applyBorder="1" applyAlignment="1">
      <alignment horizontal="center" vertical="center" wrapText="1"/>
    </xf>
    <xf numFmtId="4" fontId="41" fillId="0" borderId="38" xfId="67" applyNumberFormat="1" applyFont="1" applyFill="1" applyBorder="1" applyAlignment="1">
      <alignment horizontal="center" vertical="center"/>
    </xf>
    <xf numFmtId="4" fontId="41" fillId="0" borderId="39" xfId="67" applyNumberFormat="1" applyFont="1" applyFill="1" applyBorder="1" applyAlignment="1">
      <alignment horizontal="center" vertical="center"/>
    </xf>
    <xf numFmtId="0" fontId="38" fillId="0" borderId="0" xfId="50" applyFont="1" applyFill="1" applyAlignment="1">
      <alignment horizontal="center" vertical="center"/>
    </xf>
    <xf numFmtId="0" fontId="44" fillId="0" borderId="0" xfId="1" applyFont="1" applyFill="1" applyAlignment="1">
      <alignment horizontal="center" vertical="center"/>
    </xf>
    <xf numFmtId="0" fontId="53" fillId="0" borderId="0" xfId="1" applyFont="1" applyFill="1" applyAlignment="1">
      <alignment horizontal="center" vertical="center"/>
    </xf>
    <xf numFmtId="0" fontId="10" fillId="0" borderId="0" xfId="1" applyFont="1" applyFill="1" applyAlignment="1">
      <alignment horizontal="center" vertical="center"/>
    </xf>
    <xf numFmtId="0" fontId="53" fillId="0" borderId="0" xfId="1" applyFont="1" applyFill="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38" xfId="2" applyFont="1" applyFill="1" applyBorder="1" applyAlignment="1">
      <alignment horizontal="center" vertical="center" wrapText="1" shrinkToFit="1"/>
    </xf>
    <xf numFmtId="0" fontId="38" fillId="0" borderId="49" xfId="2" applyFont="1" applyFill="1" applyBorder="1" applyAlignment="1">
      <alignment horizontal="center" vertical="center" wrapText="1" shrinkToFit="1"/>
    </xf>
    <xf numFmtId="0" fontId="38" fillId="0" borderId="39" xfId="2" applyFont="1" applyFill="1" applyBorder="1" applyAlignment="1">
      <alignment horizontal="center" vertical="center" wrapText="1" shrinkToFi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0" borderId="1" xfId="2" applyFont="1" applyFill="1" applyBorder="1" applyAlignment="1">
      <alignment horizontal="center" vertical="center" wrapText="1"/>
    </xf>
    <xf numFmtId="0" fontId="45" fillId="0" borderId="0" xfId="1" applyFont="1" applyFill="1" applyAlignment="1">
      <alignment horizontal="center" vertical="center" wrapText="1"/>
    </xf>
    <xf numFmtId="0" fontId="10" fillId="0" borderId="10" xfId="2" applyFont="1" applyFill="1" applyBorder="1" applyAlignment="1">
      <alignment horizontal="center" vertical="center" wrapText="1"/>
    </xf>
    <xf numFmtId="0" fontId="10" fillId="0" borderId="6"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36" xfId="52" applyFont="1" applyFill="1" applyBorder="1" applyAlignment="1">
      <alignment horizontal="center" vertical="center" wrapText="1"/>
    </xf>
    <xf numFmtId="0" fontId="10" fillId="0" borderId="50" xfId="2" applyFont="1" applyFill="1" applyBorder="1" applyAlignment="1">
      <alignment horizontal="center" vertical="center" wrapText="1"/>
    </xf>
    <xf numFmtId="0" fontId="10" fillId="0" borderId="52" xfId="2" applyFont="1" applyFill="1" applyBorder="1" applyAlignment="1">
      <alignment horizontal="center" vertical="center" wrapText="1"/>
    </xf>
    <xf numFmtId="0" fontId="10" fillId="0" borderId="22" xfId="2" applyFont="1" applyFill="1" applyBorder="1" applyAlignment="1">
      <alignment horizontal="center" vertical="center" wrapText="1"/>
    </xf>
    <xf numFmtId="0" fontId="10" fillId="0" borderId="21" xfId="2" applyFont="1" applyFill="1" applyBorder="1" applyAlignment="1">
      <alignment horizontal="center" vertical="center" wrapText="1"/>
    </xf>
    <xf numFmtId="0" fontId="10" fillId="0" borderId="59" xfId="2" applyFont="1" applyFill="1" applyBorder="1" applyAlignment="1">
      <alignment horizontal="center" vertical="center" wrapText="1"/>
    </xf>
    <xf numFmtId="0" fontId="10" fillId="0" borderId="20" xfId="2" applyFont="1" applyFill="1" applyBorder="1" applyAlignment="1">
      <alignment horizontal="center" vertical="center" wrapText="1"/>
    </xf>
    <xf numFmtId="0" fontId="10" fillId="0" borderId="0" xfId="0" applyFont="1" applyFill="1" applyAlignment="1">
      <alignment horizontal="center" vertical="center"/>
    </xf>
    <xf numFmtId="0" fontId="11" fillId="0" borderId="0" xfId="1" applyFont="1" applyFill="1" applyAlignment="1">
      <alignment horizontal="center" vertical="center"/>
    </xf>
    <xf numFmtId="0" fontId="45" fillId="0" borderId="0" xfId="1" applyFont="1" applyFill="1" applyAlignment="1">
      <alignment horizontal="center" vertical="center"/>
    </xf>
    <xf numFmtId="0" fontId="10" fillId="0" borderId="36" xfId="52" applyFont="1" applyFill="1" applyBorder="1" applyAlignment="1">
      <alignment horizontal="center" vertical="center"/>
    </xf>
    <xf numFmtId="0" fontId="10" fillId="0" borderId="38" xfId="52" applyFont="1" applyFill="1" applyBorder="1" applyAlignment="1">
      <alignment horizontal="center" vertical="center"/>
    </xf>
    <xf numFmtId="0" fontId="10" fillId="0" borderId="49" xfId="52" applyFont="1" applyFill="1" applyBorder="1" applyAlignment="1">
      <alignment horizontal="center" vertical="center"/>
    </xf>
    <xf numFmtId="0" fontId="10" fillId="0" borderId="39" xfId="52" applyFont="1" applyFill="1" applyBorder="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5" xfId="2" applyFont="1" applyFill="1" applyBorder="1" applyAlignment="1">
      <alignment horizontal="left" vertical="top" wrapText="1"/>
    </xf>
    <xf numFmtId="0" fontId="36" fillId="0" borderId="28" xfId="2" applyFont="1" applyFill="1" applyBorder="1" applyAlignment="1">
      <alignment horizontal="left" vertical="top" wrapText="1"/>
    </xf>
    <xf numFmtId="0" fontId="36" fillId="0" borderId="26" xfId="2" applyFont="1" applyFill="1" applyBorder="1" applyAlignment="1">
      <alignment horizontal="left" vertical="top" wrapText="1"/>
    </xf>
    <xf numFmtId="0" fontId="44" fillId="0" borderId="0" xfId="2" applyFont="1" applyFill="1" applyAlignment="1">
      <alignment horizontal="center"/>
    </xf>
  </cellXfs>
  <cellStyles count="147">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7"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94" t="s">
        <v>661</v>
      </c>
      <c r="B5" s="394"/>
      <c r="C5" s="394"/>
      <c r="D5" s="104"/>
      <c r="E5" s="104"/>
      <c r="F5" s="104"/>
      <c r="G5" s="104"/>
      <c r="H5" s="104"/>
      <c r="I5" s="104"/>
      <c r="J5" s="104"/>
    </row>
    <row r="6" spans="1:22" s="11" customFormat="1" ht="18.75" x14ac:dyDescent="0.3">
      <c r="A6" s="16"/>
      <c r="F6" s="15"/>
      <c r="G6" s="15"/>
      <c r="H6" s="14"/>
    </row>
    <row r="7" spans="1:22" s="11" customFormat="1" ht="18.75" x14ac:dyDescent="0.2">
      <c r="A7" s="398" t="s">
        <v>7</v>
      </c>
      <c r="B7" s="398"/>
      <c r="C7" s="39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01" t="s">
        <v>576</v>
      </c>
      <c r="B9" s="401"/>
      <c r="C9" s="401"/>
      <c r="D9" s="7"/>
      <c r="E9" s="7"/>
      <c r="F9" s="7"/>
      <c r="G9" s="7"/>
      <c r="H9" s="7"/>
      <c r="I9" s="12"/>
      <c r="J9" s="12"/>
      <c r="K9" s="12"/>
      <c r="L9" s="12"/>
      <c r="M9" s="12"/>
      <c r="N9" s="12"/>
      <c r="O9" s="12"/>
      <c r="P9" s="12"/>
      <c r="Q9" s="12"/>
      <c r="R9" s="12"/>
      <c r="S9" s="12"/>
      <c r="T9" s="12"/>
      <c r="U9" s="12"/>
      <c r="V9" s="12"/>
    </row>
    <row r="10" spans="1:22" s="11" customFormat="1" ht="18.75" x14ac:dyDescent="0.2">
      <c r="A10" s="395" t="s">
        <v>6</v>
      </c>
      <c r="B10" s="395"/>
      <c r="C10" s="39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99" t="s">
        <v>660</v>
      </c>
      <c r="B12" s="399"/>
      <c r="C12" s="399"/>
      <c r="D12" s="7"/>
      <c r="E12" s="7"/>
      <c r="F12" s="7"/>
      <c r="G12" s="7"/>
      <c r="H12" s="7"/>
      <c r="I12" s="12"/>
      <c r="J12" s="12"/>
      <c r="K12" s="12"/>
      <c r="L12" s="12"/>
      <c r="M12" s="12"/>
      <c r="N12" s="12"/>
      <c r="O12" s="12"/>
      <c r="P12" s="12"/>
      <c r="Q12" s="12"/>
      <c r="R12" s="12"/>
      <c r="S12" s="12"/>
      <c r="T12" s="12"/>
      <c r="U12" s="12"/>
      <c r="V12" s="12"/>
    </row>
    <row r="13" spans="1:22" s="11" customFormat="1" ht="18.75" x14ac:dyDescent="0.2">
      <c r="A13" s="395" t="s">
        <v>5</v>
      </c>
      <c r="B13" s="395"/>
      <c r="C13" s="39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00" t="s">
        <v>638</v>
      </c>
      <c r="B15" s="400"/>
      <c r="C15" s="400"/>
      <c r="D15" s="7"/>
      <c r="E15" s="7"/>
      <c r="F15" s="7"/>
      <c r="G15" s="7"/>
      <c r="H15" s="7"/>
      <c r="I15" s="7"/>
      <c r="J15" s="7"/>
      <c r="K15" s="7"/>
      <c r="L15" s="7"/>
      <c r="M15" s="7"/>
      <c r="N15" s="7"/>
      <c r="O15" s="7"/>
      <c r="P15" s="7"/>
      <c r="Q15" s="7"/>
      <c r="R15" s="7"/>
      <c r="S15" s="7"/>
      <c r="T15" s="7"/>
      <c r="U15" s="7"/>
      <c r="V15" s="7"/>
    </row>
    <row r="16" spans="1:22" s="3" customFormat="1" ht="15" customHeight="1" x14ac:dyDescent="0.2">
      <c r="A16" s="395" t="s">
        <v>4</v>
      </c>
      <c r="B16" s="395"/>
      <c r="C16" s="39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6" t="s">
        <v>408</v>
      </c>
      <c r="B18" s="397"/>
      <c r="C18" s="39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445</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540</v>
      </c>
      <c r="C23" s="30" t="s">
        <v>539</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91"/>
      <c r="B24" s="392"/>
      <c r="C24" s="393"/>
      <c r="D24" s="23"/>
      <c r="E24" s="23"/>
      <c r="F24" s="23"/>
      <c r="G24" s="23"/>
      <c r="H24" s="23"/>
      <c r="I24" s="22"/>
      <c r="J24" s="22"/>
      <c r="K24" s="22"/>
      <c r="L24" s="22"/>
      <c r="M24" s="22"/>
      <c r="N24" s="22"/>
      <c r="O24" s="22"/>
      <c r="P24" s="22"/>
      <c r="Q24" s="22"/>
      <c r="R24" s="22"/>
      <c r="S24" s="22"/>
      <c r="T24" s="21"/>
      <c r="U24" s="21"/>
      <c r="V24" s="21"/>
    </row>
    <row r="25" spans="1:22" s="126" customFormat="1" ht="58.5" customHeight="1" x14ac:dyDescent="0.2">
      <c r="A25" s="19" t="s">
        <v>60</v>
      </c>
      <c r="B25" s="102" t="s">
        <v>358</v>
      </c>
      <c r="C25" s="25" t="s">
        <v>544</v>
      </c>
      <c r="D25" s="124"/>
      <c r="E25" s="124"/>
      <c r="F25" s="124"/>
      <c r="G25" s="124"/>
      <c r="H25" s="123"/>
      <c r="I25" s="123"/>
      <c r="J25" s="123"/>
      <c r="K25" s="123"/>
      <c r="L25" s="123"/>
      <c r="M25" s="123"/>
      <c r="N25" s="123"/>
      <c r="O25" s="123"/>
      <c r="P25" s="123"/>
      <c r="Q25" s="123"/>
      <c r="R25" s="123"/>
      <c r="S25" s="125"/>
      <c r="T25" s="125"/>
      <c r="U25" s="125"/>
      <c r="V25" s="125"/>
    </row>
    <row r="26" spans="1:22" s="126" customFormat="1" ht="42.75" customHeight="1" x14ac:dyDescent="0.2">
      <c r="A26" s="19" t="s">
        <v>59</v>
      </c>
      <c r="B26" s="102" t="s">
        <v>72</v>
      </c>
      <c r="C26" s="25" t="s">
        <v>423</v>
      </c>
      <c r="D26" s="124"/>
      <c r="E26" s="124"/>
      <c r="F26" s="124"/>
      <c r="G26" s="124"/>
      <c r="H26" s="123"/>
      <c r="I26" s="123"/>
      <c r="J26" s="123"/>
      <c r="K26" s="123"/>
      <c r="L26" s="123"/>
      <c r="M26" s="123"/>
      <c r="N26" s="123"/>
      <c r="O26" s="123"/>
      <c r="P26" s="123"/>
      <c r="Q26" s="123"/>
      <c r="R26" s="123"/>
      <c r="S26" s="125"/>
      <c r="T26" s="125"/>
      <c r="U26" s="125"/>
      <c r="V26" s="125"/>
    </row>
    <row r="27" spans="1:22" s="126" customFormat="1" ht="51.75" customHeight="1" x14ac:dyDescent="0.2">
      <c r="A27" s="19" t="s">
        <v>57</v>
      </c>
      <c r="B27" s="102" t="s">
        <v>71</v>
      </c>
      <c r="C27" s="25" t="s">
        <v>657</v>
      </c>
      <c r="D27" s="124"/>
      <c r="E27" s="124"/>
      <c r="F27" s="124"/>
      <c r="G27" s="124"/>
      <c r="H27" s="123"/>
      <c r="I27" s="123"/>
      <c r="J27" s="123"/>
      <c r="K27" s="123"/>
      <c r="L27" s="123"/>
      <c r="M27" s="123"/>
      <c r="N27" s="123"/>
      <c r="O27" s="123"/>
      <c r="P27" s="123"/>
      <c r="Q27" s="123"/>
      <c r="R27" s="123"/>
      <c r="S27" s="125"/>
      <c r="T27" s="125"/>
      <c r="U27" s="125"/>
      <c r="V27" s="125"/>
    </row>
    <row r="28" spans="1:22" s="126" customFormat="1" ht="42.75" customHeight="1" x14ac:dyDescent="0.2">
      <c r="A28" s="19" t="s">
        <v>56</v>
      </c>
      <c r="B28" s="102" t="s">
        <v>359</v>
      </c>
      <c r="C28" s="25" t="s">
        <v>436</v>
      </c>
      <c r="D28" s="124"/>
      <c r="E28" s="124"/>
      <c r="F28" s="124"/>
      <c r="G28" s="124"/>
      <c r="H28" s="123"/>
      <c r="I28" s="123"/>
      <c r="J28" s="123"/>
      <c r="K28" s="123"/>
      <c r="L28" s="123"/>
      <c r="M28" s="123"/>
      <c r="N28" s="123"/>
      <c r="O28" s="123"/>
      <c r="P28" s="123"/>
      <c r="Q28" s="123"/>
      <c r="R28" s="123"/>
      <c r="S28" s="125"/>
      <c r="T28" s="125"/>
      <c r="U28" s="125"/>
      <c r="V28" s="125"/>
    </row>
    <row r="29" spans="1:22" s="126" customFormat="1" ht="51.75" customHeight="1" x14ac:dyDescent="0.2">
      <c r="A29" s="19" t="s">
        <v>54</v>
      </c>
      <c r="B29" s="102" t="s">
        <v>360</v>
      </c>
      <c r="C29" s="25" t="s">
        <v>436</v>
      </c>
      <c r="D29" s="124"/>
      <c r="E29" s="124"/>
      <c r="F29" s="124"/>
      <c r="G29" s="124"/>
      <c r="H29" s="123"/>
      <c r="I29" s="123"/>
      <c r="J29" s="123"/>
      <c r="K29" s="123"/>
      <c r="L29" s="123"/>
      <c r="M29" s="123"/>
      <c r="N29" s="123"/>
      <c r="O29" s="123"/>
      <c r="P29" s="123"/>
      <c r="Q29" s="123"/>
      <c r="R29" s="123"/>
      <c r="S29" s="125"/>
      <c r="T29" s="125"/>
      <c r="U29" s="125"/>
      <c r="V29" s="125"/>
    </row>
    <row r="30" spans="1:22" s="126" customFormat="1" ht="51.75" customHeight="1" x14ac:dyDescent="0.2">
      <c r="A30" s="19" t="s">
        <v>52</v>
      </c>
      <c r="B30" s="102" t="s">
        <v>361</v>
      </c>
      <c r="C30" s="25" t="s">
        <v>436</v>
      </c>
      <c r="D30" s="124"/>
      <c r="E30" s="124"/>
      <c r="F30" s="124"/>
      <c r="G30" s="124"/>
      <c r="H30" s="123"/>
      <c r="I30" s="123"/>
      <c r="J30" s="123"/>
      <c r="K30" s="123"/>
      <c r="L30" s="123"/>
      <c r="M30" s="123"/>
      <c r="N30" s="123"/>
      <c r="O30" s="123"/>
      <c r="P30" s="123"/>
      <c r="Q30" s="123"/>
      <c r="R30" s="123"/>
      <c r="S30" s="125"/>
      <c r="T30" s="125"/>
      <c r="U30" s="125"/>
      <c r="V30" s="125"/>
    </row>
    <row r="31" spans="1:22" s="126" customFormat="1" ht="51.75" customHeight="1" x14ac:dyDescent="0.2">
      <c r="A31" s="19" t="s">
        <v>70</v>
      </c>
      <c r="B31" s="102" t="s">
        <v>362</v>
      </c>
      <c r="C31" s="25" t="s">
        <v>437</v>
      </c>
      <c r="D31" s="124"/>
      <c r="E31" s="124"/>
      <c r="F31" s="124"/>
      <c r="G31" s="124"/>
      <c r="H31" s="123"/>
      <c r="I31" s="123"/>
      <c r="J31" s="123"/>
      <c r="K31" s="123"/>
      <c r="L31" s="123"/>
      <c r="M31" s="123"/>
      <c r="N31" s="123"/>
      <c r="O31" s="123"/>
      <c r="P31" s="123"/>
      <c r="Q31" s="123"/>
      <c r="R31" s="123"/>
      <c r="S31" s="125"/>
      <c r="T31" s="125"/>
      <c r="U31" s="125"/>
      <c r="V31" s="125"/>
    </row>
    <row r="32" spans="1:22" s="126" customFormat="1" ht="51.75" customHeight="1" x14ac:dyDescent="0.2">
      <c r="A32" s="19" t="s">
        <v>68</v>
      </c>
      <c r="B32" s="102" t="s">
        <v>363</v>
      </c>
      <c r="C32" s="25" t="s">
        <v>437</v>
      </c>
      <c r="D32" s="124"/>
      <c r="E32" s="124"/>
      <c r="F32" s="124"/>
      <c r="G32" s="124"/>
      <c r="H32" s="123"/>
      <c r="I32" s="123"/>
      <c r="J32" s="123"/>
      <c r="K32" s="123"/>
      <c r="L32" s="123"/>
      <c r="M32" s="123"/>
      <c r="N32" s="123"/>
      <c r="O32" s="123"/>
      <c r="P32" s="123"/>
      <c r="Q32" s="123"/>
      <c r="R32" s="123"/>
      <c r="S32" s="125"/>
      <c r="T32" s="125"/>
      <c r="U32" s="125"/>
      <c r="V32" s="125"/>
    </row>
    <row r="33" spans="1:22" s="126" customFormat="1" ht="101.25" customHeight="1" x14ac:dyDescent="0.2">
      <c r="A33" s="19" t="s">
        <v>67</v>
      </c>
      <c r="B33" s="102" t="s">
        <v>364</v>
      </c>
      <c r="C33" s="102" t="s">
        <v>554</v>
      </c>
      <c r="D33" s="124"/>
      <c r="E33" s="124"/>
      <c r="F33" s="124"/>
      <c r="G33" s="124"/>
      <c r="H33" s="123"/>
      <c r="I33" s="123"/>
      <c r="J33" s="123"/>
      <c r="K33" s="123"/>
      <c r="L33" s="123"/>
      <c r="M33" s="123"/>
      <c r="N33" s="123"/>
      <c r="O33" s="123"/>
      <c r="P33" s="123"/>
      <c r="Q33" s="123"/>
      <c r="R33" s="123"/>
      <c r="S33" s="125"/>
      <c r="T33" s="125"/>
      <c r="U33" s="125"/>
      <c r="V33" s="125"/>
    </row>
    <row r="34" spans="1:22" ht="111" customHeight="1" x14ac:dyDescent="0.25">
      <c r="A34" s="19" t="s">
        <v>377</v>
      </c>
      <c r="B34" s="30" t="s">
        <v>365</v>
      </c>
      <c r="C34" s="20" t="s">
        <v>559</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366</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91"/>
      <c r="B39" s="392"/>
      <c r="C39" s="393"/>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420</v>
      </c>
      <c r="C40" s="227"/>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553</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417</v>
      </c>
      <c r="C42" s="30"/>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6" t="s">
        <v>548</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409</v>
      </c>
      <c r="C44" s="2" t="s">
        <v>565</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4">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91"/>
      <c r="B47" s="392"/>
      <c r="C47" s="39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1" t="str">
        <f>CONCATENATE(ROUND('6.2. Паспорт фин осв ввод факт'!AB24,2)," млн.руб.")</f>
        <v>294,53 млн.руб.</v>
      </c>
      <c r="D48" s="18" t="s">
        <v>546</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419</v>
      </c>
      <c r="C49" s="211" t="str">
        <f>CONCATENATE(ROUND('6.2. Паспорт фин осв ввод факт'!AB30,2)," млн.руб.")</f>
        <v>249,6 млн.руб.</v>
      </c>
      <c r="D49" s="18" t="s">
        <v>546</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1" t="str">
        <f>CONCATENATE(ROUND('6.2. Паспорт фин осв ввод'!D24,2)," млн.руб.")</f>
        <v>222,69 млн.руб.</v>
      </c>
      <c r="D50" s="18" t="s">
        <v>547</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419</v>
      </c>
      <c r="C51" s="211" t="str">
        <f>CONCATENATE(ROUND('6.2. Паспорт фин осв ввод'!D52,2)," млн.руб.")</f>
        <v>185,57 млн.руб.</v>
      </c>
      <c r="D51" s="18" t="s">
        <v>547</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0" t="str">
        <f>'1. паспорт местоположение'!A5:C5</f>
        <v>Год раскрытия информации: 2022 год</v>
      </c>
      <c r="B4" s="490"/>
      <c r="C4" s="490"/>
      <c r="D4" s="490"/>
      <c r="E4" s="490"/>
      <c r="F4" s="490"/>
      <c r="G4" s="490"/>
      <c r="H4" s="490"/>
      <c r="I4" s="490"/>
      <c r="J4" s="490"/>
      <c r="K4" s="490"/>
      <c r="L4" s="490"/>
      <c r="M4" s="490"/>
      <c r="N4" s="490"/>
      <c r="O4" s="490"/>
      <c r="P4" s="490"/>
      <c r="Q4" s="490"/>
      <c r="R4" s="490"/>
      <c r="S4" s="490"/>
      <c r="T4" s="490"/>
      <c r="U4" s="490"/>
      <c r="V4" s="490"/>
      <c r="W4" s="490"/>
      <c r="X4" s="490"/>
      <c r="Y4" s="490"/>
      <c r="Z4" s="490"/>
      <c r="AA4" s="490"/>
      <c r="AB4" s="490"/>
      <c r="AC4" s="490"/>
    </row>
    <row r="5" spans="1:29" ht="18.75" x14ac:dyDescent="0.3">
      <c r="A5" s="44"/>
      <c r="B5" s="44"/>
      <c r="C5" s="44"/>
      <c r="D5" s="44"/>
      <c r="E5" s="44"/>
      <c r="F5" s="44"/>
      <c r="L5" s="44"/>
      <c r="M5" s="44"/>
      <c r="T5" s="44"/>
      <c r="U5" s="44"/>
      <c r="AC5" s="14"/>
    </row>
    <row r="6" spans="1:29" ht="18.75" x14ac:dyDescent="0.25">
      <c r="A6" s="398" t="s">
        <v>7</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1" t="str">
        <f>'1. паспорт местоположение'!A9:C9</f>
        <v xml:space="preserve">Акционерное общество "Западная энергетическая компания" </v>
      </c>
      <c r="B8" s="491"/>
      <c r="C8" s="491"/>
      <c r="D8" s="491"/>
      <c r="E8" s="491"/>
      <c r="F8" s="491"/>
      <c r="G8" s="491"/>
      <c r="H8" s="491"/>
      <c r="I8" s="491"/>
      <c r="J8" s="491"/>
      <c r="K8" s="491"/>
      <c r="L8" s="491"/>
      <c r="M8" s="491"/>
      <c r="N8" s="491"/>
      <c r="O8" s="491"/>
      <c r="P8" s="491"/>
      <c r="Q8" s="491"/>
      <c r="R8" s="491"/>
      <c r="S8" s="491"/>
      <c r="T8" s="491"/>
      <c r="U8" s="491"/>
      <c r="V8" s="491"/>
      <c r="W8" s="491"/>
      <c r="X8" s="491"/>
      <c r="Y8" s="491"/>
      <c r="Z8" s="491"/>
      <c r="AA8" s="491"/>
      <c r="AB8" s="491"/>
      <c r="AC8" s="491"/>
    </row>
    <row r="9" spans="1:29" ht="18.75" customHeight="1" x14ac:dyDescent="0.25">
      <c r="A9" s="395" t="s">
        <v>6</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1" t="str">
        <f>'1. паспорт местоположение'!A12:C12</f>
        <v>M 22-01</v>
      </c>
      <c r="B11" s="491"/>
      <c r="C11" s="491"/>
      <c r="D11" s="491"/>
      <c r="E11" s="491"/>
      <c r="F11" s="491"/>
      <c r="G11" s="491"/>
      <c r="H11" s="491"/>
      <c r="I11" s="491"/>
      <c r="J11" s="491"/>
      <c r="K11" s="491"/>
      <c r="L11" s="491"/>
      <c r="M11" s="491"/>
      <c r="N11" s="491"/>
      <c r="O11" s="491"/>
      <c r="P11" s="491"/>
      <c r="Q11" s="491"/>
      <c r="R11" s="491"/>
      <c r="S11" s="491"/>
      <c r="T11" s="491"/>
      <c r="U11" s="491"/>
      <c r="V11" s="491"/>
      <c r="W11" s="491"/>
      <c r="X11" s="491"/>
      <c r="Y11" s="491"/>
      <c r="Z11" s="491"/>
      <c r="AA11" s="491"/>
      <c r="AB11" s="491"/>
      <c r="AC11" s="491"/>
    </row>
    <row r="12" spans="1:29" x14ac:dyDescent="0.25">
      <c r="A12" s="395" t="s">
        <v>5</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2"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492"/>
      <c r="C14" s="492"/>
      <c r="D14" s="492"/>
      <c r="E14" s="492"/>
      <c r="F14" s="492"/>
      <c r="G14" s="492"/>
      <c r="H14" s="492"/>
      <c r="I14" s="492"/>
      <c r="J14" s="492"/>
      <c r="K14" s="492"/>
      <c r="L14" s="492"/>
      <c r="M14" s="492"/>
      <c r="N14" s="492"/>
      <c r="O14" s="492"/>
      <c r="P14" s="492"/>
      <c r="Q14" s="492"/>
      <c r="R14" s="492"/>
      <c r="S14" s="492"/>
      <c r="T14" s="492"/>
      <c r="U14" s="492"/>
      <c r="V14" s="492"/>
      <c r="W14" s="492"/>
      <c r="X14" s="492"/>
      <c r="Y14" s="492"/>
      <c r="Z14" s="492"/>
      <c r="AA14" s="492"/>
      <c r="AB14" s="492"/>
      <c r="AC14" s="492"/>
    </row>
    <row r="15" spans="1:29" ht="15.75" customHeight="1" x14ac:dyDescent="0.25">
      <c r="A15" s="395" t="s">
        <v>4</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95" t="s">
        <v>393</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84" t="s">
        <v>183</v>
      </c>
      <c r="B20" s="484" t="s">
        <v>182</v>
      </c>
      <c r="C20" s="476" t="s">
        <v>181</v>
      </c>
      <c r="D20" s="476"/>
      <c r="E20" s="494" t="s">
        <v>180</v>
      </c>
      <c r="F20" s="494"/>
      <c r="G20" s="484" t="s">
        <v>424</v>
      </c>
      <c r="H20" s="487" t="s">
        <v>425</v>
      </c>
      <c r="I20" s="488"/>
      <c r="J20" s="488"/>
      <c r="K20" s="488"/>
      <c r="L20" s="487" t="s">
        <v>426</v>
      </c>
      <c r="M20" s="488"/>
      <c r="N20" s="488"/>
      <c r="O20" s="488"/>
      <c r="P20" s="487" t="s">
        <v>427</v>
      </c>
      <c r="Q20" s="488"/>
      <c r="R20" s="488"/>
      <c r="S20" s="488"/>
      <c r="T20" s="487" t="s">
        <v>442</v>
      </c>
      <c r="U20" s="488"/>
      <c r="V20" s="488"/>
      <c r="W20" s="488"/>
      <c r="X20" s="487" t="s">
        <v>443</v>
      </c>
      <c r="Y20" s="488"/>
      <c r="Z20" s="488"/>
      <c r="AA20" s="488"/>
      <c r="AB20" s="496" t="s">
        <v>179</v>
      </c>
      <c r="AC20" s="496"/>
      <c r="AD20" s="65"/>
      <c r="AE20" s="65"/>
      <c r="AF20" s="65"/>
    </row>
    <row r="21" spans="1:32" ht="99.75" customHeight="1" x14ac:dyDescent="0.25">
      <c r="A21" s="485"/>
      <c r="B21" s="485"/>
      <c r="C21" s="476"/>
      <c r="D21" s="476"/>
      <c r="E21" s="494"/>
      <c r="F21" s="494"/>
      <c r="G21" s="485"/>
      <c r="H21" s="476" t="s">
        <v>2</v>
      </c>
      <c r="I21" s="476"/>
      <c r="J21" s="476" t="s">
        <v>9</v>
      </c>
      <c r="K21" s="476"/>
      <c r="L21" s="476" t="s">
        <v>2</v>
      </c>
      <c r="M21" s="476"/>
      <c r="N21" s="476" t="s">
        <v>9</v>
      </c>
      <c r="O21" s="476"/>
      <c r="P21" s="476" t="s">
        <v>2</v>
      </c>
      <c r="Q21" s="476"/>
      <c r="R21" s="476" t="s">
        <v>178</v>
      </c>
      <c r="S21" s="476"/>
      <c r="T21" s="476" t="s">
        <v>2</v>
      </c>
      <c r="U21" s="476"/>
      <c r="V21" s="476" t="s">
        <v>178</v>
      </c>
      <c r="W21" s="476"/>
      <c r="X21" s="476" t="s">
        <v>2</v>
      </c>
      <c r="Y21" s="476"/>
      <c r="Z21" s="476" t="s">
        <v>178</v>
      </c>
      <c r="AA21" s="476"/>
      <c r="AB21" s="496"/>
      <c r="AC21" s="496"/>
    </row>
    <row r="22" spans="1:32" ht="89.25" customHeight="1" x14ac:dyDescent="0.25">
      <c r="A22" s="486"/>
      <c r="B22" s="486"/>
      <c r="C22" s="62" t="s">
        <v>2</v>
      </c>
      <c r="D22" s="62" t="s">
        <v>178</v>
      </c>
      <c r="E22" s="64" t="s">
        <v>441</v>
      </c>
      <c r="F22" s="64" t="s">
        <v>487</v>
      </c>
      <c r="G22" s="486"/>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0" t="s">
        <v>9</v>
      </c>
    </row>
    <row r="23" spans="1:32" ht="19.5" customHeight="1" x14ac:dyDescent="0.25">
      <c r="A23" s="55">
        <v>1</v>
      </c>
      <c r="B23" s="55">
        <v>2</v>
      </c>
      <c r="C23" s="55">
        <v>3</v>
      </c>
      <c r="D23" s="55">
        <v>4</v>
      </c>
      <c r="E23" s="55">
        <v>5</v>
      </c>
      <c r="F23" s="55">
        <v>6</v>
      </c>
      <c r="G23" s="101">
        <v>7</v>
      </c>
      <c r="H23" s="101">
        <v>8</v>
      </c>
      <c r="I23" s="101">
        <v>9</v>
      </c>
      <c r="J23" s="101">
        <v>10</v>
      </c>
      <c r="K23" s="101">
        <v>11</v>
      </c>
      <c r="L23" s="122">
        <v>12</v>
      </c>
      <c r="M23" s="122">
        <v>13</v>
      </c>
      <c r="N23" s="122">
        <v>14</v>
      </c>
      <c r="O23" s="122">
        <v>15</v>
      </c>
      <c r="P23" s="122">
        <v>16</v>
      </c>
      <c r="Q23" s="122">
        <v>17</v>
      </c>
      <c r="R23" s="122">
        <v>18</v>
      </c>
      <c r="S23" s="122">
        <v>19</v>
      </c>
      <c r="T23" s="101">
        <v>12</v>
      </c>
      <c r="U23" s="101">
        <v>13</v>
      </c>
      <c r="V23" s="101">
        <v>14</v>
      </c>
      <c r="W23" s="101">
        <v>15</v>
      </c>
      <c r="X23" s="101">
        <v>16</v>
      </c>
      <c r="Y23" s="101">
        <v>17</v>
      </c>
      <c r="Z23" s="101">
        <v>18</v>
      </c>
      <c r="AA23" s="101">
        <v>19</v>
      </c>
      <c r="AB23" s="101">
        <v>20</v>
      </c>
      <c r="AC23" s="119">
        <f>AB23+1</f>
        <v>21</v>
      </c>
    </row>
    <row r="24" spans="1:32" ht="47.25" customHeight="1" x14ac:dyDescent="0.25">
      <c r="A24" s="60">
        <v>1</v>
      </c>
      <c r="B24" s="59" t="s">
        <v>177</v>
      </c>
      <c r="C24" s="115">
        <f>SUM(C25:C29)</f>
        <v>294.53059319620257</v>
      </c>
      <c r="D24" s="115">
        <v>0</v>
      </c>
      <c r="E24" s="115">
        <f>SUM(E25:E29)</f>
        <v>294.53059319620257</v>
      </c>
      <c r="F24" s="115">
        <f>SUM(F25:F29)</f>
        <v>293.97652119620255</v>
      </c>
      <c r="G24" s="115">
        <f>SUM(G25:G29)</f>
        <v>0</v>
      </c>
      <c r="H24" s="115">
        <f t="shared" ref="H24:M24" si="0">SUM(H25:H29)</f>
        <v>0.55407200000000001</v>
      </c>
      <c r="I24" s="115">
        <f t="shared" si="0"/>
        <v>0</v>
      </c>
      <c r="J24" s="115">
        <f t="shared" si="0"/>
        <v>0.55407200000000001</v>
      </c>
      <c r="K24" s="115">
        <f t="shared" si="0"/>
        <v>0</v>
      </c>
      <c r="L24" s="115">
        <f t="shared" si="0"/>
        <v>160.58748429999991</v>
      </c>
      <c r="M24" s="115">
        <f t="shared" si="0"/>
        <v>128.46998823999991</v>
      </c>
      <c r="N24" s="115">
        <f>SUM(N25:N29)</f>
        <v>134.10904273</v>
      </c>
      <c r="O24" s="115">
        <f t="shared" ref="O24:AA24" si="1">SUM(O25:O29)</f>
        <v>101.99154667000002</v>
      </c>
      <c r="P24" s="115">
        <f t="shared" si="1"/>
        <v>133.38903689620324</v>
      </c>
      <c r="Q24" s="115">
        <f t="shared" si="1"/>
        <v>0</v>
      </c>
      <c r="R24" s="115">
        <f t="shared" si="1"/>
        <v>0</v>
      </c>
      <c r="S24" s="115">
        <f t="shared" si="1"/>
        <v>0</v>
      </c>
      <c r="T24" s="115">
        <f t="shared" si="1"/>
        <v>0</v>
      </c>
      <c r="U24" s="115">
        <f t="shared" si="1"/>
        <v>0</v>
      </c>
      <c r="V24" s="115">
        <f t="shared" si="1"/>
        <v>0</v>
      </c>
      <c r="W24" s="115">
        <f t="shared" si="1"/>
        <v>0</v>
      </c>
      <c r="X24" s="115">
        <f t="shared" si="1"/>
        <v>0</v>
      </c>
      <c r="Y24" s="115">
        <f t="shared" si="1"/>
        <v>0</v>
      </c>
      <c r="Z24" s="115">
        <f t="shared" si="1"/>
        <v>0</v>
      </c>
      <c r="AA24" s="115">
        <f t="shared" si="1"/>
        <v>0</v>
      </c>
      <c r="AB24" s="121">
        <f t="shared" ref="AB24:AB64" si="2">SUM(H24,L24,P24,T24,X24)</f>
        <v>294.53059319620314</v>
      </c>
      <c r="AC24" s="121">
        <f>J24+N24+R24+V24+Z24</f>
        <v>134.66311472999999</v>
      </c>
    </row>
    <row r="25" spans="1:32" ht="24" customHeight="1" x14ac:dyDescent="0.25">
      <c r="A25" s="57" t="s">
        <v>176</v>
      </c>
      <c r="B25" s="33" t="s">
        <v>175</v>
      </c>
      <c r="C25" s="115">
        <v>0</v>
      </c>
      <c r="D25" s="115">
        <v>0</v>
      </c>
      <c r="E25" s="115">
        <f>C25</f>
        <v>0</v>
      </c>
      <c r="F25" s="115">
        <f>E25-G25-H25</f>
        <v>0</v>
      </c>
      <c r="G25" s="117">
        <v>0</v>
      </c>
      <c r="H25" s="117">
        <v>0</v>
      </c>
      <c r="I25" s="117">
        <v>0</v>
      </c>
      <c r="J25" s="117">
        <v>0</v>
      </c>
      <c r="K25" s="117">
        <v>0</v>
      </c>
      <c r="L25" s="117">
        <f>F25</f>
        <v>0</v>
      </c>
      <c r="M25" s="117">
        <v>0</v>
      </c>
      <c r="N25" s="117">
        <f>F25</f>
        <v>0</v>
      </c>
      <c r="O25" s="117">
        <v>0</v>
      </c>
      <c r="P25" s="117">
        <v>0</v>
      </c>
      <c r="Q25" s="117">
        <v>0</v>
      </c>
      <c r="R25" s="117">
        <v>0</v>
      </c>
      <c r="S25" s="117">
        <v>0</v>
      </c>
      <c r="T25" s="117">
        <v>0</v>
      </c>
      <c r="U25" s="117">
        <v>0</v>
      </c>
      <c r="V25" s="117">
        <v>0</v>
      </c>
      <c r="W25" s="117">
        <v>0</v>
      </c>
      <c r="X25" s="117">
        <v>0</v>
      </c>
      <c r="Y25" s="117">
        <v>0</v>
      </c>
      <c r="Z25" s="117">
        <v>0</v>
      </c>
      <c r="AA25" s="117">
        <v>0</v>
      </c>
      <c r="AB25" s="121">
        <f t="shared" si="2"/>
        <v>0</v>
      </c>
      <c r="AC25" s="121">
        <f t="shared" ref="AC25:AC64" si="3">J25+N25+R25+V25+Z25</f>
        <v>0</v>
      </c>
    </row>
    <row r="26" spans="1:32" x14ac:dyDescent="0.25">
      <c r="A26" s="57" t="s">
        <v>174</v>
      </c>
      <c r="B26" s="33" t="s">
        <v>173</v>
      </c>
      <c r="C26" s="115">
        <v>0</v>
      </c>
      <c r="D26" s="115">
        <v>0</v>
      </c>
      <c r="E26" s="115">
        <f>C26</f>
        <v>0</v>
      </c>
      <c r="F26" s="115">
        <f>E26-G26-H26</f>
        <v>0</v>
      </c>
      <c r="G26" s="117">
        <v>0</v>
      </c>
      <c r="H26" s="117">
        <v>0</v>
      </c>
      <c r="I26" s="117">
        <v>0</v>
      </c>
      <c r="J26" s="117">
        <v>0</v>
      </c>
      <c r="K26" s="117">
        <v>0</v>
      </c>
      <c r="L26" s="117">
        <f>F26</f>
        <v>0</v>
      </c>
      <c r="M26" s="117">
        <v>0</v>
      </c>
      <c r="N26" s="117">
        <f>F26</f>
        <v>0</v>
      </c>
      <c r="O26" s="117">
        <v>0</v>
      </c>
      <c r="P26" s="117">
        <v>0</v>
      </c>
      <c r="Q26" s="117">
        <v>0</v>
      </c>
      <c r="R26" s="117">
        <v>0</v>
      </c>
      <c r="S26" s="117">
        <v>0</v>
      </c>
      <c r="T26" s="117">
        <v>0</v>
      </c>
      <c r="U26" s="117">
        <v>0</v>
      </c>
      <c r="V26" s="117">
        <v>0</v>
      </c>
      <c r="W26" s="117">
        <v>0</v>
      </c>
      <c r="X26" s="117">
        <v>0</v>
      </c>
      <c r="Y26" s="117">
        <v>0</v>
      </c>
      <c r="Z26" s="117">
        <v>0</v>
      </c>
      <c r="AA26" s="117">
        <v>0</v>
      </c>
      <c r="AB26" s="121">
        <f t="shared" si="2"/>
        <v>0</v>
      </c>
      <c r="AC26" s="121">
        <f t="shared" si="3"/>
        <v>0</v>
      </c>
    </row>
    <row r="27" spans="1:32" ht="31.5" x14ac:dyDescent="0.25">
      <c r="A27" s="57" t="s">
        <v>172</v>
      </c>
      <c r="B27" s="33" t="s">
        <v>357</v>
      </c>
      <c r="C27" s="115">
        <v>0</v>
      </c>
      <c r="D27" s="115">
        <v>0</v>
      </c>
      <c r="E27" s="115">
        <f>C27</f>
        <v>0</v>
      </c>
      <c r="F27" s="115">
        <f>E27-G27-H27</f>
        <v>0</v>
      </c>
      <c r="G27" s="117">
        <v>0</v>
      </c>
      <c r="H27" s="117">
        <v>0</v>
      </c>
      <c r="I27" s="117">
        <v>0</v>
      </c>
      <c r="J27" s="117">
        <v>0</v>
      </c>
      <c r="K27" s="117">
        <v>0</v>
      </c>
      <c r="L27" s="117">
        <f>F27</f>
        <v>0</v>
      </c>
      <c r="M27" s="117">
        <v>0</v>
      </c>
      <c r="N27" s="117">
        <f>F27</f>
        <v>0</v>
      </c>
      <c r="O27" s="117">
        <v>0</v>
      </c>
      <c r="P27" s="117">
        <v>0</v>
      </c>
      <c r="Q27" s="117">
        <v>0</v>
      </c>
      <c r="R27" s="117">
        <v>0</v>
      </c>
      <c r="S27" s="117">
        <v>0</v>
      </c>
      <c r="T27" s="117">
        <v>0</v>
      </c>
      <c r="U27" s="117">
        <v>0</v>
      </c>
      <c r="V27" s="117">
        <v>0</v>
      </c>
      <c r="W27" s="117">
        <v>0</v>
      </c>
      <c r="X27" s="117">
        <v>0</v>
      </c>
      <c r="Y27" s="117">
        <v>0</v>
      </c>
      <c r="Z27" s="117">
        <v>0</v>
      </c>
      <c r="AA27" s="117">
        <v>0</v>
      </c>
      <c r="AB27" s="121">
        <f t="shared" si="2"/>
        <v>0</v>
      </c>
      <c r="AC27" s="121">
        <f t="shared" si="3"/>
        <v>0</v>
      </c>
      <c r="AF27" s="116"/>
    </row>
    <row r="28" spans="1:32" x14ac:dyDescent="0.25">
      <c r="A28" s="57" t="s">
        <v>171</v>
      </c>
      <c r="B28" s="33" t="s">
        <v>170</v>
      </c>
      <c r="C28" s="115">
        <f>C30*1.18</f>
        <v>294.53059319620257</v>
      </c>
      <c r="D28" s="115">
        <v>0</v>
      </c>
      <c r="E28" s="115">
        <f>C28</f>
        <v>294.53059319620257</v>
      </c>
      <c r="F28" s="115">
        <f>E28-G28-H28</f>
        <v>293.97652119620255</v>
      </c>
      <c r="G28" s="117">
        <v>0</v>
      </c>
      <c r="H28" s="117">
        <v>0.55407200000000001</v>
      </c>
      <c r="I28" s="117">
        <v>0</v>
      </c>
      <c r="J28" s="117">
        <v>0.55407200000000001</v>
      </c>
      <c r="K28" s="117">
        <v>0</v>
      </c>
      <c r="L28" s="117">
        <v>160.58748429999991</v>
      </c>
      <c r="M28" s="117">
        <v>128.46998823999991</v>
      </c>
      <c r="N28" s="117">
        <v>134.10904273</v>
      </c>
      <c r="O28" s="117">
        <v>101.99154667000002</v>
      </c>
      <c r="P28" s="117">
        <v>133.38903689620324</v>
      </c>
      <c r="Q28" s="117">
        <v>0</v>
      </c>
      <c r="R28" s="117">
        <v>0</v>
      </c>
      <c r="S28" s="117">
        <v>0</v>
      </c>
      <c r="T28" s="117">
        <v>0</v>
      </c>
      <c r="U28" s="117">
        <v>0</v>
      </c>
      <c r="V28" s="117">
        <v>0</v>
      </c>
      <c r="W28" s="117">
        <v>0</v>
      </c>
      <c r="X28" s="117">
        <v>0</v>
      </c>
      <c r="Y28" s="117">
        <v>0</v>
      </c>
      <c r="Z28" s="117">
        <v>0</v>
      </c>
      <c r="AA28" s="117">
        <v>0</v>
      </c>
      <c r="AB28" s="121">
        <f t="shared" si="2"/>
        <v>294.53059319620314</v>
      </c>
      <c r="AC28" s="121">
        <f t="shared" si="3"/>
        <v>134.66311472999999</v>
      </c>
    </row>
    <row r="29" spans="1:32" x14ac:dyDescent="0.25">
      <c r="A29" s="57" t="s">
        <v>169</v>
      </c>
      <c r="B29" s="61" t="s">
        <v>168</v>
      </c>
      <c r="C29" s="115">
        <v>0</v>
      </c>
      <c r="D29" s="115">
        <v>0</v>
      </c>
      <c r="E29" s="115">
        <f>C29</f>
        <v>0</v>
      </c>
      <c r="F29" s="115">
        <f>E29-G29-H29</f>
        <v>0</v>
      </c>
      <c r="G29" s="117">
        <v>0</v>
      </c>
      <c r="H29" s="117">
        <v>0</v>
      </c>
      <c r="I29" s="117">
        <v>0</v>
      </c>
      <c r="J29" s="117">
        <v>0</v>
      </c>
      <c r="K29" s="117">
        <v>0</v>
      </c>
      <c r="L29" s="117">
        <f>F29</f>
        <v>0</v>
      </c>
      <c r="M29" s="117">
        <v>0</v>
      </c>
      <c r="N29" s="117">
        <v>0</v>
      </c>
      <c r="O29" s="117">
        <v>0</v>
      </c>
      <c r="P29" s="117">
        <v>0</v>
      </c>
      <c r="Q29" s="117">
        <v>0</v>
      </c>
      <c r="R29" s="117">
        <v>0</v>
      </c>
      <c r="S29" s="117">
        <v>0</v>
      </c>
      <c r="T29" s="117">
        <v>0</v>
      </c>
      <c r="U29" s="117">
        <v>0</v>
      </c>
      <c r="V29" s="117">
        <v>0</v>
      </c>
      <c r="W29" s="117">
        <v>0</v>
      </c>
      <c r="X29" s="117">
        <v>0</v>
      </c>
      <c r="Y29" s="117">
        <v>0</v>
      </c>
      <c r="Z29" s="117">
        <v>0</v>
      </c>
      <c r="AA29" s="117">
        <v>0</v>
      </c>
      <c r="AB29" s="121">
        <f t="shared" si="2"/>
        <v>0</v>
      </c>
      <c r="AC29" s="121">
        <f t="shared" si="3"/>
        <v>0</v>
      </c>
      <c r="AF29" s="116"/>
    </row>
    <row r="30" spans="1:32" ht="47.25" x14ac:dyDescent="0.25">
      <c r="A30" s="60" t="s">
        <v>61</v>
      </c>
      <c r="B30" s="59" t="s">
        <v>167</v>
      </c>
      <c r="C30" s="115">
        <f>SUM(C31:C34)</f>
        <v>249.60219762390051</v>
      </c>
      <c r="D30" s="115">
        <v>0</v>
      </c>
      <c r="E30" s="115">
        <f t="shared" ref="E30:K30" si="4">SUM(E31:E34)</f>
        <v>249.60219762390051</v>
      </c>
      <c r="F30" s="115">
        <f t="shared" si="4"/>
        <v>249.13264508152764</v>
      </c>
      <c r="G30" s="115">
        <f t="shared" si="4"/>
        <v>0</v>
      </c>
      <c r="H30" s="115">
        <f t="shared" si="4"/>
        <v>0.46955254237288102</v>
      </c>
      <c r="I30" s="115">
        <f t="shared" si="4"/>
        <v>0</v>
      </c>
      <c r="J30" s="115">
        <f t="shared" si="4"/>
        <v>0.46955254237288102</v>
      </c>
      <c r="K30" s="115">
        <f t="shared" si="4"/>
        <v>0</v>
      </c>
      <c r="L30" s="115">
        <f>145.62859444541</f>
        <v>145.62859444540999</v>
      </c>
      <c r="M30" s="115">
        <v>145.6285944454101</v>
      </c>
      <c r="N30" s="115">
        <v>94.271501650000005</v>
      </c>
      <c r="O30" s="115">
        <v>94.27150164999999</v>
      </c>
      <c r="P30" s="115">
        <v>103.504050636118</v>
      </c>
      <c r="Q30" s="115">
        <f t="shared" ref="Q30:AA30" si="5">SUM(Q31:Q34)</f>
        <v>0</v>
      </c>
      <c r="R30" s="115">
        <f t="shared" si="5"/>
        <v>0</v>
      </c>
      <c r="S30" s="115">
        <f t="shared" si="5"/>
        <v>0</v>
      </c>
      <c r="T30" s="115">
        <f t="shared" si="5"/>
        <v>0</v>
      </c>
      <c r="U30" s="115">
        <f t="shared" si="5"/>
        <v>0</v>
      </c>
      <c r="V30" s="115">
        <f t="shared" si="5"/>
        <v>0</v>
      </c>
      <c r="W30" s="115">
        <f t="shared" si="5"/>
        <v>0</v>
      </c>
      <c r="X30" s="115">
        <f t="shared" si="5"/>
        <v>0</v>
      </c>
      <c r="Y30" s="115">
        <f t="shared" si="5"/>
        <v>0</v>
      </c>
      <c r="Z30" s="115">
        <f t="shared" si="5"/>
        <v>0</v>
      </c>
      <c r="AA30" s="115">
        <f t="shared" si="5"/>
        <v>0</v>
      </c>
      <c r="AB30" s="121">
        <f t="shared" si="2"/>
        <v>249.60219762390085</v>
      </c>
      <c r="AC30" s="121">
        <f t="shared" si="3"/>
        <v>94.741054192372886</v>
      </c>
      <c r="AE30" s="116"/>
    </row>
    <row r="31" spans="1:32" x14ac:dyDescent="0.25">
      <c r="A31" s="60" t="s">
        <v>166</v>
      </c>
      <c r="B31" s="33" t="s">
        <v>165</v>
      </c>
      <c r="C31" s="115">
        <f>4.7144209*1.41456447846*0.7</f>
        <v>4.6681966391545968</v>
      </c>
      <c r="D31" s="115">
        <v>0</v>
      </c>
      <c r="E31" s="115">
        <f>C31</f>
        <v>4.6681966391545968</v>
      </c>
      <c r="F31" s="115">
        <f>E31-G31-H31</f>
        <v>4.6681966391545968</v>
      </c>
      <c r="G31" s="117">
        <v>0</v>
      </c>
      <c r="H31" s="117">
        <v>0</v>
      </c>
      <c r="I31" s="117">
        <v>0</v>
      </c>
      <c r="J31" s="117">
        <v>0</v>
      </c>
      <c r="K31" s="117">
        <v>0</v>
      </c>
      <c r="L31" s="117">
        <f>F31</f>
        <v>4.6681966391545968</v>
      </c>
      <c r="M31" s="117">
        <v>4.6681966391545968</v>
      </c>
      <c r="N31" s="117">
        <v>0</v>
      </c>
      <c r="O31" s="117">
        <v>0</v>
      </c>
      <c r="P31" s="117">
        <v>0</v>
      </c>
      <c r="Q31" s="117">
        <v>0</v>
      </c>
      <c r="R31" s="117">
        <v>0</v>
      </c>
      <c r="S31" s="117">
        <v>0</v>
      </c>
      <c r="T31" s="117">
        <v>0</v>
      </c>
      <c r="U31" s="117">
        <v>0</v>
      </c>
      <c r="V31" s="117">
        <v>0</v>
      </c>
      <c r="W31" s="117">
        <v>0</v>
      </c>
      <c r="X31" s="117">
        <v>0</v>
      </c>
      <c r="Y31" s="117">
        <v>0</v>
      </c>
      <c r="Z31" s="117">
        <v>0</v>
      </c>
      <c r="AA31" s="117">
        <v>0</v>
      </c>
      <c r="AB31" s="121">
        <f t="shared" si="2"/>
        <v>4.6681966391545968</v>
      </c>
      <c r="AC31" s="121">
        <f t="shared" si="3"/>
        <v>0</v>
      </c>
    </row>
    <row r="32" spans="1:32" ht="31.5" x14ac:dyDescent="0.25">
      <c r="A32" s="60" t="s">
        <v>164</v>
      </c>
      <c r="B32" s="33" t="s">
        <v>163</v>
      </c>
      <c r="C32" s="115">
        <f>22.591709*1.41456447846*0.7</f>
        <v>22.370200341373565</v>
      </c>
      <c r="D32" s="115">
        <v>0</v>
      </c>
      <c r="E32" s="115">
        <f>C32</f>
        <v>22.370200341373565</v>
      </c>
      <c r="F32" s="115">
        <f>E32-G32-H32</f>
        <v>22.370200341373565</v>
      </c>
      <c r="G32" s="117">
        <v>0</v>
      </c>
      <c r="H32" s="117">
        <v>0</v>
      </c>
      <c r="I32" s="117">
        <v>0</v>
      </c>
      <c r="J32" s="117">
        <v>0</v>
      </c>
      <c r="K32" s="117">
        <v>0</v>
      </c>
      <c r="L32" s="117">
        <f>F32-P32</f>
        <v>13.076330611391265</v>
      </c>
      <c r="M32" s="117">
        <v>13.076330611391265</v>
      </c>
      <c r="N32" s="117">
        <v>1.979398</v>
      </c>
      <c r="O32" s="117">
        <v>1.979398</v>
      </c>
      <c r="P32" s="117">
        <f>F32*(P30/F30)</f>
        <v>9.2938697299822994</v>
      </c>
      <c r="Q32" s="117">
        <v>0</v>
      </c>
      <c r="R32" s="117">
        <v>0</v>
      </c>
      <c r="S32" s="117">
        <v>0</v>
      </c>
      <c r="T32" s="117">
        <v>0</v>
      </c>
      <c r="U32" s="117">
        <v>0</v>
      </c>
      <c r="V32" s="117">
        <v>0</v>
      </c>
      <c r="W32" s="117">
        <v>0</v>
      </c>
      <c r="X32" s="117">
        <v>0</v>
      </c>
      <c r="Y32" s="117">
        <v>0</v>
      </c>
      <c r="Z32" s="117">
        <v>0</v>
      </c>
      <c r="AA32" s="117">
        <v>0</v>
      </c>
      <c r="AB32" s="121">
        <f t="shared" si="2"/>
        <v>22.370200341373565</v>
      </c>
      <c r="AC32" s="121">
        <f t="shared" si="3"/>
        <v>1.979398</v>
      </c>
    </row>
    <row r="33" spans="1:29" x14ac:dyDescent="0.25">
      <c r="A33" s="60" t="s">
        <v>162</v>
      </c>
      <c r="B33" s="33" t="s">
        <v>161</v>
      </c>
      <c r="C33" s="118">
        <f>210.6058062*1.41456447846*0.7</f>
        <v>208.54084468556556</v>
      </c>
      <c r="D33" s="118">
        <v>0</v>
      </c>
      <c r="E33" s="115">
        <f>C33</f>
        <v>208.54084468556556</v>
      </c>
      <c r="F33" s="115">
        <f>E33-G33-H33</f>
        <v>208.54084468556556</v>
      </c>
      <c r="G33" s="117">
        <v>0</v>
      </c>
      <c r="H33" s="117">
        <v>0</v>
      </c>
      <c r="I33" s="117">
        <v>0</v>
      </c>
      <c r="J33" s="117">
        <v>0</v>
      </c>
      <c r="K33" s="117">
        <v>0</v>
      </c>
      <c r="L33" s="117">
        <f>F33-P33</f>
        <v>121.90096599375441</v>
      </c>
      <c r="M33" s="117">
        <v>121.90096599375441</v>
      </c>
      <c r="N33" s="117">
        <v>91.699434690000004</v>
      </c>
      <c r="O33" s="117">
        <v>91.699434690000004</v>
      </c>
      <c r="P33" s="117">
        <f>F33*(P30/F30)</f>
        <v>86.639878691811148</v>
      </c>
      <c r="Q33" s="117">
        <v>0</v>
      </c>
      <c r="R33" s="117">
        <v>0</v>
      </c>
      <c r="S33" s="117">
        <v>0</v>
      </c>
      <c r="T33" s="117">
        <v>0</v>
      </c>
      <c r="U33" s="117">
        <v>0</v>
      </c>
      <c r="V33" s="117">
        <v>0</v>
      </c>
      <c r="W33" s="117">
        <v>0</v>
      </c>
      <c r="X33" s="117">
        <v>0</v>
      </c>
      <c r="Y33" s="117">
        <v>0</v>
      </c>
      <c r="Z33" s="117">
        <v>0</v>
      </c>
      <c r="AA33" s="117">
        <v>0</v>
      </c>
      <c r="AB33" s="121">
        <f t="shared" si="2"/>
        <v>208.54084468556556</v>
      </c>
      <c r="AC33" s="121">
        <f t="shared" si="3"/>
        <v>91.699434690000004</v>
      </c>
    </row>
    <row r="34" spans="1:29" x14ac:dyDescent="0.25">
      <c r="A34" s="60" t="s">
        <v>160</v>
      </c>
      <c r="B34" s="33" t="s">
        <v>159</v>
      </c>
      <c r="C34" s="115">
        <f>14.1618106*1.41456447846*0.7</f>
        <v>14.022955957806809</v>
      </c>
      <c r="D34" s="115">
        <v>0</v>
      </c>
      <c r="E34" s="115">
        <f>C34</f>
        <v>14.022955957806809</v>
      </c>
      <c r="F34" s="115">
        <f>E34-G34-H34</f>
        <v>13.553403415433928</v>
      </c>
      <c r="G34" s="117">
        <v>0</v>
      </c>
      <c r="H34" s="117">
        <v>0.46955254237288102</v>
      </c>
      <c r="I34" s="117">
        <v>0</v>
      </c>
      <c r="J34" s="117">
        <v>0.46955254237288102</v>
      </c>
      <c r="K34" s="117">
        <v>0</v>
      </c>
      <c r="L34" s="117">
        <f>L30-L31-L32-L33</f>
        <v>5.9831012011097187</v>
      </c>
      <c r="M34" s="117">
        <v>5.9831012011097187</v>
      </c>
      <c r="N34" s="117">
        <v>0.59266895999999991</v>
      </c>
      <c r="O34" s="117">
        <v>0.59266895999999991</v>
      </c>
      <c r="P34" s="117">
        <f>P30-P31-P32-P33</f>
        <v>7.570302214324542</v>
      </c>
      <c r="Q34" s="117">
        <v>0</v>
      </c>
      <c r="R34" s="117">
        <v>0</v>
      </c>
      <c r="S34" s="117">
        <v>0</v>
      </c>
      <c r="T34" s="117">
        <v>0</v>
      </c>
      <c r="U34" s="117">
        <v>0</v>
      </c>
      <c r="V34" s="117">
        <v>0</v>
      </c>
      <c r="W34" s="117">
        <v>0</v>
      </c>
      <c r="X34" s="117">
        <v>0</v>
      </c>
      <c r="Y34" s="117">
        <v>0</v>
      </c>
      <c r="Z34" s="117">
        <v>0</v>
      </c>
      <c r="AA34" s="117">
        <v>0</v>
      </c>
      <c r="AB34" s="121">
        <f t="shared" si="2"/>
        <v>14.022955957807142</v>
      </c>
      <c r="AC34" s="121">
        <f t="shared" si="3"/>
        <v>1.0622215023728809</v>
      </c>
    </row>
    <row r="35" spans="1:29" ht="31.5" x14ac:dyDescent="0.25">
      <c r="A35" s="60" t="s">
        <v>60</v>
      </c>
      <c r="B35" s="59" t="s">
        <v>158</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21">
        <f t="shared" si="2"/>
        <v>0</v>
      </c>
      <c r="AC35" s="121">
        <f t="shared" si="3"/>
        <v>0</v>
      </c>
    </row>
    <row r="36" spans="1:29" ht="31.5" x14ac:dyDescent="0.25">
      <c r="A36" s="57" t="s">
        <v>157</v>
      </c>
      <c r="B36" s="56" t="s">
        <v>156</v>
      </c>
      <c r="C36" s="115">
        <v>0</v>
      </c>
      <c r="D36" s="115">
        <v>0</v>
      </c>
      <c r="E36" s="115">
        <v>0</v>
      </c>
      <c r="F36" s="115">
        <v>0</v>
      </c>
      <c r="G36" s="117">
        <v>0</v>
      </c>
      <c r="H36" s="117">
        <v>0</v>
      </c>
      <c r="I36" s="117">
        <v>0</v>
      </c>
      <c r="J36" s="117">
        <v>0</v>
      </c>
      <c r="K36" s="117">
        <v>0</v>
      </c>
      <c r="L36" s="117">
        <v>0</v>
      </c>
      <c r="M36" s="117">
        <v>0</v>
      </c>
      <c r="N36" s="117">
        <v>0</v>
      </c>
      <c r="O36" s="117">
        <v>0</v>
      </c>
      <c r="P36" s="117">
        <v>0</v>
      </c>
      <c r="Q36" s="117">
        <v>0</v>
      </c>
      <c r="R36" s="117">
        <v>0</v>
      </c>
      <c r="S36" s="117">
        <v>0</v>
      </c>
      <c r="T36" s="117">
        <v>0</v>
      </c>
      <c r="U36" s="117">
        <v>0</v>
      </c>
      <c r="V36" s="117">
        <v>0</v>
      </c>
      <c r="W36" s="117">
        <v>0</v>
      </c>
      <c r="X36" s="117">
        <v>0</v>
      </c>
      <c r="Y36" s="117">
        <v>0</v>
      </c>
      <c r="Z36" s="117">
        <v>0</v>
      </c>
      <c r="AA36" s="117">
        <v>0</v>
      </c>
      <c r="AB36" s="121">
        <f t="shared" si="2"/>
        <v>0</v>
      </c>
      <c r="AC36" s="121">
        <f t="shared" si="3"/>
        <v>0</v>
      </c>
    </row>
    <row r="37" spans="1:29" x14ac:dyDescent="0.25">
      <c r="A37" s="57" t="s">
        <v>155</v>
      </c>
      <c r="B37" s="56" t="s">
        <v>145</v>
      </c>
      <c r="C37" s="115">
        <v>80</v>
      </c>
      <c r="D37" s="115">
        <v>0</v>
      </c>
      <c r="E37" s="115">
        <f>C37</f>
        <v>80</v>
      </c>
      <c r="F37" s="115">
        <f>E37-G37-H37</f>
        <v>80</v>
      </c>
      <c r="G37" s="117">
        <v>0</v>
      </c>
      <c r="H37" s="117">
        <v>0</v>
      </c>
      <c r="I37" s="117">
        <v>0</v>
      </c>
      <c r="J37" s="117">
        <v>0</v>
      </c>
      <c r="K37" s="117">
        <v>0</v>
      </c>
      <c r="L37" s="117">
        <v>0</v>
      </c>
      <c r="M37" s="117">
        <v>0</v>
      </c>
      <c r="N37" s="117">
        <v>0</v>
      </c>
      <c r="O37" s="117">
        <v>0</v>
      </c>
      <c r="P37" s="117">
        <f t="shared" ref="P37:P42" si="6">F37</f>
        <v>80</v>
      </c>
      <c r="Q37" s="117">
        <v>0</v>
      </c>
      <c r="R37" s="117">
        <v>0</v>
      </c>
      <c r="S37" s="117">
        <v>0</v>
      </c>
      <c r="T37" s="117">
        <v>0</v>
      </c>
      <c r="U37" s="117">
        <v>0</v>
      </c>
      <c r="V37" s="117">
        <v>0</v>
      </c>
      <c r="W37" s="117">
        <v>0</v>
      </c>
      <c r="X37" s="117">
        <v>0</v>
      </c>
      <c r="Y37" s="117">
        <v>0</v>
      </c>
      <c r="Z37" s="117">
        <v>0</v>
      </c>
      <c r="AA37" s="117">
        <v>0</v>
      </c>
      <c r="AB37" s="121">
        <f t="shared" si="2"/>
        <v>80</v>
      </c>
      <c r="AC37" s="121">
        <f t="shared" si="3"/>
        <v>0</v>
      </c>
    </row>
    <row r="38" spans="1:29" x14ac:dyDescent="0.25">
      <c r="A38" s="57" t="s">
        <v>154</v>
      </c>
      <c r="B38" s="56" t="s">
        <v>143</v>
      </c>
      <c r="C38" s="115">
        <v>0</v>
      </c>
      <c r="D38" s="115">
        <v>0</v>
      </c>
      <c r="E38" s="115">
        <v>0</v>
      </c>
      <c r="F38" s="115">
        <v>0</v>
      </c>
      <c r="G38" s="117">
        <v>0</v>
      </c>
      <c r="H38" s="117">
        <v>0</v>
      </c>
      <c r="I38" s="117">
        <v>0</v>
      </c>
      <c r="J38" s="117">
        <v>0</v>
      </c>
      <c r="K38" s="117">
        <v>0</v>
      </c>
      <c r="L38" s="117">
        <v>0</v>
      </c>
      <c r="M38" s="117">
        <v>0</v>
      </c>
      <c r="N38" s="117">
        <v>0</v>
      </c>
      <c r="O38" s="117">
        <v>0</v>
      </c>
      <c r="P38" s="117">
        <f t="shared" si="6"/>
        <v>0</v>
      </c>
      <c r="Q38" s="117">
        <v>0</v>
      </c>
      <c r="R38" s="117">
        <v>0</v>
      </c>
      <c r="S38" s="117">
        <v>0</v>
      </c>
      <c r="T38" s="117">
        <v>0</v>
      </c>
      <c r="U38" s="117">
        <v>0</v>
      </c>
      <c r="V38" s="117">
        <v>0</v>
      </c>
      <c r="W38" s="117">
        <v>0</v>
      </c>
      <c r="X38" s="117">
        <v>0</v>
      </c>
      <c r="Y38" s="117">
        <v>0</v>
      </c>
      <c r="Z38" s="117">
        <v>0</v>
      </c>
      <c r="AA38" s="117">
        <v>0</v>
      </c>
      <c r="AB38" s="121">
        <f t="shared" si="2"/>
        <v>0</v>
      </c>
      <c r="AC38" s="121">
        <f t="shared" si="3"/>
        <v>0</v>
      </c>
    </row>
    <row r="39" spans="1:29" ht="31.5" x14ac:dyDescent="0.25">
      <c r="A39" s="57" t="s">
        <v>153</v>
      </c>
      <c r="B39" s="33" t="s">
        <v>141</v>
      </c>
      <c r="C39" s="115">
        <v>0</v>
      </c>
      <c r="D39" s="115">
        <v>0</v>
      </c>
      <c r="E39" s="115">
        <v>0</v>
      </c>
      <c r="F39" s="115">
        <v>0</v>
      </c>
      <c r="G39" s="117">
        <v>0</v>
      </c>
      <c r="H39" s="117">
        <v>0</v>
      </c>
      <c r="I39" s="117">
        <v>0</v>
      </c>
      <c r="J39" s="117">
        <v>0</v>
      </c>
      <c r="K39" s="117">
        <v>0</v>
      </c>
      <c r="L39" s="117">
        <v>0</v>
      </c>
      <c r="M39" s="117">
        <v>0</v>
      </c>
      <c r="N39" s="117">
        <v>0</v>
      </c>
      <c r="O39" s="117">
        <v>0</v>
      </c>
      <c r="P39" s="117">
        <f t="shared" si="6"/>
        <v>0</v>
      </c>
      <c r="Q39" s="117">
        <v>0</v>
      </c>
      <c r="R39" s="117">
        <v>0</v>
      </c>
      <c r="S39" s="117">
        <v>0</v>
      </c>
      <c r="T39" s="117">
        <v>0</v>
      </c>
      <c r="U39" s="117">
        <v>0</v>
      </c>
      <c r="V39" s="117">
        <v>0</v>
      </c>
      <c r="W39" s="117">
        <v>0</v>
      </c>
      <c r="X39" s="117">
        <v>0</v>
      </c>
      <c r="Y39" s="117">
        <v>0</v>
      </c>
      <c r="Z39" s="117">
        <v>0</v>
      </c>
      <c r="AA39" s="117">
        <v>0</v>
      </c>
      <c r="AB39" s="121">
        <f t="shared" si="2"/>
        <v>0</v>
      </c>
      <c r="AC39" s="121">
        <f t="shared" si="3"/>
        <v>0</v>
      </c>
    </row>
    <row r="40" spans="1:29" ht="31.5" x14ac:dyDescent="0.25">
      <c r="A40" s="57" t="s">
        <v>152</v>
      </c>
      <c r="B40" s="33" t="s">
        <v>139</v>
      </c>
      <c r="C40" s="115">
        <v>0</v>
      </c>
      <c r="D40" s="115">
        <v>0</v>
      </c>
      <c r="E40" s="115">
        <v>0</v>
      </c>
      <c r="F40" s="115">
        <v>0</v>
      </c>
      <c r="G40" s="117">
        <v>0</v>
      </c>
      <c r="H40" s="117">
        <v>0</v>
      </c>
      <c r="I40" s="117">
        <v>0</v>
      </c>
      <c r="J40" s="117">
        <v>0</v>
      </c>
      <c r="K40" s="117">
        <v>0</v>
      </c>
      <c r="L40" s="117">
        <v>0</v>
      </c>
      <c r="M40" s="117">
        <v>0</v>
      </c>
      <c r="N40" s="117">
        <v>0</v>
      </c>
      <c r="O40" s="117">
        <v>0</v>
      </c>
      <c r="P40" s="117">
        <f t="shared" si="6"/>
        <v>0</v>
      </c>
      <c r="Q40" s="117">
        <v>0</v>
      </c>
      <c r="R40" s="117">
        <v>0</v>
      </c>
      <c r="S40" s="117">
        <v>0</v>
      </c>
      <c r="T40" s="117">
        <v>0</v>
      </c>
      <c r="U40" s="117">
        <v>0</v>
      </c>
      <c r="V40" s="117">
        <v>0</v>
      </c>
      <c r="W40" s="117">
        <v>0</v>
      </c>
      <c r="X40" s="117">
        <v>0</v>
      </c>
      <c r="Y40" s="117">
        <v>0</v>
      </c>
      <c r="Z40" s="117">
        <v>0</v>
      </c>
      <c r="AA40" s="117">
        <v>0</v>
      </c>
      <c r="AB40" s="121">
        <f t="shared" si="2"/>
        <v>0</v>
      </c>
      <c r="AC40" s="121">
        <f t="shared" si="3"/>
        <v>0</v>
      </c>
    </row>
    <row r="41" spans="1:29" x14ac:dyDescent="0.25">
      <c r="A41" s="57" t="s">
        <v>151</v>
      </c>
      <c r="B41" s="33" t="s">
        <v>137</v>
      </c>
      <c r="C41" s="115">
        <v>0</v>
      </c>
      <c r="D41" s="115">
        <v>0</v>
      </c>
      <c r="E41" s="115">
        <v>0</v>
      </c>
      <c r="F41" s="115">
        <v>0</v>
      </c>
      <c r="G41" s="117">
        <v>0</v>
      </c>
      <c r="H41" s="117">
        <v>0</v>
      </c>
      <c r="I41" s="117">
        <v>0</v>
      </c>
      <c r="J41" s="117">
        <v>0</v>
      </c>
      <c r="K41" s="117">
        <v>0</v>
      </c>
      <c r="L41" s="117">
        <v>0</v>
      </c>
      <c r="M41" s="117">
        <v>0</v>
      </c>
      <c r="N41" s="117">
        <v>0</v>
      </c>
      <c r="O41" s="117">
        <v>0</v>
      </c>
      <c r="P41" s="117">
        <f t="shared" si="6"/>
        <v>0</v>
      </c>
      <c r="Q41" s="117">
        <v>0</v>
      </c>
      <c r="R41" s="117">
        <v>0</v>
      </c>
      <c r="S41" s="117">
        <v>0</v>
      </c>
      <c r="T41" s="117">
        <v>0</v>
      </c>
      <c r="U41" s="117">
        <v>0</v>
      </c>
      <c r="V41" s="117">
        <v>0</v>
      </c>
      <c r="W41" s="117">
        <v>0</v>
      </c>
      <c r="X41" s="117">
        <v>0</v>
      </c>
      <c r="Y41" s="117">
        <v>0</v>
      </c>
      <c r="Z41" s="117">
        <v>0</v>
      </c>
      <c r="AA41" s="117">
        <v>0</v>
      </c>
      <c r="AB41" s="121">
        <f t="shared" si="2"/>
        <v>0</v>
      </c>
      <c r="AC41" s="121">
        <f t="shared" si="3"/>
        <v>0</v>
      </c>
    </row>
    <row r="42" spans="1:29" ht="18.75" x14ac:dyDescent="0.25">
      <c r="A42" s="57" t="s">
        <v>150</v>
      </c>
      <c r="B42" s="56" t="s">
        <v>534</v>
      </c>
      <c r="C42" s="115">
        <v>34</v>
      </c>
      <c r="D42" s="115">
        <v>0</v>
      </c>
      <c r="E42" s="115">
        <v>34</v>
      </c>
      <c r="F42" s="115">
        <v>34</v>
      </c>
      <c r="G42" s="117">
        <v>0</v>
      </c>
      <c r="H42" s="117">
        <v>0</v>
      </c>
      <c r="I42" s="117">
        <v>0</v>
      </c>
      <c r="J42" s="117">
        <v>0</v>
      </c>
      <c r="K42" s="117">
        <v>0</v>
      </c>
      <c r="L42" s="117">
        <v>0</v>
      </c>
      <c r="M42" s="117">
        <v>0</v>
      </c>
      <c r="N42" s="117">
        <v>0</v>
      </c>
      <c r="O42" s="117">
        <v>0</v>
      </c>
      <c r="P42" s="117">
        <f t="shared" si="6"/>
        <v>34</v>
      </c>
      <c r="Q42" s="117">
        <v>0</v>
      </c>
      <c r="R42" s="117">
        <v>0</v>
      </c>
      <c r="S42" s="117">
        <v>0</v>
      </c>
      <c r="T42" s="117">
        <v>0</v>
      </c>
      <c r="U42" s="117">
        <v>0</v>
      </c>
      <c r="V42" s="117">
        <v>0</v>
      </c>
      <c r="W42" s="117">
        <v>0</v>
      </c>
      <c r="X42" s="117">
        <v>0</v>
      </c>
      <c r="Y42" s="117">
        <v>0</v>
      </c>
      <c r="Z42" s="117">
        <v>0</v>
      </c>
      <c r="AA42" s="117">
        <v>0</v>
      </c>
      <c r="AB42" s="121">
        <f t="shared" si="2"/>
        <v>34</v>
      </c>
      <c r="AC42" s="121">
        <f t="shared" si="3"/>
        <v>0</v>
      </c>
    </row>
    <row r="43" spans="1:29" x14ac:dyDescent="0.25">
      <c r="A43" s="60" t="s">
        <v>59</v>
      </c>
      <c r="B43" s="59" t="s">
        <v>149</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21">
        <f t="shared" si="2"/>
        <v>0</v>
      </c>
      <c r="AC43" s="121">
        <f t="shared" si="3"/>
        <v>0</v>
      </c>
    </row>
    <row r="44" spans="1:29" x14ac:dyDescent="0.25">
      <c r="A44" s="57" t="s">
        <v>148</v>
      </c>
      <c r="B44" s="33" t="s">
        <v>147</v>
      </c>
      <c r="C44" s="115">
        <v>0</v>
      </c>
      <c r="D44" s="115">
        <v>0</v>
      </c>
      <c r="E44" s="115">
        <v>0</v>
      </c>
      <c r="F44" s="115">
        <v>0</v>
      </c>
      <c r="G44" s="117">
        <v>0</v>
      </c>
      <c r="H44" s="117">
        <v>0</v>
      </c>
      <c r="I44" s="117">
        <v>0</v>
      </c>
      <c r="J44" s="117">
        <v>0</v>
      </c>
      <c r="K44" s="117">
        <v>0</v>
      </c>
      <c r="L44" s="117">
        <v>0</v>
      </c>
      <c r="M44" s="117">
        <v>0</v>
      </c>
      <c r="N44" s="117">
        <v>0</v>
      </c>
      <c r="O44" s="117">
        <v>0</v>
      </c>
      <c r="P44" s="117">
        <f t="shared" ref="P44:P50" si="7">F44</f>
        <v>0</v>
      </c>
      <c r="Q44" s="117">
        <v>0</v>
      </c>
      <c r="R44" s="117">
        <v>0</v>
      </c>
      <c r="S44" s="117">
        <v>0</v>
      </c>
      <c r="T44" s="117">
        <v>0</v>
      </c>
      <c r="U44" s="117">
        <v>0</v>
      </c>
      <c r="V44" s="117">
        <v>0</v>
      </c>
      <c r="W44" s="117">
        <v>0</v>
      </c>
      <c r="X44" s="117">
        <v>0</v>
      </c>
      <c r="Y44" s="117">
        <v>0</v>
      </c>
      <c r="Z44" s="117">
        <v>0</v>
      </c>
      <c r="AA44" s="117">
        <v>0</v>
      </c>
      <c r="AB44" s="121">
        <f t="shared" si="2"/>
        <v>0</v>
      </c>
      <c r="AC44" s="121">
        <f t="shared" si="3"/>
        <v>0</v>
      </c>
    </row>
    <row r="45" spans="1:29" x14ac:dyDescent="0.25">
      <c r="A45" s="57" t="s">
        <v>146</v>
      </c>
      <c r="B45" s="33" t="s">
        <v>145</v>
      </c>
      <c r="C45" s="115">
        <f>C37</f>
        <v>80</v>
      </c>
      <c r="D45" s="115">
        <v>0</v>
      </c>
      <c r="E45" s="115">
        <f>C45</f>
        <v>80</v>
      </c>
      <c r="F45" s="115">
        <f>E45-G45-H45</f>
        <v>80</v>
      </c>
      <c r="G45" s="117">
        <v>0</v>
      </c>
      <c r="H45" s="117">
        <v>0</v>
      </c>
      <c r="I45" s="117">
        <v>0</v>
      </c>
      <c r="J45" s="117">
        <v>0</v>
      </c>
      <c r="K45" s="117">
        <v>0</v>
      </c>
      <c r="L45" s="117">
        <v>0</v>
      </c>
      <c r="M45" s="117">
        <v>0</v>
      </c>
      <c r="N45" s="117">
        <v>0</v>
      </c>
      <c r="O45" s="117">
        <v>0</v>
      </c>
      <c r="P45" s="117">
        <f t="shared" si="7"/>
        <v>80</v>
      </c>
      <c r="Q45" s="117">
        <v>0</v>
      </c>
      <c r="R45" s="117">
        <v>0</v>
      </c>
      <c r="S45" s="117">
        <v>0</v>
      </c>
      <c r="T45" s="117">
        <v>0</v>
      </c>
      <c r="U45" s="117">
        <v>0</v>
      </c>
      <c r="V45" s="117">
        <v>0</v>
      </c>
      <c r="W45" s="117">
        <v>0</v>
      </c>
      <c r="X45" s="117">
        <v>0</v>
      </c>
      <c r="Y45" s="117">
        <v>0</v>
      </c>
      <c r="Z45" s="117">
        <v>0</v>
      </c>
      <c r="AA45" s="117">
        <v>0</v>
      </c>
      <c r="AB45" s="121">
        <f t="shared" si="2"/>
        <v>80</v>
      </c>
      <c r="AC45" s="121">
        <f t="shared" si="3"/>
        <v>0</v>
      </c>
    </row>
    <row r="46" spans="1:29" x14ac:dyDescent="0.25">
      <c r="A46" s="57" t="s">
        <v>144</v>
      </c>
      <c r="B46" s="33" t="s">
        <v>143</v>
      </c>
      <c r="C46" s="115">
        <v>0</v>
      </c>
      <c r="D46" s="115">
        <v>0</v>
      </c>
      <c r="E46" s="115">
        <v>0</v>
      </c>
      <c r="F46" s="115">
        <v>0</v>
      </c>
      <c r="G46" s="117">
        <v>0</v>
      </c>
      <c r="H46" s="117">
        <v>0</v>
      </c>
      <c r="I46" s="117">
        <v>0</v>
      </c>
      <c r="J46" s="117">
        <v>0</v>
      </c>
      <c r="K46" s="117">
        <v>0</v>
      </c>
      <c r="L46" s="117">
        <v>0</v>
      </c>
      <c r="M46" s="117">
        <v>0</v>
      </c>
      <c r="N46" s="117">
        <v>0</v>
      </c>
      <c r="O46" s="117">
        <v>0</v>
      </c>
      <c r="P46" s="117">
        <f t="shared" si="7"/>
        <v>0</v>
      </c>
      <c r="Q46" s="117">
        <v>0</v>
      </c>
      <c r="R46" s="117">
        <v>0</v>
      </c>
      <c r="S46" s="117">
        <v>0</v>
      </c>
      <c r="T46" s="117">
        <v>0</v>
      </c>
      <c r="U46" s="117">
        <v>0</v>
      </c>
      <c r="V46" s="117">
        <v>0</v>
      </c>
      <c r="W46" s="117">
        <v>0</v>
      </c>
      <c r="X46" s="117">
        <v>0</v>
      </c>
      <c r="Y46" s="117">
        <v>0</v>
      </c>
      <c r="Z46" s="117">
        <v>0</v>
      </c>
      <c r="AA46" s="117">
        <v>0</v>
      </c>
      <c r="AB46" s="121">
        <f t="shared" si="2"/>
        <v>0</v>
      </c>
      <c r="AC46" s="121">
        <f t="shared" si="3"/>
        <v>0</v>
      </c>
    </row>
    <row r="47" spans="1:29" ht="31.5" x14ac:dyDescent="0.25">
      <c r="A47" s="57" t="s">
        <v>142</v>
      </c>
      <c r="B47" s="33" t="s">
        <v>141</v>
      </c>
      <c r="C47" s="115">
        <v>0</v>
      </c>
      <c r="D47" s="115">
        <v>0</v>
      </c>
      <c r="E47" s="115">
        <v>0</v>
      </c>
      <c r="F47" s="115">
        <v>0</v>
      </c>
      <c r="G47" s="117">
        <v>0</v>
      </c>
      <c r="H47" s="117">
        <v>0</v>
      </c>
      <c r="I47" s="117">
        <v>0</v>
      </c>
      <c r="J47" s="117">
        <v>0</v>
      </c>
      <c r="K47" s="117">
        <v>0</v>
      </c>
      <c r="L47" s="117">
        <v>0</v>
      </c>
      <c r="M47" s="117">
        <v>0</v>
      </c>
      <c r="N47" s="117">
        <v>0</v>
      </c>
      <c r="O47" s="117">
        <v>0</v>
      </c>
      <c r="P47" s="117">
        <f t="shared" si="7"/>
        <v>0</v>
      </c>
      <c r="Q47" s="117">
        <v>0</v>
      </c>
      <c r="R47" s="117">
        <v>0</v>
      </c>
      <c r="S47" s="117">
        <v>0</v>
      </c>
      <c r="T47" s="117">
        <v>0</v>
      </c>
      <c r="U47" s="117">
        <v>0</v>
      </c>
      <c r="V47" s="117">
        <v>0</v>
      </c>
      <c r="W47" s="117">
        <v>0</v>
      </c>
      <c r="X47" s="117">
        <v>0</v>
      </c>
      <c r="Y47" s="117">
        <v>0</v>
      </c>
      <c r="Z47" s="117">
        <v>0</v>
      </c>
      <c r="AA47" s="117">
        <v>0</v>
      </c>
      <c r="AB47" s="121">
        <f t="shared" si="2"/>
        <v>0</v>
      </c>
      <c r="AC47" s="121">
        <f t="shared" si="3"/>
        <v>0</v>
      </c>
    </row>
    <row r="48" spans="1:29" ht="31.5" x14ac:dyDescent="0.25">
      <c r="A48" s="57" t="s">
        <v>140</v>
      </c>
      <c r="B48" s="33" t="s">
        <v>139</v>
      </c>
      <c r="C48" s="115">
        <v>0</v>
      </c>
      <c r="D48" s="115">
        <v>0</v>
      </c>
      <c r="E48" s="115">
        <v>0</v>
      </c>
      <c r="F48" s="115">
        <v>0</v>
      </c>
      <c r="G48" s="117">
        <v>0</v>
      </c>
      <c r="H48" s="117">
        <v>0</v>
      </c>
      <c r="I48" s="117">
        <v>0</v>
      </c>
      <c r="J48" s="117">
        <v>0</v>
      </c>
      <c r="K48" s="117">
        <v>0</v>
      </c>
      <c r="L48" s="117">
        <v>0</v>
      </c>
      <c r="M48" s="117">
        <v>0</v>
      </c>
      <c r="N48" s="117">
        <v>0</v>
      </c>
      <c r="O48" s="117">
        <v>0</v>
      </c>
      <c r="P48" s="117">
        <f t="shared" si="7"/>
        <v>0</v>
      </c>
      <c r="Q48" s="117">
        <v>0</v>
      </c>
      <c r="R48" s="117">
        <v>0</v>
      </c>
      <c r="S48" s="117">
        <v>0</v>
      </c>
      <c r="T48" s="117">
        <v>0</v>
      </c>
      <c r="U48" s="117">
        <v>0</v>
      </c>
      <c r="V48" s="117">
        <v>0</v>
      </c>
      <c r="W48" s="117">
        <v>0</v>
      </c>
      <c r="X48" s="117">
        <v>0</v>
      </c>
      <c r="Y48" s="117">
        <v>0</v>
      </c>
      <c r="Z48" s="117">
        <v>0</v>
      </c>
      <c r="AA48" s="117">
        <v>0</v>
      </c>
      <c r="AB48" s="121">
        <f t="shared" si="2"/>
        <v>0</v>
      </c>
      <c r="AC48" s="121">
        <f t="shared" si="3"/>
        <v>0</v>
      </c>
    </row>
    <row r="49" spans="1:29" x14ac:dyDescent="0.25">
      <c r="A49" s="57" t="s">
        <v>138</v>
      </c>
      <c r="B49" s="33" t="s">
        <v>137</v>
      </c>
      <c r="C49" s="115">
        <v>0</v>
      </c>
      <c r="D49" s="115">
        <v>0</v>
      </c>
      <c r="E49" s="115">
        <v>0</v>
      </c>
      <c r="F49" s="115">
        <v>0</v>
      </c>
      <c r="G49" s="117">
        <v>0</v>
      </c>
      <c r="H49" s="117">
        <v>0</v>
      </c>
      <c r="I49" s="117">
        <v>0</v>
      </c>
      <c r="J49" s="117">
        <v>0</v>
      </c>
      <c r="K49" s="117">
        <v>0</v>
      </c>
      <c r="L49" s="117">
        <v>0</v>
      </c>
      <c r="M49" s="117">
        <v>0</v>
      </c>
      <c r="N49" s="117">
        <v>0</v>
      </c>
      <c r="O49" s="117">
        <v>0</v>
      </c>
      <c r="P49" s="117">
        <f t="shared" si="7"/>
        <v>0</v>
      </c>
      <c r="Q49" s="117">
        <v>0</v>
      </c>
      <c r="R49" s="117">
        <v>0</v>
      </c>
      <c r="S49" s="117">
        <v>0</v>
      </c>
      <c r="T49" s="117">
        <v>0</v>
      </c>
      <c r="U49" s="117">
        <v>0</v>
      </c>
      <c r="V49" s="117">
        <v>0</v>
      </c>
      <c r="W49" s="117">
        <v>0</v>
      </c>
      <c r="X49" s="117">
        <v>0</v>
      </c>
      <c r="Y49" s="117">
        <v>0</v>
      </c>
      <c r="Z49" s="117">
        <v>0</v>
      </c>
      <c r="AA49" s="117">
        <v>0</v>
      </c>
      <c r="AB49" s="121">
        <f t="shared" si="2"/>
        <v>0</v>
      </c>
      <c r="AC49" s="121">
        <f t="shared" si="3"/>
        <v>0</v>
      </c>
    </row>
    <row r="50" spans="1:29" ht="18.75" x14ac:dyDescent="0.25">
      <c r="A50" s="57" t="s">
        <v>136</v>
      </c>
      <c r="B50" s="56" t="s">
        <v>534</v>
      </c>
      <c r="C50" s="115">
        <v>34</v>
      </c>
      <c r="D50" s="115">
        <v>0</v>
      </c>
      <c r="E50" s="115">
        <v>34</v>
      </c>
      <c r="F50" s="115">
        <v>34</v>
      </c>
      <c r="G50" s="117">
        <v>0</v>
      </c>
      <c r="H50" s="117">
        <v>0</v>
      </c>
      <c r="I50" s="117">
        <v>0</v>
      </c>
      <c r="J50" s="117">
        <v>0</v>
      </c>
      <c r="K50" s="117">
        <v>0</v>
      </c>
      <c r="L50" s="117">
        <v>0</v>
      </c>
      <c r="M50" s="117">
        <v>0</v>
      </c>
      <c r="N50" s="117">
        <v>0</v>
      </c>
      <c r="O50" s="117">
        <v>0</v>
      </c>
      <c r="P50" s="117">
        <f t="shared" si="7"/>
        <v>34</v>
      </c>
      <c r="Q50" s="117">
        <v>0</v>
      </c>
      <c r="R50" s="117">
        <v>0</v>
      </c>
      <c r="S50" s="117">
        <v>0</v>
      </c>
      <c r="T50" s="117">
        <v>0</v>
      </c>
      <c r="U50" s="117">
        <v>0</v>
      </c>
      <c r="V50" s="117">
        <v>0</v>
      </c>
      <c r="W50" s="117">
        <v>0</v>
      </c>
      <c r="X50" s="117">
        <v>0</v>
      </c>
      <c r="Y50" s="117">
        <v>0</v>
      </c>
      <c r="Z50" s="117">
        <v>0</v>
      </c>
      <c r="AA50" s="117">
        <v>0</v>
      </c>
      <c r="AB50" s="121">
        <f t="shared" si="2"/>
        <v>34</v>
      </c>
      <c r="AC50" s="121">
        <f t="shared" si="3"/>
        <v>0</v>
      </c>
    </row>
    <row r="51" spans="1:29" ht="35.25" customHeight="1" x14ac:dyDescent="0.25">
      <c r="A51" s="60" t="s">
        <v>57</v>
      </c>
      <c r="B51" s="59" t="s">
        <v>135</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21">
        <f t="shared" si="2"/>
        <v>0</v>
      </c>
      <c r="AC51" s="121">
        <f t="shared" si="3"/>
        <v>0</v>
      </c>
    </row>
    <row r="52" spans="1:29" x14ac:dyDescent="0.25">
      <c r="A52" s="57" t="s">
        <v>134</v>
      </c>
      <c r="B52" s="33" t="s">
        <v>133</v>
      </c>
      <c r="C52" s="115">
        <f>C30</f>
        <v>249.60219762390051</v>
      </c>
      <c r="D52" s="115">
        <v>0</v>
      </c>
      <c r="E52" s="115">
        <f>C52</f>
        <v>249.60219762390051</v>
      </c>
      <c r="F52" s="115">
        <f>E52-G52-H52</f>
        <v>249.60219762390051</v>
      </c>
      <c r="G52" s="117">
        <v>0</v>
      </c>
      <c r="H52" s="117">
        <v>0</v>
      </c>
      <c r="I52" s="117">
        <v>0</v>
      </c>
      <c r="J52" s="117">
        <v>0</v>
      </c>
      <c r="K52" s="117">
        <v>0</v>
      </c>
      <c r="L52" s="117">
        <v>0</v>
      </c>
      <c r="M52" s="117">
        <v>0</v>
      </c>
      <c r="N52" s="117">
        <v>0</v>
      </c>
      <c r="O52" s="117">
        <v>0</v>
      </c>
      <c r="P52" s="117">
        <f t="shared" ref="P52:P57" si="8">F52</f>
        <v>249.60219762390051</v>
      </c>
      <c r="Q52" s="117">
        <v>0</v>
      </c>
      <c r="R52" s="117">
        <v>0</v>
      </c>
      <c r="S52" s="117">
        <v>0</v>
      </c>
      <c r="T52" s="117">
        <v>0</v>
      </c>
      <c r="U52" s="117">
        <v>0</v>
      </c>
      <c r="V52" s="117">
        <v>0</v>
      </c>
      <c r="W52" s="117">
        <v>0</v>
      </c>
      <c r="X52" s="117">
        <v>0</v>
      </c>
      <c r="Y52" s="117">
        <v>0</v>
      </c>
      <c r="Z52" s="117">
        <v>0</v>
      </c>
      <c r="AA52" s="117">
        <v>0</v>
      </c>
      <c r="AB52" s="121">
        <f t="shared" si="2"/>
        <v>249.60219762390051</v>
      </c>
      <c r="AC52" s="121">
        <f t="shared" si="3"/>
        <v>0</v>
      </c>
    </row>
    <row r="53" spans="1:29" x14ac:dyDescent="0.25">
      <c r="A53" s="57" t="s">
        <v>132</v>
      </c>
      <c r="B53" s="33" t="s">
        <v>126</v>
      </c>
      <c r="C53" s="115">
        <v>0</v>
      </c>
      <c r="D53" s="115">
        <v>0</v>
      </c>
      <c r="E53" s="115">
        <f>C53</f>
        <v>0</v>
      </c>
      <c r="F53" s="115">
        <f>E53-G53-H53</f>
        <v>0</v>
      </c>
      <c r="G53" s="117">
        <v>0</v>
      </c>
      <c r="H53" s="117">
        <v>0</v>
      </c>
      <c r="I53" s="117">
        <v>0</v>
      </c>
      <c r="J53" s="117">
        <v>0</v>
      </c>
      <c r="K53" s="117">
        <v>0</v>
      </c>
      <c r="L53" s="117">
        <v>0</v>
      </c>
      <c r="M53" s="117">
        <v>0</v>
      </c>
      <c r="N53" s="117">
        <v>0</v>
      </c>
      <c r="O53" s="117">
        <v>0</v>
      </c>
      <c r="P53" s="117">
        <f t="shared" si="8"/>
        <v>0</v>
      </c>
      <c r="Q53" s="117">
        <v>0</v>
      </c>
      <c r="R53" s="117">
        <v>0</v>
      </c>
      <c r="S53" s="117">
        <v>0</v>
      </c>
      <c r="T53" s="117">
        <v>0</v>
      </c>
      <c r="U53" s="117">
        <v>0</v>
      </c>
      <c r="V53" s="117">
        <v>0</v>
      </c>
      <c r="W53" s="117">
        <v>0</v>
      </c>
      <c r="X53" s="117">
        <v>0</v>
      </c>
      <c r="Y53" s="117">
        <v>0</v>
      </c>
      <c r="Z53" s="117">
        <v>0</v>
      </c>
      <c r="AA53" s="117">
        <v>0</v>
      </c>
      <c r="AB53" s="121">
        <f t="shared" si="2"/>
        <v>0</v>
      </c>
      <c r="AC53" s="121">
        <f t="shared" si="3"/>
        <v>0</v>
      </c>
    </row>
    <row r="54" spans="1:29" x14ac:dyDescent="0.25">
      <c r="A54" s="57" t="s">
        <v>131</v>
      </c>
      <c r="B54" s="56" t="s">
        <v>125</v>
      </c>
      <c r="C54" s="115">
        <f>C45</f>
        <v>80</v>
      </c>
      <c r="D54" s="115">
        <v>0</v>
      </c>
      <c r="E54" s="115">
        <f>C54</f>
        <v>80</v>
      </c>
      <c r="F54" s="115">
        <f>E54-G54-H54</f>
        <v>80</v>
      </c>
      <c r="G54" s="117">
        <v>0</v>
      </c>
      <c r="H54" s="117">
        <v>0</v>
      </c>
      <c r="I54" s="117">
        <v>0</v>
      </c>
      <c r="J54" s="117">
        <v>0</v>
      </c>
      <c r="K54" s="117">
        <v>0</v>
      </c>
      <c r="L54" s="117">
        <v>0</v>
      </c>
      <c r="M54" s="117">
        <v>0</v>
      </c>
      <c r="N54" s="117">
        <v>0</v>
      </c>
      <c r="O54" s="117">
        <v>0</v>
      </c>
      <c r="P54" s="117">
        <f t="shared" si="8"/>
        <v>80</v>
      </c>
      <c r="Q54" s="117">
        <v>0</v>
      </c>
      <c r="R54" s="117">
        <v>0</v>
      </c>
      <c r="S54" s="117">
        <v>0</v>
      </c>
      <c r="T54" s="117">
        <v>0</v>
      </c>
      <c r="U54" s="117">
        <v>0</v>
      </c>
      <c r="V54" s="117">
        <v>0</v>
      </c>
      <c r="W54" s="117">
        <v>0</v>
      </c>
      <c r="X54" s="117">
        <v>0</v>
      </c>
      <c r="Y54" s="117">
        <v>0</v>
      </c>
      <c r="Z54" s="117">
        <v>0</v>
      </c>
      <c r="AA54" s="117">
        <v>0</v>
      </c>
      <c r="AB54" s="121">
        <f t="shared" si="2"/>
        <v>80</v>
      </c>
      <c r="AC54" s="121">
        <f t="shared" si="3"/>
        <v>0</v>
      </c>
    </row>
    <row r="55" spans="1:29" x14ac:dyDescent="0.25">
      <c r="A55" s="57" t="s">
        <v>130</v>
      </c>
      <c r="B55" s="56" t="s">
        <v>124</v>
      </c>
      <c r="C55" s="115">
        <v>0</v>
      </c>
      <c r="D55" s="115">
        <v>0</v>
      </c>
      <c r="E55" s="115">
        <v>0</v>
      </c>
      <c r="F55" s="115">
        <v>0</v>
      </c>
      <c r="G55" s="117">
        <v>0</v>
      </c>
      <c r="H55" s="117">
        <v>0</v>
      </c>
      <c r="I55" s="117">
        <v>0</v>
      </c>
      <c r="J55" s="117">
        <v>0</v>
      </c>
      <c r="K55" s="117">
        <v>0</v>
      </c>
      <c r="L55" s="117">
        <v>0</v>
      </c>
      <c r="M55" s="117">
        <v>0</v>
      </c>
      <c r="N55" s="117">
        <v>0</v>
      </c>
      <c r="O55" s="117">
        <v>0</v>
      </c>
      <c r="P55" s="117">
        <f t="shared" si="8"/>
        <v>0</v>
      </c>
      <c r="Q55" s="117">
        <v>0</v>
      </c>
      <c r="R55" s="117">
        <v>0</v>
      </c>
      <c r="S55" s="117">
        <v>0</v>
      </c>
      <c r="T55" s="117">
        <v>0</v>
      </c>
      <c r="U55" s="117">
        <v>0</v>
      </c>
      <c r="V55" s="117">
        <v>0</v>
      </c>
      <c r="W55" s="117">
        <v>0</v>
      </c>
      <c r="X55" s="117">
        <v>0</v>
      </c>
      <c r="Y55" s="117">
        <v>0</v>
      </c>
      <c r="Z55" s="117">
        <v>0</v>
      </c>
      <c r="AA55" s="117">
        <v>0</v>
      </c>
      <c r="AB55" s="121">
        <f t="shared" si="2"/>
        <v>0</v>
      </c>
      <c r="AC55" s="121">
        <f t="shared" si="3"/>
        <v>0</v>
      </c>
    </row>
    <row r="56" spans="1:29" x14ac:dyDescent="0.25">
      <c r="A56" s="57" t="s">
        <v>129</v>
      </c>
      <c r="B56" s="56" t="s">
        <v>123</v>
      </c>
      <c r="C56" s="115">
        <v>0</v>
      </c>
      <c r="D56" s="115">
        <v>0</v>
      </c>
      <c r="E56" s="115">
        <v>0</v>
      </c>
      <c r="F56" s="115">
        <v>0</v>
      </c>
      <c r="G56" s="117">
        <v>0</v>
      </c>
      <c r="H56" s="117">
        <v>0</v>
      </c>
      <c r="I56" s="117">
        <v>0</v>
      </c>
      <c r="J56" s="117">
        <v>0</v>
      </c>
      <c r="K56" s="117">
        <v>0</v>
      </c>
      <c r="L56" s="117">
        <v>0</v>
      </c>
      <c r="M56" s="117">
        <v>0</v>
      </c>
      <c r="N56" s="117">
        <v>0</v>
      </c>
      <c r="O56" s="117">
        <v>0</v>
      </c>
      <c r="P56" s="117">
        <f t="shared" si="8"/>
        <v>0</v>
      </c>
      <c r="Q56" s="117">
        <v>0</v>
      </c>
      <c r="R56" s="117">
        <v>0</v>
      </c>
      <c r="S56" s="117">
        <v>0</v>
      </c>
      <c r="T56" s="117">
        <v>0</v>
      </c>
      <c r="U56" s="117">
        <v>0</v>
      </c>
      <c r="V56" s="117">
        <v>0</v>
      </c>
      <c r="W56" s="117">
        <v>0</v>
      </c>
      <c r="X56" s="117">
        <v>0</v>
      </c>
      <c r="Y56" s="117">
        <v>0</v>
      </c>
      <c r="Z56" s="117">
        <v>0</v>
      </c>
      <c r="AA56" s="117">
        <v>0</v>
      </c>
      <c r="AB56" s="121">
        <f t="shared" si="2"/>
        <v>0</v>
      </c>
      <c r="AC56" s="121">
        <f t="shared" si="3"/>
        <v>0</v>
      </c>
    </row>
    <row r="57" spans="1:29" ht="18.75" x14ac:dyDescent="0.25">
      <c r="A57" s="57" t="s">
        <v>128</v>
      </c>
      <c r="B57" s="56" t="s">
        <v>534</v>
      </c>
      <c r="C57" s="115">
        <v>34</v>
      </c>
      <c r="D57" s="115">
        <v>0</v>
      </c>
      <c r="E57" s="115">
        <v>34</v>
      </c>
      <c r="F57" s="115">
        <v>34</v>
      </c>
      <c r="G57" s="117">
        <v>0</v>
      </c>
      <c r="H57" s="117">
        <v>0</v>
      </c>
      <c r="I57" s="117">
        <v>0</v>
      </c>
      <c r="J57" s="117">
        <v>0</v>
      </c>
      <c r="K57" s="117">
        <v>0</v>
      </c>
      <c r="L57" s="117">
        <v>0</v>
      </c>
      <c r="M57" s="117">
        <v>0</v>
      </c>
      <c r="N57" s="117">
        <v>0</v>
      </c>
      <c r="O57" s="117">
        <v>0</v>
      </c>
      <c r="P57" s="117">
        <f t="shared" si="8"/>
        <v>34</v>
      </c>
      <c r="Q57" s="117">
        <v>0</v>
      </c>
      <c r="R57" s="117">
        <v>0</v>
      </c>
      <c r="S57" s="117">
        <v>0</v>
      </c>
      <c r="T57" s="117">
        <v>0</v>
      </c>
      <c r="U57" s="117">
        <v>0</v>
      </c>
      <c r="V57" s="117">
        <v>0</v>
      </c>
      <c r="W57" s="117">
        <v>0</v>
      </c>
      <c r="X57" s="117">
        <v>0</v>
      </c>
      <c r="Y57" s="117">
        <v>0</v>
      </c>
      <c r="Z57" s="117">
        <v>0</v>
      </c>
      <c r="AA57" s="117">
        <v>0</v>
      </c>
      <c r="AB57" s="121">
        <f t="shared" si="2"/>
        <v>34</v>
      </c>
      <c r="AC57" s="121">
        <f t="shared" si="3"/>
        <v>0</v>
      </c>
    </row>
    <row r="58" spans="1:29" ht="36.75" customHeight="1" x14ac:dyDescent="0.25">
      <c r="A58" s="60" t="s">
        <v>56</v>
      </c>
      <c r="B58" s="71" t="s">
        <v>207</v>
      </c>
      <c r="C58" s="115">
        <v>0</v>
      </c>
      <c r="D58" s="115">
        <v>0</v>
      </c>
      <c r="E58" s="115">
        <v>0</v>
      </c>
      <c r="F58" s="115">
        <v>0</v>
      </c>
      <c r="G58" s="115">
        <v>0</v>
      </c>
      <c r="H58" s="115">
        <v>0</v>
      </c>
      <c r="I58" s="115">
        <v>0</v>
      </c>
      <c r="J58" s="115">
        <v>0</v>
      </c>
      <c r="K58" s="115">
        <v>0</v>
      </c>
      <c r="L58" s="115">
        <v>0</v>
      </c>
      <c r="M58" s="115">
        <v>0</v>
      </c>
      <c r="N58" s="115">
        <v>0</v>
      </c>
      <c r="O58" s="115">
        <v>0</v>
      </c>
      <c r="P58" s="115">
        <v>0</v>
      </c>
      <c r="Q58" s="115">
        <v>0</v>
      </c>
      <c r="R58" s="115">
        <v>0</v>
      </c>
      <c r="S58" s="115">
        <v>0</v>
      </c>
      <c r="T58" s="115">
        <v>0</v>
      </c>
      <c r="U58" s="115">
        <v>0</v>
      </c>
      <c r="V58" s="115">
        <v>0</v>
      </c>
      <c r="W58" s="115">
        <v>0</v>
      </c>
      <c r="X58" s="115">
        <v>0</v>
      </c>
      <c r="Y58" s="115">
        <v>0</v>
      </c>
      <c r="Z58" s="115">
        <v>0</v>
      </c>
      <c r="AA58" s="115">
        <v>0</v>
      </c>
      <c r="AB58" s="121">
        <f t="shared" si="2"/>
        <v>0</v>
      </c>
      <c r="AC58" s="121">
        <f t="shared" si="3"/>
        <v>0</v>
      </c>
    </row>
    <row r="59" spans="1:29" x14ac:dyDescent="0.25">
      <c r="A59" s="60" t="s">
        <v>54</v>
      </c>
      <c r="B59" s="59" t="s">
        <v>127</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21">
        <f t="shared" si="2"/>
        <v>0</v>
      </c>
      <c r="AC59" s="121">
        <f t="shared" si="3"/>
        <v>0</v>
      </c>
    </row>
    <row r="60" spans="1:29" x14ac:dyDescent="0.25">
      <c r="A60" s="57" t="s">
        <v>201</v>
      </c>
      <c r="B60" s="58" t="s">
        <v>147</v>
      </c>
      <c r="C60" s="115">
        <v>0</v>
      </c>
      <c r="D60" s="115">
        <v>0</v>
      </c>
      <c r="E60" s="115">
        <v>0</v>
      </c>
      <c r="F60" s="115">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21">
        <f t="shared" si="2"/>
        <v>0</v>
      </c>
      <c r="AC60" s="121">
        <f t="shared" si="3"/>
        <v>0</v>
      </c>
    </row>
    <row r="61" spans="1:29" x14ac:dyDescent="0.25">
      <c r="A61" s="57" t="s">
        <v>202</v>
      </c>
      <c r="B61" s="58" t="s">
        <v>145</v>
      </c>
      <c r="C61" s="115">
        <v>0</v>
      </c>
      <c r="D61" s="115">
        <v>0</v>
      </c>
      <c r="E61" s="115">
        <v>0</v>
      </c>
      <c r="F61" s="115">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v>0</v>
      </c>
      <c r="Z61" s="117">
        <v>0</v>
      </c>
      <c r="AA61" s="117">
        <v>0</v>
      </c>
      <c r="AB61" s="121">
        <f t="shared" si="2"/>
        <v>0</v>
      </c>
      <c r="AC61" s="121">
        <f t="shared" si="3"/>
        <v>0</v>
      </c>
    </row>
    <row r="62" spans="1:29" x14ac:dyDescent="0.25">
      <c r="A62" s="57" t="s">
        <v>203</v>
      </c>
      <c r="B62" s="58" t="s">
        <v>143</v>
      </c>
      <c r="C62" s="115">
        <v>0</v>
      </c>
      <c r="D62" s="115">
        <v>0</v>
      </c>
      <c r="E62" s="115">
        <v>0</v>
      </c>
      <c r="F62" s="115">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21">
        <f t="shared" si="2"/>
        <v>0</v>
      </c>
      <c r="AC62" s="121">
        <f t="shared" si="3"/>
        <v>0</v>
      </c>
    </row>
    <row r="63" spans="1:29" x14ac:dyDescent="0.25">
      <c r="A63" s="57" t="s">
        <v>204</v>
      </c>
      <c r="B63" s="58" t="s">
        <v>206</v>
      </c>
      <c r="C63" s="115">
        <v>0</v>
      </c>
      <c r="D63" s="115">
        <v>0</v>
      </c>
      <c r="E63" s="115">
        <v>0</v>
      </c>
      <c r="F63" s="115">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21">
        <f t="shared" si="2"/>
        <v>0</v>
      </c>
      <c r="AC63" s="121">
        <f t="shared" si="3"/>
        <v>0</v>
      </c>
    </row>
    <row r="64" spans="1:29" ht="18.75" x14ac:dyDescent="0.25">
      <c r="A64" s="57" t="s">
        <v>205</v>
      </c>
      <c r="B64" s="56" t="s">
        <v>122</v>
      </c>
      <c r="C64" s="115">
        <v>0</v>
      </c>
      <c r="D64" s="115">
        <v>0</v>
      </c>
      <c r="E64" s="115">
        <v>0</v>
      </c>
      <c r="F64" s="115">
        <v>0</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0</v>
      </c>
      <c r="AA64" s="117">
        <v>0</v>
      </c>
      <c r="AB64" s="121">
        <f t="shared" si="2"/>
        <v>0</v>
      </c>
      <c r="AC64" s="121">
        <f t="shared" si="3"/>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82"/>
      <c r="C66" s="482"/>
      <c r="D66" s="482"/>
      <c r="E66" s="482"/>
      <c r="F66" s="482"/>
      <c r="G66" s="482"/>
      <c r="H66" s="482"/>
      <c r="I66" s="482"/>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83"/>
      <c r="C68" s="483"/>
      <c r="D68" s="483"/>
      <c r="E68" s="483"/>
      <c r="F68" s="483"/>
      <c r="G68" s="483"/>
      <c r="H68" s="483"/>
      <c r="I68" s="483"/>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82"/>
      <c r="C70" s="482"/>
      <c r="D70" s="482"/>
      <c r="E70" s="482"/>
      <c r="F70" s="482"/>
      <c r="G70" s="482"/>
      <c r="H70" s="482"/>
      <c r="I70" s="482"/>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82"/>
      <c r="C72" s="482"/>
      <c r="D72" s="482"/>
      <c r="E72" s="482"/>
      <c r="F72" s="482"/>
      <c r="G72" s="482"/>
      <c r="H72" s="482"/>
      <c r="I72" s="482"/>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83"/>
      <c r="C73" s="483"/>
      <c r="D73" s="483"/>
      <c r="E73" s="483"/>
      <c r="F73" s="483"/>
      <c r="G73" s="483"/>
      <c r="H73" s="483"/>
      <c r="I73" s="483"/>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82"/>
      <c r="C74" s="482"/>
      <c r="D74" s="482"/>
      <c r="E74" s="482"/>
      <c r="F74" s="482"/>
      <c r="G74" s="482"/>
      <c r="H74" s="482"/>
      <c r="I74" s="482"/>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89"/>
      <c r="C75" s="489"/>
      <c r="D75" s="489"/>
      <c r="E75" s="489"/>
      <c r="F75" s="489"/>
      <c r="G75" s="489"/>
      <c r="H75" s="489"/>
      <c r="I75" s="489"/>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81"/>
      <c r="C77" s="481"/>
      <c r="D77" s="481"/>
      <c r="E77" s="481"/>
      <c r="F77" s="481"/>
      <c r="G77" s="481"/>
      <c r="H77" s="481"/>
      <c r="I77" s="481"/>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1" priority="26" operator="notEqual">
      <formula>0</formula>
    </cfRule>
  </conditionalFormatting>
  <conditionalFormatting sqref="AB24:AB64">
    <cfRule type="cellIs" dxfId="40" priority="25" operator="notEqual">
      <formula>0</formula>
    </cfRule>
  </conditionalFormatting>
  <conditionalFormatting sqref="I34 K25:M29 K46:K49 K55:K56 K51:M51 K58:M64 Q44:Q50 M46:M50 L45:L50 Q52:Q57 L52:M57 O52:O57 O35:Q43 O44:O50 O58:Q64 O51:Q51 O25:Q29 P31:Q34 K31:M44">
    <cfRule type="cellIs" dxfId="39" priority="24" operator="notEqual">
      <formula>0</formula>
    </cfRule>
  </conditionalFormatting>
  <conditionalFormatting sqref="G30:I30 K30:M30 O30:Y30">
    <cfRule type="cellIs" dxfId="38" priority="23" operator="notEqual">
      <formula>0</formula>
    </cfRule>
  </conditionalFormatting>
  <conditionalFormatting sqref="E45:I45">
    <cfRule type="cellIs" dxfId="37" priority="22" operator="notEqual">
      <formula>0</formula>
    </cfRule>
  </conditionalFormatting>
  <conditionalFormatting sqref="K45 M45">
    <cfRule type="cellIs" dxfId="36" priority="21" operator="notEqual">
      <formula>0</formula>
    </cfRule>
  </conditionalFormatting>
  <conditionalFormatting sqref="E52:I54">
    <cfRule type="cellIs" dxfId="35" priority="20" operator="notEqual">
      <formula>0</formula>
    </cfRule>
  </conditionalFormatting>
  <conditionalFormatting sqref="K52:K54">
    <cfRule type="cellIs" dxfId="34" priority="19" operator="notEqual">
      <formula>0</formula>
    </cfRule>
  </conditionalFormatting>
  <conditionalFormatting sqref="K50">
    <cfRule type="cellIs" dxfId="33" priority="17" operator="notEqual">
      <formula>0</formula>
    </cfRule>
  </conditionalFormatting>
  <conditionalFormatting sqref="K57">
    <cfRule type="cellIs" dxfId="32" priority="15" operator="notEqual">
      <formula>0</formula>
    </cfRule>
  </conditionalFormatting>
  <conditionalFormatting sqref="P44:P50">
    <cfRule type="cellIs" dxfId="31" priority="14" operator="notEqual">
      <formula>0</formula>
    </cfRule>
  </conditionalFormatting>
  <conditionalFormatting sqref="P52:P57">
    <cfRule type="cellIs" dxfId="30" priority="13" operator="notEqual">
      <formula>0</formula>
    </cfRule>
  </conditionalFormatting>
  <conditionalFormatting sqref="D24:D64">
    <cfRule type="cellIs" dxfId="29" priority="12" operator="notEqual">
      <formula>0</formula>
    </cfRule>
  </conditionalFormatting>
  <conditionalFormatting sqref="Z31:AA64 Z24:AA29">
    <cfRule type="cellIs" dxfId="28" priority="11" operator="notEqual">
      <formula>0</formula>
    </cfRule>
  </conditionalFormatting>
  <conditionalFormatting sqref="Z30:AA30">
    <cfRule type="cellIs" dxfId="27" priority="10" operator="notEqual">
      <formula>0</formula>
    </cfRule>
  </conditionalFormatting>
  <conditionalFormatting sqref="J55:J64 J46:J51 J31:J44 J24:J29">
    <cfRule type="cellIs" dxfId="26" priority="9" operator="notEqual">
      <formula>0</formula>
    </cfRule>
  </conditionalFormatting>
  <conditionalFormatting sqref="J30">
    <cfRule type="cellIs" dxfId="25" priority="8" operator="notEqual">
      <formula>0</formula>
    </cfRule>
  </conditionalFormatting>
  <conditionalFormatting sqref="J45">
    <cfRule type="cellIs" dxfId="24" priority="7" operator="notEqual">
      <formula>0</formula>
    </cfRule>
  </conditionalFormatting>
  <conditionalFormatting sqref="J52:J54">
    <cfRule type="cellIs" dxfId="23" priority="6" operator="notEqual">
      <formula>0</formula>
    </cfRule>
  </conditionalFormatting>
  <conditionalFormatting sqref="AC24:AC64">
    <cfRule type="cellIs" dxfId="22" priority="5" operator="notEqual">
      <formula>0</formula>
    </cfRule>
  </conditionalFormatting>
  <conditionalFormatting sqref="N24">
    <cfRule type="cellIs" dxfId="21" priority="4" operator="notEqual">
      <formula>0</formula>
    </cfRule>
  </conditionalFormatting>
  <conditionalFormatting sqref="N25:N29 N31:N64">
    <cfRule type="cellIs" dxfId="20" priority="3" operator="notEqual">
      <formula>0</formula>
    </cfRule>
  </conditionalFormatting>
  <conditionalFormatting sqref="N30">
    <cfRule type="cellIs" dxfId="19" priority="2" operator="notEqual">
      <formula>0</formula>
    </cfRule>
  </conditionalFormatting>
  <conditionalFormatting sqref="O31:O34">
    <cfRule type="cellIs" dxfId="1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tabSelected="1" topLeftCell="A12" zoomScale="70" zoomScaleNormal="70" zoomScaleSheetLayoutView="70" workbookViewId="0">
      <selection activeCell="M25" sqref="M25"/>
    </sheetView>
  </sheetViews>
  <sheetFormatPr defaultColWidth="9.140625" defaultRowHeight="15.75" x14ac:dyDescent="0.25"/>
  <cols>
    <col min="1" max="1" width="9.140625" style="44"/>
    <col min="2" max="2" width="57.85546875" style="44" customWidth="1"/>
    <col min="3" max="4" width="17.85546875" style="44" customWidth="1"/>
    <col min="5" max="5" width="19" style="44" customWidth="1"/>
    <col min="6" max="6" width="19" style="44" hidden="1" customWidth="1"/>
    <col min="7" max="7" width="18.42578125" style="44" customWidth="1"/>
    <col min="8" max="8" width="13" style="44" customWidth="1"/>
    <col min="9" max="9" width="13" style="44" hidden="1" customWidth="1"/>
    <col min="10" max="17" width="9.28515625" style="44" customWidth="1"/>
    <col min="18" max="29" width="8.5703125" style="44" customWidth="1"/>
    <col min="30" max="30" width="17.28515625" style="44" customWidth="1"/>
    <col min="31" max="31" width="18.140625" style="44" customWidth="1"/>
    <col min="32" max="32" width="9.140625" style="44"/>
    <col min="33" max="33" width="62.42578125" style="44" customWidth="1"/>
    <col min="34" max="16384" width="9.140625" style="44"/>
  </cols>
  <sheetData>
    <row r="1" spans="1:30" ht="18.75" x14ac:dyDescent="0.25">
      <c r="AD1" s="249" t="s">
        <v>66</v>
      </c>
    </row>
    <row r="2" spans="1:30" ht="18.75" x14ac:dyDescent="0.3">
      <c r="AD2" s="250" t="s">
        <v>8</v>
      </c>
    </row>
    <row r="3" spans="1:30" ht="18.75" x14ac:dyDescent="0.3">
      <c r="AD3" s="250" t="s">
        <v>65</v>
      </c>
    </row>
    <row r="4" spans="1:30" ht="18.75" customHeight="1" x14ac:dyDescent="0.25">
      <c r="A4" s="509" t="str">
        <f>'6.1. Паспорт сетевой график'!A5:K5</f>
        <v>Год раскрытия информации: 2022 год</v>
      </c>
      <c r="B4" s="509"/>
      <c r="C4" s="509"/>
      <c r="D4" s="509"/>
      <c r="E4" s="509"/>
      <c r="F4" s="509"/>
      <c r="G4" s="509"/>
      <c r="H4" s="509"/>
      <c r="I4" s="509"/>
      <c r="J4" s="509"/>
      <c r="K4" s="509"/>
      <c r="L4" s="509"/>
      <c r="M4" s="509"/>
      <c r="N4" s="509"/>
      <c r="O4" s="509"/>
      <c r="P4" s="509"/>
      <c r="Q4" s="509"/>
      <c r="R4" s="509"/>
      <c r="S4" s="509"/>
      <c r="T4" s="509"/>
      <c r="U4" s="509"/>
      <c r="V4" s="509"/>
      <c r="W4" s="509"/>
      <c r="X4" s="509"/>
      <c r="Y4" s="509"/>
      <c r="Z4" s="509"/>
      <c r="AA4" s="509"/>
      <c r="AB4" s="509"/>
      <c r="AC4" s="509"/>
      <c r="AD4" s="509"/>
    </row>
    <row r="5" spans="1:30" ht="18.75" x14ac:dyDescent="0.3">
      <c r="AD5" s="250"/>
    </row>
    <row r="6" spans="1:30" ht="18.75" x14ac:dyDescent="0.25">
      <c r="A6" s="510" t="s">
        <v>7</v>
      </c>
      <c r="B6" s="510"/>
      <c r="C6" s="510"/>
      <c r="D6" s="510"/>
      <c r="E6" s="510"/>
      <c r="F6" s="510"/>
      <c r="G6" s="510"/>
      <c r="H6" s="510"/>
      <c r="I6" s="510"/>
      <c r="J6" s="510"/>
      <c r="K6" s="510"/>
      <c r="L6" s="510"/>
      <c r="M6" s="510"/>
      <c r="N6" s="510"/>
      <c r="O6" s="510"/>
      <c r="P6" s="510"/>
      <c r="Q6" s="510"/>
      <c r="R6" s="510"/>
      <c r="S6" s="510"/>
      <c r="T6" s="510"/>
      <c r="U6" s="510"/>
      <c r="V6" s="510"/>
      <c r="W6" s="510"/>
      <c r="X6" s="510"/>
      <c r="Y6" s="510"/>
      <c r="Z6" s="510"/>
      <c r="AA6" s="510"/>
      <c r="AB6" s="510"/>
      <c r="AC6" s="510"/>
      <c r="AD6" s="510"/>
    </row>
    <row r="7" spans="1:30" ht="18.75" x14ac:dyDescent="0.25">
      <c r="A7" s="355"/>
      <c r="B7" s="355"/>
      <c r="C7" s="355"/>
      <c r="D7" s="355"/>
      <c r="E7" s="355"/>
      <c r="F7" s="355"/>
      <c r="G7" s="355"/>
      <c r="H7" s="355"/>
      <c r="I7" s="355"/>
      <c r="J7" s="356"/>
      <c r="K7" s="356"/>
      <c r="L7" s="356"/>
      <c r="M7" s="356"/>
      <c r="N7" s="356"/>
      <c r="O7" s="356"/>
      <c r="P7" s="356"/>
      <c r="Q7" s="356"/>
      <c r="R7" s="356"/>
      <c r="S7" s="356"/>
      <c r="T7" s="356"/>
      <c r="U7" s="356"/>
      <c r="V7" s="356"/>
      <c r="W7" s="356"/>
      <c r="X7" s="356"/>
      <c r="Y7" s="356"/>
      <c r="Z7" s="356"/>
      <c r="AA7" s="356"/>
      <c r="AB7" s="356"/>
      <c r="AC7" s="356"/>
      <c r="AD7" s="356"/>
    </row>
    <row r="8" spans="1:30" x14ac:dyDescent="0.25">
      <c r="A8" s="511" t="str">
        <f>'6.1. Паспорт сетевой график'!A9</f>
        <v xml:space="preserve">Акционерное общество "Западная энергетическая компания" </v>
      </c>
      <c r="B8" s="511"/>
      <c r="C8" s="511"/>
      <c r="D8" s="511"/>
      <c r="E8" s="511"/>
      <c r="F8" s="511"/>
      <c r="G8" s="511"/>
      <c r="H8" s="511"/>
      <c r="I8" s="511"/>
      <c r="J8" s="511"/>
      <c r="K8" s="511"/>
      <c r="L8" s="511"/>
      <c r="M8" s="511"/>
      <c r="N8" s="511"/>
      <c r="O8" s="511"/>
      <c r="P8" s="511"/>
      <c r="Q8" s="511"/>
      <c r="R8" s="511"/>
      <c r="S8" s="511"/>
      <c r="T8" s="511"/>
      <c r="U8" s="511"/>
      <c r="V8" s="511"/>
      <c r="W8" s="511"/>
      <c r="X8" s="511"/>
      <c r="Y8" s="511"/>
      <c r="Z8" s="511"/>
      <c r="AA8" s="511"/>
      <c r="AB8" s="511"/>
      <c r="AC8" s="511"/>
      <c r="AD8" s="511"/>
    </row>
    <row r="9" spans="1:30" ht="18.75" customHeight="1" x14ac:dyDescent="0.25">
      <c r="A9" s="469" t="s">
        <v>6</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c r="AD9" s="469"/>
    </row>
    <row r="10" spans="1:30" ht="18.75" x14ac:dyDescent="0.25">
      <c r="A10" s="355"/>
      <c r="B10" s="355"/>
      <c r="C10" s="355"/>
      <c r="D10" s="355"/>
      <c r="E10" s="355"/>
      <c r="F10" s="355"/>
      <c r="G10" s="355"/>
      <c r="H10" s="355"/>
      <c r="I10" s="355"/>
      <c r="J10" s="356"/>
      <c r="K10" s="356"/>
      <c r="L10" s="356"/>
      <c r="M10" s="356"/>
      <c r="N10" s="356"/>
      <c r="O10" s="356"/>
      <c r="P10" s="356"/>
      <c r="Q10" s="356"/>
      <c r="R10" s="356"/>
      <c r="S10" s="356"/>
      <c r="T10" s="356"/>
      <c r="U10" s="356"/>
      <c r="V10" s="356"/>
      <c r="W10" s="356"/>
      <c r="X10" s="356"/>
      <c r="Y10" s="356"/>
      <c r="Z10" s="356"/>
      <c r="AA10" s="356"/>
      <c r="AB10" s="356"/>
      <c r="AC10" s="356"/>
      <c r="AD10" s="356"/>
    </row>
    <row r="11" spans="1:30" x14ac:dyDescent="0.25">
      <c r="A11" s="511" t="str">
        <f>'6.1. Паспорт сетевой график'!A12</f>
        <v>M 22-01</v>
      </c>
      <c r="B11" s="511"/>
      <c r="C11" s="511"/>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1"/>
      <c r="AC11" s="511"/>
      <c r="AD11" s="511"/>
    </row>
    <row r="12" spans="1:30" x14ac:dyDescent="0.25">
      <c r="A12" s="469" t="s">
        <v>5</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row>
    <row r="13" spans="1:30" ht="16.5" customHeight="1" x14ac:dyDescent="0.3">
      <c r="A13" s="160"/>
      <c r="B13" s="160"/>
      <c r="C13" s="160"/>
      <c r="D13" s="160"/>
      <c r="E13" s="160"/>
      <c r="F13" s="160"/>
      <c r="G13" s="160"/>
      <c r="H13" s="160"/>
      <c r="I13" s="160"/>
      <c r="J13" s="66"/>
      <c r="K13" s="66"/>
      <c r="L13" s="66"/>
      <c r="M13" s="66"/>
      <c r="N13" s="66"/>
      <c r="O13" s="66"/>
      <c r="P13" s="66"/>
      <c r="Q13" s="66"/>
      <c r="R13" s="66"/>
      <c r="S13" s="66"/>
      <c r="T13" s="66"/>
      <c r="U13" s="66"/>
      <c r="V13" s="66"/>
      <c r="W13" s="66"/>
      <c r="X13" s="66"/>
      <c r="Y13" s="66"/>
      <c r="Z13" s="66"/>
      <c r="AA13" s="66"/>
      <c r="AB13" s="66"/>
      <c r="AC13" s="66"/>
      <c r="AD13" s="66"/>
    </row>
    <row r="14" spans="1:30" ht="36" customHeight="1" x14ac:dyDescent="0.25">
      <c r="A14" s="498" t="str">
        <f>'6.1. Паспорт сетевой график'!A15</f>
        <v>Строительство второй очереди ПС 110 Прибрежная с установкой второго трансформатора 10МВА г. Калининград, пос. Прибрежный</v>
      </c>
      <c r="B14" s="498"/>
      <c r="C14" s="498"/>
      <c r="D14" s="498"/>
      <c r="E14" s="498"/>
      <c r="F14" s="498"/>
      <c r="G14" s="498"/>
      <c r="H14" s="498"/>
      <c r="I14" s="498"/>
      <c r="J14" s="498"/>
      <c r="K14" s="498"/>
      <c r="L14" s="498"/>
      <c r="M14" s="498"/>
      <c r="N14" s="498"/>
      <c r="O14" s="498"/>
      <c r="P14" s="498"/>
      <c r="Q14" s="498"/>
      <c r="R14" s="498"/>
      <c r="S14" s="498"/>
      <c r="T14" s="498"/>
      <c r="U14" s="498"/>
      <c r="V14" s="498"/>
      <c r="W14" s="498"/>
      <c r="X14" s="498"/>
      <c r="Y14" s="498"/>
      <c r="Z14" s="498"/>
      <c r="AA14" s="498"/>
      <c r="AB14" s="498"/>
      <c r="AC14" s="498"/>
      <c r="AD14" s="498"/>
    </row>
    <row r="15" spans="1:30" ht="15.75" customHeight="1" x14ac:dyDescent="0.25">
      <c r="A15" s="469" t="s">
        <v>4</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c r="AD15" s="469"/>
    </row>
    <row r="16" spans="1:30"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c r="AD16" s="493"/>
    </row>
    <row r="18" spans="1:33" x14ac:dyDescent="0.25">
      <c r="A18" s="493" t="s">
        <v>393</v>
      </c>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c r="AD18" s="493"/>
    </row>
    <row r="19" spans="1:33" ht="49.5" hidden="1" customHeight="1" x14ac:dyDescent="0.25">
      <c r="E19" s="388" t="s">
        <v>572</v>
      </c>
      <c r="F19" s="388" t="s">
        <v>572</v>
      </c>
      <c r="G19" s="388" t="s">
        <v>573</v>
      </c>
      <c r="H19" s="388" t="s">
        <v>574</v>
      </c>
      <c r="I19" s="388" t="s">
        <v>574</v>
      </c>
      <c r="M19" s="357"/>
    </row>
    <row r="20" spans="1:33" ht="33" customHeight="1" x14ac:dyDescent="0.25">
      <c r="A20" s="499" t="s">
        <v>183</v>
      </c>
      <c r="B20" s="499" t="s">
        <v>182</v>
      </c>
      <c r="C20" s="503" t="s">
        <v>181</v>
      </c>
      <c r="D20" s="504"/>
      <c r="E20" s="503" t="s">
        <v>180</v>
      </c>
      <c r="F20" s="507"/>
      <c r="G20" s="504"/>
      <c r="H20" s="499" t="s">
        <v>580</v>
      </c>
      <c r="I20" s="499" t="s">
        <v>581</v>
      </c>
      <c r="J20" s="512">
        <v>2020</v>
      </c>
      <c r="K20" s="512"/>
      <c r="L20" s="512"/>
      <c r="M20" s="512"/>
      <c r="N20" s="513">
        <v>2021</v>
      </c>
      <c r="O20" s="514"/>
      <c r="P20" s="514"/>
      <c r="Q20" s="515"/>
      <c r="R20" s="513">
        <v>2022</v>
      </c>
      <c r="S20" s="514"/>
      <c r="T20" s="514"/>
      <c r="U20" s="514"/>
      <c r="V20" s="514">
        <v>2023</v>
      </c>
      <c r="W20" s="514"/>
      <c r="X20" s="514"/>
      <c r="Y20" s="514"/>
      <c r="Z20" s="514">
        <v>2024</v>
      </c>
      <c r="AA20" s="514"/>
      <c r="AB20" s="514"/>
      <c r="AC20" s="515"/>
      <c r="AD20" s="502" t="s">
        <v>179</v>
      </c>
      <c r="AE20" s="502"/>
    </row>
    <row r="21" spans="1:33" ht="99.75" customHeight="1" x14ac:dyDescent="0.25">
      <c r="A21" s="500"/>
      <c r="B21" s="500"/>
      <c r="C21" s="505"/>
      <c r="D21" s="506"/>
      <c r="E21" s="505"/>
      <c r="F21" s="508"/>
      <c r="G21" s="506"/>
      <c r="H21" s="500"/>
      <c r="I21" s="500"/>
      <c r="J21" s="497" t="s">
        <v>541</v>
      </c>
      <c r="K21" s="497"/>
      <c r="L21" s="497" t="s">
        <v>9</v>
      </c>
      <c r="M21" s="497"/>
      <c r="N21" s="497" t="s">
        <v>541</v>
      </c>
      <c r="O21" s="497"/>
      <c r="P21" s="497" t="s">
        <v>9</v>
      </c>
      <c r="Q21" s="497"/>
      <c r="R21" s="497" t="s">
        <v>541</v>
      </c>
      <c r="S21" s="497"/>
      <c r="T21" s="497" t="s">
        <v>178</v>
      </c>
      <c r="U21" s="497"/>
      <c r="V21" s="497" t="s">
        <v>541</v>
      </c>
      <c r="W21" s="497"/>
      <c r="X21" s="497" t="s">
        <v>178</v>
      </c>
      <c r="Y21" s="497"/>
      <c r="Z21" s="497" t="s">
        <v>541</v>
      </c>
      <c r="AA21" s="497"/>
      <c r="AB21" s="497" t="s">
        <v>178</v>
      </c>
      <c r="AC21" s="497"/>
      <c r="AD21" s="502"/>
      <c r="AE21" s="502"/>
    </row>
    <row r="22" spans="1:33" ht="89.25" customHeight="1" x14ac:dyDescent="0.25">
      <c r="A22" s="501"/>
      <c r="B22" s="501"/>
      <c r="C22" s="388" t="s">
        <v>541</v>
      </c>
      <c r="D22" s="358" t="s">
        <v>178</v>
      </c>
      <c r="E22" s="388" t="s">
        <v>566</v>
      </c>
      <c r="F22" s="388" t="s">
        <v>579</v>
      </c>
      <c r="G22" s="388" t="s">
        <v>662</v>
      </c>
      <c r="H22" s="501"/>
      <c r="I22" s="501"/>
      <c r="J22" s="359" t="s">
        <v>375</v>
      </c>
      <c r="K22" s="359" t="s">
        <v>376</v>
      </c>
      <c r="L22" s="359" t="s">
        <v>375</v>
      </c>
      <c r="M22" s="359" t="s">
        <v>376</v>
      </c>
      <c r="N22" s="359" t="s">
        <v>375</v>
      </c>
      <c r="O22" s="359" t="s">
        <v>376</v>
      </c>
      <c r="P22" s="359" t="s">
        <v>375</v>
      </c>
      <c r="Q22" s="359" t="s">
        <v>376</v>
      </c>
      <c r="R22" s="359" t="s">
        <v>375</v>
      </c>
      <c r="S22" s="359" t="s">
        <v>376</v>
      </c>
      <c r="T22" s="359" t="s">
        <v>375</v>
      </c>
      <c r="U22" s="359" t="s">
        <v>376</v>
      </c>
      <c r="V22" s="359" t="s">
        <v>375</v>
      </c>
      <c r="W22" s="359" t="s">
        <v>376</v>
      </c>
      <c r="X22" s="359" t="s">
        <v>375</v>
      </c>
      <c r="Y22" s="359" t="s">
        <v>376</v>
      </c>
      <c r="Z22" s="359" t="s">
        <v>375</v>
      </c>
      <c r="AA22" s="359" t="s">
        <v>376</v>
      </c>
      <c r="AB22" s="359" t="s">
        <v>375</v>
      </c>
      <c r="AC22" s="359" t="s">
        <v>376</v>
      </c>
      <c r="AD22" s="360" t="s">
        <v>541</v>
      </c>
      <c r="AE22" s="360" t="s">
        <v>543</v>
      </c>
    </row>
    <row r="23" spans="1:33" ht="19.5" customHeight="1" x14ac:dyDescent="0.25">
      <c r="A23" s="390">
        <v>1</v>
      </c>
      <c r="B23" s="390">
        <v>2</v>
      </c>
      <c r="C23" s="390">
        <v>4</v>
      </c>
      <c r="D23" s="360">
        <v>5</v>
      </c>
      <c r="E23" s="390">
        <v>6</v>
      </c>
      <c r="F23" s="390">
        <v>6</v>
      </c>
      <c r="G23" s="390">
        <v>7</v>
      </c>
      <c r="H23" s="390">
        <v>8</v>
      </c>
      <c r="I23" s="360"/>
      <c r="J23" s="390">
        <v>9</v>
      </c>
      <c r="K23" s="390">
        <v>10</v>
      </c>
      <c r="L23" s="360">
        <v>11</v>
      </c>
      <c r="M23" s="360">
        <v>12</v>
      </c>
      <c r="N23" s="390">
        <v>13</v>
      </c>
      <c r="O23" s="390">
        <v>14</v>
      </c>
      <c r="P23" s="360">
        <v>15</v>
      </c>
      <c r="Q23" s="360">
        <v>16</v>
      </c>
      <c r="R23" s="390">
        <v>17</v>
      </c>
      <c r="S23" s="390">
        <v>18</v>
      </c>
      <c r="T23" s="360">
        <v>19</v>
      </c>
      <c r="U23" s="360">
        <v>20</v>
      </c>
      <c r="V23" s="390">
        <v>21</v>
      </c>
      <c r="W23" s="390">
        <v>22</v>
      </c>
      <c r="X23" s="360">
        <v>23</v>
      </c>
      <c r="Y23" s="360">
        <v>24</v>
      </c>
      <c r="Z23" s="390">
        <v>25</v>
      </c>
      <c r="AA23" s="390">
        <v>26</v>
      </c>
      <c r="AB23" s="360">
        <v>27</v>
      </c>
      <c r="AC23" s="360">
        <v>28</v>
      </c>
      <c r="AD23" s="389">
        <v>29</v>
      </c>
      <c r="AE23" s="389">
        <v>30</v>
      </c>
    </row>
    <row r="24" spans="1:33" ht="47.25" customHeight="1" x14ac:dyDescent="0.25">
      <c r="A24" s="57">
        <v>1</v>
      </c>
      <c r="B24" s="33" t="s">
        <v>177</v>
      </c>
      <c r="C24" s="117" t="s">
        <v>544</v>
      </c>
      <c r="D24" s="361">
        <f>SUM(D25:D29)</f>
        <v>222.686191279128</v>
      </c>
      <c r="E24" s="117">
        <f>D24</f>
        <v>222.686191279128</v>
      </c>
      <c r="F24" s="117">
        <f>E24</f>
        <v>222.686191279128</v>
      </c>
      <c r="G24" s="117">
        <f t="shared" ref="G24:G64" si="0">F24-L24</f>
        <v>222.686191279128</v>
      </c>
      <c r="H24" s="117">
        <f>H30*1.2</f>
        <v>0</v>
      </c>
      <c r="I24" s="361">
        <f>SUM(I25:I29)</f>
        <v>217.21359563999999</v>
      </c>
      <c r="J24" s="117" t="s">
        <v>544</v>
      </c>
      <c r="K24" s="117" t="s">
        <v>544</v>
      </c>
      <c r="L24" s="361">
        <v>0</v>
      </c>
      <c r="M24" s="361">
        <v>0</v>
      </c>
      <c r="N24" s="117" t="s">
        <v>544</v>
      </c>
      <c r="O24" s="117" t="s">
        <v>544</v>
      </c>
      <c r="P24" s="361">
        <v>0</v>
      </c>
      <c r="Q24" s="361">
        <v>0</v>
      </c>
      <c r="R24" s="117" t="s">
        <v>544</v>
      </c>
      <c r="S24" s="117" t="s">
        <v>544</v>
      </c>
      <c r="T24" s="361">
        <f>SUM(T25:T28)</f>
        <v>36.99879999999996</v>
      </c>
      <c r="U24" s="361">
        <v>0</v>
      </c>
      <c r="V24" s="117" t="s">
        <v>544</v>
      </c>
      <c r="W24" s="117" t="s">
        <v>544</v>
      </c>
      <c r="X24" s="361">
        <f>SUM(X25:X29)</f>
        <v>92.843695639564018</v>
      </c>
      <c r="Y24" s="361">
        <v>0</v>
      </c>
      <c r="Z24" s="117" t="s">
        <v>544</v>
      </c>
      <c r="AA24" s="117" t="s">
        <v>544</v>
      </c>
      <c r="AB24" s="361">
        <f>SUM(AB25:AB29)</f>
        <v>92.843695639564018</v>
      </c>
      <c r="AC24" s="361">
        <v>0</v>
      </c>
      <c r="AD24" s="117" t="s">
        <v>544</v>
      </c>
      <c r="AE24" s="117">
        <f>L24+P24+T24+X24+AB24</f>
        <v>222.68619127912802</v>
      </c>
    </row>
    <row r="25" spans="1:33" ht="24" customHeight="1" x14ac:dyDescent="0.25">
      <c r="A25" s="57" t="s">
        <v>176</v>
      </c>
      <c r="B25" s="33" t="s">
        <v>175</v>
      </c>
      <c r="C25" s="117" t="s">
        <v>544</v>
      </c>
      <c r="D25" s="361">
        <v>0</v>
      </c>
      <c r="E25" s="117">
        <f t="shared" ref="E25:E64" si="1">D25</f>
        <v>0</v>
      </c>
      <c r="F25" s="117">
        <f t="shared" ref="F25:F64" si="2">E25</f>
        <v>0</v>
      </c>
      <c r="G25" s="117">
        <f t="shared" si="0"/>
        <v>0</v>
      </c>
      <c r="H25" s="117">
        <v>0</v>
      </c>
      <c r="I25" s="361">
        <v>0</v>
      </c>
      <c r="J25" s="117" t="s">
        <v>544</v>
      </c>
      <c r="K25" s="117" t="s">
        <v>544</v>
      </c>
      <c r="L25" s="361">
        <v>0</v>
      </c>
      <c r="M25" s="361">
        <v>0</v>
      </c>
      <c r="N25" s="117" t="s">
        <v>544</v>
      </c>
      <c r="O25" s="117" t="s">
        <v>544</v>
      </c>
      <c r="P25" s="361">
        <v>0</v>
      </c>
      <c r="Q25" s="361">
        <v>0</v>
      </c>
      <c r="R25" s="117" t="s">
        <v>544</v>
      </c>
      <c r="S25" s="117" t="s">
        <v>544</v>
      </c>
      <c r="T25" s="361">
        <v>0</v>
      </c>
      <c r="U25" s="361">
        <v>0</v>
      </c>
      <c r="V25" s="117" t="s">
        <v>544</v>
      </c>
      <c r="W25" s="117" t="s">
        <v>544</v>
      </c>
      <c r="X25" s="361">
        <f t="shared" ref="X25:X29" si="3">D25-T25</f>
        <v>0</v>
      </c>
      <c r="Y25" s="361">
        <v>0</v>
      </c>
      <c r="Z25" s="117" t="s">
        <v>544</v>
      </c>
      <c r="AA25" s="117" t="s">
        <v>544</v>
      </c>
      <c r="AB25" s="361">
        <v>0</v>
      </c>
      <c r="AC25" s="361">
        <v>0</v>
      </c>
      <c r="AD25" s="117" t="s">
        <v>544</v>
      </c>
      <c r="AE25" s="117">
        <f t="shared" ref="AE25:AE64" si="4">L25+P25+T25+X25+AB25</f>
        <v>0</v>
      </c>
    </row>
    <row r="26" spans="1:33" x14ac:dyDescent="0.25">
      <c r="A26" s="57" t="s">
        <v>174</v>
      </c>
      <c r="B26" s="33" t="s">
        <v>173</v>
      </c>
      <c r="C26" s="117" t="s">
        <v>544</v>
      </c>
      <c r="D26" s="361">
        <v>0</v>
      </c>
      <c r="E26" s="117">
        <f t="shared" si="1"/>
        <v>0</v>
      </c>
      <c r="F26" s="117">
        <f t="shared" si="2"/>
        <v>0</v>
      </c>
      <c r="G26" s="117">
        <f t="shared" si="0"/>
        <v>0</v>
      </c>
      <c r="H26" s="117">
        <v>0</v>
      </c>
      <c r="I26" s="361">
        <v>0</v>
      </c>
      <c r="J26" s="117" t="s">
        <v>544</v>
      </c>
      <c r="K26" s="117" t="s">
        <v>544</v>
      </c>
      <c r="L26" s="361">
        <v>0</v>
      </c>
      <c r="M26" s="361">
        <v>0</v>
      </c>
      <c r="N26" s="117" t="s">
        <v>544</v>
      </c>
      <c r="O26" s="117" t="s">
        <v>544</v>
      </c>
      <c r="P26" s="361">
        <v>0</v>
      </c>
      <c r="Q26" s="361">
        <v>0</v>
      </c>
      <c r="R26" s="117" t="s">
        <v>544</v>
      </c>
      <c r="S26" s="117" t="s">
        <v>544</v>
      </c>
      <c r="T26" s="361">
        <v>0</v>
      </c>
      <c r="U26" s="361">
        <v>0</v>
      </c>
      <c r="V26" s="117" t="s">
        <v>544</v>
      </c>
      <c r="W26" s="117" t="s">
        <v>544</v>
      </c>
      <c r="X26" s="361">
        <f t="shared" si="3"/>
        <v>0</v>
      </c>
      <c r="Y26" s="361">
        <v>0</v>
      </c>
      <c r="Z26" s="117" t="s">
        <v>544</v>
      </c>
      <c r="AA26" s="117" t="s">
        <v>544</v>
      </c>
      <c r="AB26" s="361">
        <v>0</v>
      </c>
      <c r="AC26" s="361">
        <v>0</v>
      </c>
      <c r="AD26" s="117" t="s">
        <v>544</v>
      </c>
      <c r="AE26" s="117">
        <f t="shared" si="4"/>
        <v>0</v>
      </c>
    </row>
    <row r="27" spans="1:33" ht="31.5" x14ac:dyDescent="0.25">
      <c r="A27" s="57" t="s">
        <v>172</v>
      </c>
      <c r="B27" s="33" t="s">
        <v>357</v>
      </c>
      <c r="C27" s="117" t="s">
        <v>544</v>
      </c>
      <c r="D27" s="361">
        <v>222.686191279128</v>
      </c>
      <c r="E27" s="117">
        <f t="shared" si="1"/>
        <v>222.686191279128</v>
      </c>
      <c r="F27" s="117">
        <f t="shared" si="2"/>
        <v>222.686191279128</v>
      </c>
      <c r="G27" s="117">
        <f t="shared" si="0"/>
        <v>222.686191279128</v>
      </c>
      <c r="H27" s="117">
        <v>0</v>
      </c>
      <c r="I27" s="361">
        <v>0</v>
      </c>
      <c r="J27" s="117" t="s">
        <v>544</v>
      </c>
      <c r="K27" s="117" t="s">
        <v>544</v>
      </c>
      <c r="L27" s="361">
        <v>0</v>
      </c>
      <c r="M27" s="361">
        <v>0</v>
      </c>
      <c r="N27" s="117" t="s">
        <v>544</v>
      </c>
      <c r="O27" s="117" t="s">
        <v>544</v>
      </c>
      <c r="P27" s="361">
        <v>0</v>
      </c>
      <c r="Q27" s="361">
        <v>0</v>
      </c>
      <c r="R27" s="117" t="s">
        <v>544</v>
      </c>
      <c r="S27" s="117" t="s">
        <v>544</v>
      </c>
      <c r="T27" s="361">
        <f>T30*1.2</f>
        <v>36.99879999999996</v>
      </c>
      <c r="U27" s="361">
        <v>0</v>
      </c>
      <c r="V27" s="117" t="s">
        <v>544</v>
      </c>
      <c r="W27" s="117" t="s">
        <v>544</v>
      </c>
      <c r="X27" s="361">
        <f>X30*1.2</f>
        <v>92.843695639564018</v>
      </c>
      <c r="Y27" s="361">
        <v>0</v>
      </c>
      <c r="Z27" s="117" t="s">
        <v>544</v>
      </c>
      <c r="AA27" s="117" t="s">
        <v>544</v>
      </c>
      <c r="AB27" s="361">
        <v>92.843695639564018</v>
      </c>
      <c r="AC27" s="361">
        <v>0</v>
      </c>
      <c r="AD27" s="117" t="s">
        <v>544</v>
      </c>
      <c r="AE27" s="117">
        <f t="shared" si="4"/>
        <v>222.68619127912802</v>
      </c>
    </row>
    <row r="28" spans="1:33" x14ac:dyDescent="0.25">
      <c r="A28" s="57" t="s">
        <v>171</v>
      </c>
      <c r="B28" s="33" t="s">
        <v>545</v>
      </c>
      <c r="C28" s="117" t="s">
        <v>544</v>
      </c>
      <c r="D28" s="361">
        <v>0</v>
      </c>
      <c r="E28" s="117">
        <f t="shared" si="1"/>
        <v>0</v>
      </c>
      <c r="F28" s="117">
        <f t="shared" si="2"/>
        <v>0</v>
      </c>
      <c r="G28" s="117">
        <f t="shared" si="0"/>
        <v>0</v>
      </c>
      <c r="H28" s="117">
        <v>0</v>
      </c>
      <c r="I28" s="361">
        <f>I30*1.2</f>
        <v>217.21359563999999</v>
      </c>
      <c r="J28" s="117" t="s">
        <v>544</v>
      </c>
      <c r="K28" s="117" t="s">
        <v>544</v>
      </c>
      <c r="L28" s="361">
        <v>0</v>
      </c>
      <c r="M28" s="361">
        <v>0</v>
      </c>
      <c r="N28" s="117" t="s">
        <v>544</v>
      </c>
      <c r="O28" s="117" t="s">
        <v>544</v>
      </c>
      <c r="P28" s="361">
        <v>0</v>
      </c>
      <c r="Q28" s="361">
        <v>0</v>
      </c>
      <c r="R28" s="117" t="s">
        <v>544</v>
      </c>
      <c r="S28" s="117" t="s">
        <v>544</v>
      </c>
      <c r="T28" s="361">
        <v>0</v>
      </c>
      <c r="U28" s="361">
        <v>0</v>
      </c>
      <c r="V28" s="117" t="s">
        <v>544</v>
      </c>
      <c r="W28" s="117" t="s">
        <v>544</v>
      </c>
      <c r="X28" s="361">
        <f t="shared" si="3"/>
        <v>0</v>
      </c>
      <c r="Y28" s="361">
        <v>0</v>
      </c>
      <c r="Z28" s="117" t="s">
        <v>544</v>
      </c>
      <c r="AA28" s="117" t="s">
        <v>544</v>
      </c>
      <c r="AB28" s="361">
        <v>0</v>
      </c>
      <c r="AC28" s="361">
        <v>0</v>
      </c>
      <c r="AD28" s="117" t="s">
        <v>544</v>
      </c>
      <c r="AE28" s="117">
        <f t="shared" si="4"/>
        <v>0</v>
      </c>
      <c r="AG28" s="357"/>
    </row>
    <row r="29" spans="1:33" x14ac:dyDescent="0.25">
      <c r="A29" s="57" t="s">
        <v>169</v>
      </c>
      <c r="B29" s="61" t="s">
        <v>168</v>
      </c>
      <c r="C29" s="117" t="s">
        <v>544</v>
      </c>
      <c r="D29" s="361">
        <v>0</v>
      </c>
      <c r="E29" s="117">
        <f t="shared" si="1"/>
        <v>0</v>
      </c>
      <c r="F29" s="117">
        <f t="shared" si="2"/>
        <v>0</v>
      </c>
      <c r="G29" s="117">
        <f t="shared" si="0"/>
        <v>0</v>
      </c>
      <c r="H29" s="117">
        <v>0</v>
      </c>
      <c r="I29" s="361">
        <v>0</v>
      </c>
      <c r="J29" s="362" t="s">
        <v>544</v>
      </c>
      <c r="K29" s="117" t="s">
        <v>544</v>
      </c>
      <c r="L29" s="361">
        <v>0</v>
      </c>
      <c r="M29" s="361">
        <v>0</v>
      </c>
      <c r="N29" s="117" t="s">
        <v>544</v>
      </c>
      <c r="O29" s="117" t="s">
        <v>544</v>
      </c>
      <c r="P29" s="361">
        <v>0</v>
      </c>
      <c r="Q29" s="361">
        <v>0</v>
      </c>
      <c r="R29" s="117" t="s">
        <v>544</v>
      </c>
      <c r="S29" s="117" t="s">
        <v>544</v>
      </c>
      <c r="T29" s="361">
        <v>0</v>
      </c>
      <c r="U29" s="361">
        <v>0</v>
      </c>
      <c r="V29" s="117" t="s">
        <v>544</v>
      </c>
      <c r="W29" s="117" t="s">
        <v>544</v>
      </c>
      <c r="X29" s="361">
        <f t="shared" si="3"/>
        <v>0</v>
      </c>
      <c r="Y29" s="361">
        <v>0</v>
      </c>
      <c r="Z29" s="117" t="s">
        <v>544</v>
      </c>
      <c r="AA29" s="117" t="s">
        <v>544</v>
      </c>
      <c r="AB29" s="361">
        <v>0</v>
      </c>
      <c r="AC29" s="361">
        <v>0</v>
      </c>
      <c r="AD29" s="117" t="s">
        <v>544</v>
      </c>
      <c r="AE29" s="117">
        <f t="shared" si="4"/>
        <v>0</v>
      </c>
    </row>
    <row r="30" spans="1:33" ht="54.75" customHeight="1" x14ac:dyDescent="0.25">
      <c r="A30" s="57" t="s">
        <v>61</v>
      </c>
      <c r="B30" s="33" t="s">
        <v>167</v>
      </c>
      <c r="C30" s="117" t="s">
        <v>544</v>
      </c>
      <c r="D30" s="361">
        <v>185.57182606594</v>
      </c>
      <c r="E30" s="117">
        <f t="shared" si="1"/>
        <v>185.57182606594</v>
      </c>
      <c r="F30" s="117">
        <f t="shared" si="2"/>
        <v>185.57182606594</v>
      </c>
      <c r="G30" s="117">
        <f t="shared" si="0"/>
        <v>185.57182606594</v>
      </c>
      <c r="H30" s="117">
        <v>0</v>
      </c>
      <c r="I30" s="361">
        <f>SUM(I31:I34)</f>
        <v>181.0113297</v>
      </c>
      <c r="J30" s="117" t="s">
        <v>544</v>
      </c>
      <c r="K30" s="117" t="s">
        <v>544</v>
      </c>
      <c r="L30" s="361">
        <v>0</v>
      </c>
      <c r="M30" s="361">
        <v>0</v>
      </c>
      <c r="N30" s="117" t="s">
        <v>544</v>
      </c>
      <c r="O30" s="117" t="s">
        <v>544</v>
      </c>
      <c r="P30" s="361">
        <v>0</v>
      </c>
      <c r="Q30" s="361">
        <v>0</v>
      </c>
      <c r="R30" s="117" t="s">
        <v>544</v>
      </c>
      <c r="S30" s="117" t="s">
        <v>544</v>
      </c>
      <c r="T30" s="361">
        <f>SUM(T31:T34)</f>
        <v>30.832333333333303</v>
      </c>
      <c r="U30" s="361">
        <v>0</v>
      </c>
      <c r="V30" s="117" t="s">
        <v>544</v>
      </c>
      <c r="W30" s="117" t="s">
        <v>544</v>
      </c>
      <c r="X30" s="361">
        <v>77.369746366303346</v>
      </c>
      <c r="Y30" s="361">
        <v>0</v>
      </c>
      <c r="Z30" s="117" t="s">
        <v>544</v>
      </c>
      <c r="AA30" s="117" t="s">
        <v>544</v>
      </c>
      <c r="AB30" s="361">
        <v>77.369746366303346</v>
      </c>
      <c r="AC30" s="361">
        <v>0</v>
      </c>
      <c r="AD30" s="117" t="s">
        <v>544</v>
      </c>
      <c r="AE30" s="117">
        <f t="shared" si="4"/>
        <v>185.57182606594</v>
      </c>
      <c r="AG30" s="363"/>
    </row>
    <row r="31" spans="1:33" x14ac:dyDescent="0.25">
      <c r="A31" s="57" t="s">
        <v>166</v>
      </c>
      <c r="B31" s="33" t="s">
        <v>165</v>
      </c>
      <c r="C31" s="117" t="s">
        <v>544</v>
      </c>
      <c r="D31" s="361">
        <f>4.25*2</f>
        <v>8.5</v>
      </c>
      <c r="E31" s="117">
        <f t="shared" si="1"/>
        <v>8.5</v>
      </c>
      <c r="F31" s="117">
        <f t="shared" si="2"/>
        <v>8.5</v>
      </c>
      <c r="G31" s="117">
        <f t="shared" si="0"/>
        <v>8.5</v>
      </c>
      <c r="H31" s="117">
        <v>0</v>
      </c>
      <c r="I31" s="361">
        <v>0</v>
      </c>
      <c r="J31" s="117" t="s">
        <v>544</v>
      </c>
      <c r="K31" s="117" t="s">
        <v>544</v>
      </c>
      <c r="L31" s="361">
        <v>0</v>
      </c>
      <c r="M31" s="361">
        <v>0</v>
      </c>
      <c r="N31" s="117" t="s">
        <v>544</v>
      </c>
      <c r="O31" s="117" t="s">
        <v>544</v>
      </c>
      <c r="P31" s="361">
        <v>0</v>
      </c>
      <c r="Q31" s="361">
        <v>0</v>
      </c>
      <c r="R31" s="117" t="s">
        <v>544</v>
      </c>
      <c r="S31" s="117" t="s">
        <v>544</v>
      </c>
      <c r="T31" s="361">
        <f>D31/2</f>
        <v>4.25</v>
      </c>
      <c r="U31" s="361">
        <v>0</v>
      </c>
      <c r="V31" s="117" t="s">
        <v>544</v>
      </c>
      <c r="W31" s="117" t="s">
        <v>544</v>
      </c>
      <c r="X31" s="361">
        <v>2.125</v>
      </c>
      <c r="Y31" s="361">
        <v>0</v>
      </c>
      <c r="Z31" s="117" t="s">
        <v>544</v>
      </c>
      <c r="AA31" s="117" t="s">
        <v>544</v>
      </c>
      <c r="AB31" s="361">
        <v>2.125</v>
      </c>
      <c r="AC31" s="361">
        <v>0</v>
      </c>
      <c r="AD31" s="117" t="s">
        <v>544</v>
      </c>
      <c r="AE31" s="117">
        <f t="shared" si="4"/>
        <v>8.5</v>
      </c>
    </row>
    <row r="32" spans="1:33" ht="31.5" x14ac:dyDescent="0.25">
      <c r="A32" s="57" t="s">
        <v>164</v>
      </c>
      <c r="B32" s="33" t="s">
        <v>163</v>
      </c>
      <c r="C32" s="117" t="s">
        <v>544</v>
      </c>
      <c r="D32" s="361">
        <v>59.087051880035801</v>
      </c>
      <c r="E32" s="117">
        <f t="shared" si="1"/>
        <v>59.087051880035801</v>
      </c>
      <c r="F32" s="117">
        <f t="shared" si="2"/>
        <v>59.087051880035801</v>
      </c>
      <c r="G32" s="117">
        <f t="shared" si="0"/>
        <v>59.087051880035801</v>
      </c>
      <c r="H32" s="117">
        <v>0</v>
      </c>
      <c r="I32" s="361">
        <f>88808363/1000000</f>
        <v>88.808363</v>
      </c>
      <c r="J32" s="117" t="s">
        <v>544</v>
      </c>
      <c r="K32" s="117" t="s">
        <v>544</v>
      </c>
      <c r="L32" s="361">
        <v>0</v>
      </c>
      <c r="M32" s="361">
        <v>0</v>
      </c>
      <c r="N32" s="117" t="s">
        <v>544</v>
      </c>
      <c r="O32" s="117" t="s">
        <v>544</v>
      </c>
      <c r="P32" s="361">
        <v>0</v>
      </c>
      <c r="Q32" s="361">
        <v>0</v>
      </c>
      <c r="R32" s="117" t="s">
        <v>544</v>
      </c>
      <c r="S32" s="117" t="s">
        <v>544</v>
      </c>
      <c r="T32" s="361">
        <v>0</v>
      </c>
      <c r="U32" s="361">
        <v>0</v>
      </c>
      <c r="V32" s="117" t="s">
        <v>544</v>
      </c>
      <c r="W32" s="117" t="s">
        <v>544</v>
      </c>
      <c r="X32" s="361">
        <v>29.543525940017901</v>
      </c>
      <c r="Y32" s="361">
        <v>0</v>
      </c>
      <c r="Z32" s="117" t="s">
        <v>544</v>
      </c>
      <c r="AA32" s="117" t="s">
        <v>544</v>
      </c>
      <c r="AB32" s="361">
        <v>29.543525940017901</v>
      </c>
      <c r="AC32" s="361">
        <v>0</v>
      </c>
      <c r="AD32" s="117" t="s">
        <v>544</v>
      </c>
      <c r="AE32" s="117">
        <f t="shared" si="4"/>
        <v>59.087051880035801</v>
      </c>
      <c r="AG32" s="364"/>
    </row>
    <row r="33" spans="1:33" x14ac:dyDescent="0.25">
      <c r="A33" s="57" t="s">
        <v>162</v>
      </c>
      <c r="B33" s="33" t="s">
        <v>161</v>
      </c>
      <c r="C33" s="117" t="s">
        <v>544</v>
      </c>
      <c r="D33" s="361">
        <v>109.23187441427</v>
      </c>
      <c r="E33" s="117">
        <f t="shared" si="1"/>
        <v>109.23187441427</v>
      </c>
      <c r="F33" s="117">
        <f t="shared" si="2"/>
        <v>109.23187441427</v>
      </c>
      <c r="G33" s="117">
        <f t="shared" si="0"/>
        <v>109.23187441427</v>
      </c>
      <c r="H33" s="117">
        <v>0</v>
      </c>
      <c r="I33" s="361">
        <f>92202966.7/1000000</f>
        <v>92.202966700000005</v>
      </c>
      <c r="J33" s="117" t="s">
        <v>544</v>
      </c>
      <c r="K33" s="117" t="s">
        <v>544</v>
      </c>
      <c r="L33" s="361">
        <v>0</v>
      </c>
      <c r="M33" s="361">
        <v>0</v>
      </c>
      <c r="N33" s="117" t="s">
        <v>544</v>
      </c>
      <c r="O33" s="117" t="s">
        <v>544</v>
      </c>
      <c r="P33" s="361">
        <v>0</v>
      </c>
      <c r="Q33" s="361">
        <v>0</v>
      </c>
      <c r="R33" s="117" t="s">
        <v>544</v>
      </c>
      <c r="S33" s="117" t="s">
        <v>544</v>
      </c>
      <c r="T33" s="361">
        <f>62.0833333333333-30.33-6.171</f>
        <v>25.582333333333303</v>
      </c>
      <c r="U33" s="361">
        <v>0</v>
      </c>
      <c r="V33" s="117" t="s">
        <v>544</v>
      </c>
      <c r="W33" s="117" t="s">
        <v>544</v>
      </c>
      <c r="X33" s="361">
        <v>41.82477054046835</v>
      </c>
      <c r="Y33" s="361">
        <v>0</v>
      </c>
      <c r="Z33" s="117" t="s">
        <v>544</v>
      </c>
      <c r="AA33" s="117" t="s">
        <v>544</v>
      </c>
      <c r="AB33" s="361">
        <v>41.82477054046835</v>
      </c>
      <c r="AC33" s="361">
        <v>0</v>
      </c>
      <c r="AD33" s="117" t="s">
        <v>544</v>
      </c>
      <c r="AE33" s="117">
        <f t="shared" si="4"/>
        <v>109.23187441427</v>
      </c>
      <c r="AG33" s="44">
        <f>AG31</f>
        <v>0</v>
      </c>
    </row>
    <row r="34" spans="1:33" x14ac:dyDescent="0.25">
      <c r="A34" s="57" t="s">
        <v>160</v>
      </c>
      <c r="B34" s="33" t="s">
        <v>159</v>
      </c>
      <c r="C34" s="117" t="s">
        <v>544</v>
      </c>
      <c r="D34" s="361">
        <f>17.252899771634-D31</f>
        <v>8.7528997716339987</v>
      </c>
      <c r="E34" s="117">
        <f t="shared" si="1"/>
        <v>8.7528997716339987</v>
      </c>
      <c r="F34" s="117">
        <f t="shared" si="2"/>
        <v>8.7528997716339987</v>
      </c>
      <c r="G34" s="117">
        <f t="shared" si="0"/>
        <v>8.7528997716339987</v>
      </c>
      <c r="H34" s="117">
        <v>0</v>
      </c>
      <c r="I34" s="361">
        <v>0</v>
      </c>
      <c r="J34" s="117" t="s">
        <v>544</v>
      </c>
      <c r="K34" s="117" t="s">
        <v>544</v>
      </c>
      <c r="L34" s="361">
        <v>0</v>
      </c>
      <c r="M34" s="361">
        <v>0</v>
      </c>
      <c r="N34" s="117" t="s">
        <v>544</v>
      </c>
      <c r="O34" s="117" t="s">
        <v>544</v>
      </c>
      <c r="P34" s="361">
        <v>0</v>
      </c>
      <c r="Q34" s="361">
        <v>0</v>
      </c>
      <c r="R34" s="117" t="s">
        <v>544</v>
      </c>
      <c r="S34" s="117" t="s">
        <v>544</v>
      </c>
      <c r="T34" s="361">
        <v>1</v>
      </c>
      <c r="U34" s="361">
        <v>0</v>
      </c>
      <c r="V34" s="117" t="s">
        <v>544</v>
      </c>
      <c r="W34" s="117" t="s">
        <v>544</v>
      </c>
      <c r="X34" s="361">
        <v>3.8764498858169993</v>
      </c>
      <c r="Y34" s="361">
        <v>0</v>
      </c>
      <c r="Z34" s="117" t="s">
        <v>544</v>
      </c>
      <c r="AA34" s="117" t="s">
        <v>544</v>
      </c>
      <c r="AB34" s="361">
        <v>3.8764498858169993</v>
      </c>
      <c r="AC34" s="361">
        <v>0</v>
      </c>
      <c r="AD34" s="117" t="s">
        <v>544</v>
      </c>
      <c r="AE34" s="117">
        <f t="shared" si="4"/>
        <v>8.7528997716339987</v>
      </c>
    </row>
    <row r="35" spans="1:33" ht="31.5" x14ac:dyDescent="0.25">
      <c r="A35" s="57" t="s">
        <v>60</v>
      </c>
      <c r="B35" s="33" t="s">
        <v>158</v>
      </c>
      <c r="C35" s="117" t="s">
        <v>544</v>
      </c>
      <c r="D35" s="361">
        <v>0</v>
      </c>
      <c r="E35" s="117">
        <f t="shared" si="1"/>
        <v>0</v>
      </c>
      <c r="F35" s="117">
        <f t="shared" si="2"/>
        <v>0</v>
      </c>
      <c r="G35" s="117">
        <f t="shared" si="0"/>
        <v>0</v>
      </c>
      <c r="H35" s="117">
        <v>0</v>
      </c>
      <c r="I35" s="361">
        <v>0</v>
      </c>
      <c r="J35" s="117" t="s">
        <v>544</v>
      </c>
      <c r="K35" s="117" t="s">
        <v>544</v>
      </c>
      <c r="L35" s="361">
        <v>0</v>
      </c>
      <c r="M35" s="361">
        <v>0</v>
      </c>
      <c r="N35" s="117" t="s">
        <v>544</v>
      </c>
      <c r="O35" s="117" t="s">
        <v>544</v>
      </c>
      <c r="P35" s="361">
        <v>0</v>
      </c>
      <c r="Q35" s="361">
        <v>0</v>
      </c>
      <c r="R35" s="117" t="s">
        <v>544</v>
      </c>
      <c r="S35" s="117" t="s">
        <v>544</v>
      </c>
      <c r="T35" s="361">
        <v>0</v>
      </c>
      <c r="U35" s="361">
        <v>0</v>
      </c>
      <c r="V35" s="117" t="s">
        <v>544</v>
      </c>
      <c r="W35" s="117" t="s">
        <v>544</v>
      </c>
      <c r="X35" s="361">
        <v>0</v>
      </c>
      <c r="Y35" s="361">
        <v>0</v>
      </c>
      <c r="Z35" s="117" t="s">
        <v>544</v>
      </c>
      <c r="AA35" s="117" t="s">
        <v>544</v>
      </c>
      <c r="AB35" s="361">
        <v>0</v>
      </c>
      <c r="AC35" s="361">
        <v>0</v>
      </c>
      <c r="AD35" s="117" t="s">
        <v>544</v>
      </c>
      <c r="AE35" s="117">
        <f t="shared" si="4"/>
        <v>0</v>
      </c>
    </row>
    <row r="36" spans="1:33" ht="31.5" x14ac:dyDescent="0.25">
      <c r="A36" s="57" t="s">
        <v>157</v>
      </c>
      <c r="B36" s="365" t="s">
        <v>156</v>
      </c>
      <c r="C36" s="117" t="s">
        <v>544</v>
      </c>
      <c r="D36" s="361">
        <v>0</v>
      </c>
      <c r="E36" s="117">
        <f t="shared" si="1"/>
        <v>0</v>
      </c>
      <c r="F36" s="117">
        <f t="shared" si="2"/>
        <v>0</v>
      </c>
      <c r="G36" s="117">
        <f t="shared" si="0"/>
        <v>0</v>
      </c>
      <c r="H36" s="117">
        <v>0</v>
      </c>
      <c r="I36" s="361">
        <v>0</v>
      </c>
      <c r="J36" s="366" t="s">
        <v>544</v>
      </c>
      <c r="K36" s="117" t="s">
        <v>544</v>
      </c>
      <c r="L36" s="361">
        <v>0</v>
      </c>
      <c r="M36" s="361">
        <v>0</v>
      </c>
      <c r="N36" s="117" t="s">
        <v>544</v>
      </c>
      <c r="O36" s="117" t="s">
        <v>544</v>
      </c>
      <c r="P36" s="361">
        <v>0</v>
      </c>
      <c r="Q36" s="361">
        <v>0</v>
      </c>
      <c r="R36" s="117" t="s">
        <v>544</v>
      </c>
      <c r="S36" s="117" t="s">
        <v>544</v>
      </c>
      <c r="T36" s="361">
        <v>0</v>
      </c>
      <c r="U36" s="361">
        <v>0</v>
      </c>
      <c r="V36" s="117" t="s">
        <v>544</v>
      </c>
      <c r="W36" s="117" t="s">
        <v>544</v>
      </c>
      <c r="X36" s="361">
        <v>0</v>
      </c>
      <c r="Y36" s="361">
        <v>0</v>
      </c>
      <c r="Z36" s="117" t="s">
        <v>544</v>
      </c>
      <c r="AA36" s="117" t="s">
        <v>544</v>
      </c>
      <c r="AB36" s="361">
        <v>0</v>
      </c>
      <c r="AC36" s="361">
        <v>0</v>
      </c>
      <c r="AD36" s="117" t="s">
        <v>544</v>
      </c>
      <c r="AE36" s="117">
        <f t="shared" si="4"/>
        <v>0</v>
      </c>
    </row>
    <row r="37" spans="1:33" x14ac:dyDescent="0.25">
      <c r="A37" s="57" t="s">
        <v>155</v>
      </c>
      <c r="B37" s="365" t="s">
        <v>145</v>
      </c>
      <c r="C37" s="117" t="s">
        <v>544</v>
      </c>
      <c r="D37" s="361">
        <v>10</v>
      </c>
      <c r="E37" s="117">
        <f t="shared" si="1"/>
        <v>10</v>
      </c>
      <c r="F37" s="117">
        <f t="shared" si="2"/>
        <v>10</v>
      </c>
      <c r="G37" s="117">
        <f t="shared" si="0"/>
        <v>10</v>
      </c>
      <c r="H37" s="117">
        <v>0</v>
      </c>
      <c r="I37" s="361">
        <v>0</v>
      </c>
      <c r="J37" s="366" t="s">
        <v>544</v>
      </c>
      <c r="K37" s="117" t="s">
        <v>544</v>
      </c>
      <c r="L37" s="361">
        <v>0</v>
      </c>
      <c r="M37" s="361">
        <v>0</v>
      </c>
      <c r="N37" s="117" t="s">
        <v>544</v>
      </c>
      <c r="O37" s="117" t="s">
        <v>544</v>
      </c>
      <c r="P37" s="361">
        <v>0</v>
      </c>
      <c r="Q37" s="361">
        <v>0</v>
      </c>
      <c r="R37" s="117" t="s">
        <v>544</v>
      </c>
      <c r="S37" s="117" t="s">
        <v>544</v>
      </c>
      <c r="T37" s="361">
        <v>0</v>
      </c>
      <c r="U37" s="361">
        <v>0</v>
      </c>
      <c r="V37" s="117" t="s">
        <v>544</v>
      </c>
      <c r="W37" s="117" t="s">
        <v>544</v>
      </c>
      <c r="X37" s="361">
        <v>0</v>
      </c>
      <c r="Y37" s="361">
        <v>0</v>
      </c>
      <c r="Z37" s="117" t="s">
        <v>544</v>
      </c>
      <c r="AA37" s="117" t="s">
        <v>544</v>
      </c>
      <c r="AB37" s="361">
        <v>10</v>
      </c>
      <c r="AC37" s="361">
        <v>4</v>
      </c>
      <c r="AD37" s="117" t="s">
        <v>544</v>
      </c>
      <c r="AE37" s="117">
        <f t="shared" si="4"/>
        <v>10</v>
      </c>
    </row>
    <row r="38" spans="1:33" x14ac:dyDescent="0.25">
      <c r="A38" s="57" t="s">
        <v>154</v>
      </c>
      <c r="B38" s="365" t="s">
        <v>143</v>
      </c>
      <c r="C38" s="117" t="s">
        <v>544</v>
      </c>
      <c r="D38" s="361">
        <v>0</v>
      </c>
      <c r="E38" s="117">
        <f t="shared" si="1"/>
        <v>0</v>
      </c>
      <c r="F38" s="117">
        <f t="shared" si="2"/>
        <v>0</v>
      </c>
      <c r="G38" s="117">
        <f t="shared" si="0"/>
        <v>0</v>
      </c>
      <c r="H38" s="117">
        <v>0</v>
      </c>
      <c r="I38" s="361">
        <v>0</v>
      </c>
      <c r="J38" s="366" t="s">
        <v>544</v>
      </c>
      <c r="K38" s="117" t="s">
        <v>544</v>
      </c>
      <c r="L38" s="361">
        <v>0</v>
      </c>
      <c r="M38" s="361">
        <v>0</v>
      </c>
      <c r="N38" s="117" t="s">
        <v>544</v>
      </c>
      <c r="O38" s="117" t="s">
        <v>544</v>
      </c>
      <c r="P38" s="361">
        <v>0</v>
      </c>
      <c r="Q38" s="361">
        <v>0</v>
      </c>
      <c r="R38" s="117" t="s">
        <v>544</v>
      </c>
      <c r="S38" s="117" t="s">
        <v>544</v>
      </c>
      <c r="T38" s="361">
        <v>0</v>
      </c>
      <c r="U38" s="361">
        <v>0</v>
      </c>
      <c r="V38" s="117" t="s">
        <v>544</v>
      </c>
      <c r="W38" s="117" t="s">
        <v>544</v>
      </c>
      <c r="X38" s="361">
        <v>0</v>
      </c>
      <c r="Y38" s="361">
        <v>0</v>
      </c>
      <c r="Z38" s="117" t="s">
        <v>544</v>
      </c>
      <c r="AA38" s="117" t="s">
        <v>544</v>
      </c>
      <c r="AB38" s="361">
        <v>0</v>
      </c>
      <c r="AC38" s="361">
        <v>0</v>
      </c>
      <c r="AD38" s="117" t="s">
        <v>544</v>
      </c>
      <c r="AE38" s="117">
        <f t="shared" si="4"/>
        <v>0</v>
      </c>
    </row>
    <row r="39" spans="1:33" ht="31.5" x14ac:dyDescent="0.25">
      <c r="A39" s="57" t="s">
        <v>153</v>
      </c>
      <c r="B39" s="33" t="s">
        <v>141</v>
      </c>
      <c r="C39" s="117" t="s">
        <v>544</v>
      </c>
      <c r="D39" s="361">
        <v>0</v>
      </c>
      <c r="E39" s="117">
        <f t="shared" si="1"/>
        <v>0</v>
      </c>
      <c r="F39" s="117">
        <f t="shared" si="2"/>
        <v>0</v>
      </c>
      <c r="G39" s="117">
        <f t="shared" si="0"/>
        <v>0</v>
      </c>
      <c r="H39" s="117">
        <v>0</v>
      </c>
      <c r="I39" s="361">
        <v>0</v>
      </c>
      <c r="J39" s="117" t="s">
        <v>544</v>
      </c>
      <c r="K39" s="117" t="s">
        <v>544</v>
      </c>
      <c r="L39" s="361">
        <v>0</v>
      </c>
      <c r="M39" s="361">
        <v>0</v>
      </c>
      <c r="N39" s="117" t="s">
        <v>544</v>
      </c>
      <c r="O39" s="117" t="s">
        <v>544</v>
      </c>
      <c r="P39" s="361">
        <v>0</v>
      </c>
      <c r="Q39" s="361">
        <v>0</v>
      </c>
      <c r="R39" s="117" t="s">
        <v>544</v>
      </c>
      <c r="S39" s="117" t="s">
        <v>544</v>
      </c>
      <c r="T39" s="361">
        <v>0</v>
      </c>
      <c r="U39" s="361">
        <v>0</v>
      </c>
      <c r="V39" s="117" t="s">
        <v>544</v>
      </c>
      <c r="W39" s="117" t="s">
        <v>544</v>
      </c>
      <c r="X39" s="361">
        <v>0</v>
      </c>
      <c r="Y39" s="361">
        <v>0</v>
      </c>
      <c r="Z39" s="117" t="s">
        <v>544</v>
      </c>
      <c r="AA39" s="117" t="s">
        <v>544</v>
      </c>
      <c r="AB39" s="361">
        <v>0</v>
      </c>
      <c r="AC39" s="361">
        <v>0</v>
      </c>
      <c r="AD39" s="117" t="s">
        <v>544</v>
      </c>
      <c r="AE39" s="117">
        <f t="shared" si="4"/>
        <v>0</v>
      </c>
    </row>
    <row r="40" spans="1:33" ht="31.5" x14ac:dyDescent="0.25">
      <c r="A40" s="57" t="s">
        <v>152</v>
      </c>
      <c r="B40" s="33" t="s">
        <v>139</v>
      </c>
      <c r="C40" s="117" t="s">
        <v>544</v>
      </c>
      <c r="D40" s="361">
        <v>0</v>
      </c>
      <c r="E40" s="117">
        <f t="shared" si="1"/>
        <v>0</v>
      </c>
      <c r="F40" s="117">
        <f t="shared" si="2"/>
        <v>0</v>
      </c>
      <c r="G40" s="117">
        <f t="shared" si="0"/>
        <v>0</v>
      </c>
      <c r="H40" s="117">
        <v>0</v>
      </c>
      <c r="I40" s="361">
        <v>0</v>
      </c>
      <c r="J40" s="117" t="s">
        <v>544</v>
      </c>
      <c r="K40" s="117" t="s">
        <v>544</v>
      </c>
      <c r="L40" s="361">
        <v>0</v>
      </c>
      <c r="M40" s="361">
        <v>0</v>
      </c>
      <c r="N40" s="117" t="s">
        <v>544</v>
      </c>
      <c r="O40" s="117" t="s">
        <v>544</v>
      </c>
      <c r="P40" s="361">
        <v>0</v>
      </c>
      <c r="Q40" s="361">
        <v>0</v>
      </c>
      <c r="R40" s="117" t="s">
        <v>544</v>
      </c>
      <c r="S40" s="117" t="s">
        <v>544</v>
      </c>
      <c r="T40" s="361">
        <v>0</v>
      </c>
      <c r="U40" s="361">
        <v>0</v>
      </c>
      <c r="V40" s="117" t="s">
        <v>544</v>
      </c>
      <c r="W40" s="117" t="s">
        <v>544</v>
      </c>
      <c r="X40" s="361">
        <v>0</v>
      </c>
      <c r="Y40" s="361">
        <v>0</v>
      </c>
      <c r="Z40" s="117" t="s">
        <v>544</v>
      </c>
      <c r="AA40" s="117" t="s">
        <v>544</v>
      </c>
      <c r="AB40" s="361">
        <v>0</v>
      </c>
      <c r="AC40" s="361">
        <v>0</v>
      </c>
      <c r="AD40" s="117" t="s">
        <v>544</v>
      </c>
      <c r="AE40" s="117">
        <f t="shared" si="4"/>
        <v>0</v>
      </c>
    </row>
    <row r="41" spans="1:33" x14ac:dyDescent="0.25">
      <c r="A41" s="57" t="s">
        <v>151</v>
      </c>
      <c r="B41" s="33" t="s">
        <v>137</v>
      </c>
      <c r="C41" s="117" t="s">
        <v>544</v>
      </c>
      <c r="D41" s="361">
        <v>0</v>
      </c>
      <c r="E41" s="117">
        <f t="shared" si="1"/>
        <v>0</v>
      </c>
      <c r="F41" s="117">
        <f t="shared" si="2"/>
        <v>0</v>
      </c>
      <c r="G41" s="117">
        <f t="shared" si="0"/>
        <v>0</v>
      </c>
      <c r="H41" s="117">
        <v>0</v>
      </c>
      <c r="I41" s="361">
        <v>0</v>
      </c>
      <c r="J41" s="117" t="s">
        <v>544</v>
      </c>
      <c r="K41" s="117" t="s">
        <v>544</v>
      </c>
      <c r="L41" s="361">
        <v>0</v>
      </c>
      <c r="M41" s="361">
        <v>0</v>
      </c>
      <c r="N41" s="117" t="s">
        <v>544</v>
      </c>
      <c r="O41" s="117" t="s">
        <v>544</v>
      </c>
      <c r="P41" s="361">
        <v>0</v>
      </c>
      <c r="Q41" s="361">
        <v>0</v>
      </c>
      <c r="R41" s="117" t="s">
        <v>544</v>
      </c>
      <c r="S41" s="117" t="s">
        <v>544</v>
      </c>
      <c r="T41" s="361">
        <v>0</v>
      </c>
      <c r="U41" s="361">
        <v>0</v>
      </c>
      <c r="V41" s="117" t="s">
        <v>544</v>
      </c>
      <c r="W41" s="117" t="s">
        <v>544</v>
      </c>
      <c r="X41" s="361">
        <v>0</v>
      </c>
      <c r="Y41" s="361">
        <v>0</v>
      </c>
      <c r="Z41" s="117" t="s">
        <v>544</v>
      </c>
      <c r="AA41" s="117" t="s">
        <v>544</v>
      </c>
      <c r="AB41" s="361">
        <v>0</v>
      </c>
      <c r="AC41" s="361">
        <v>0</v>
      </c>
      <c r="AD41" s="117" t="s">
        <v>544</v>
      </c>
      <c r="AE41" s="117">
        <f t="shared" si="4"/>
        <v>0</v>
      </c>
    </row>
    <row r="42" spans="1:33" ht="18.75" x14ac:dyDescent="0.25">
      <c r="A42" s="57" t="s">
        <v>150</v>
      </c>
      <c r="B42" s="365" t="s">
        <v>558</v>
      </c>
      <c r="C42" s="117" t="s">
        <v>544</v>
      </c>
      <c r="D42" s="361">
        <v>20</v>
      </c>
      <c r="E42" s="117">
        <f t="shared" si="1"/>
        <v>20</v>
      </c>
      <c r="F42" s="117">
        <f t="shared" si="2"/>
        <v>20</v>
      </c>
      <c r="G42" s="117">
        <f t="shared" si="0"/>
        <v>20</v>
      </c>
      <c r="H42" s="117">
        <v>0</v>
      </c>
      <c r="I42" s="361">
        <v>0</v>
      </c>
      <c r="J42" s="366" t="s">
        <v>544</v>
      </c>
      <c r="K42" s="117" t="s">
        <v>544</v>
      </c>
      <c r="L42" s="361">
        <v>0</v>
      </c>
      <c r="M42" s="361">
        <v>0</v>
      </c>
      <c r="N42" s="117" t="s">
        <v>544</v>
      </c>
      <c r="O42" s="117" t="s">
        <v>544</v>
      </c>
      <c r="P42" s="361">
        <v>0</v>
      </c>
      <c r="Q42" s="361">
        <v>0</v>
      </c>
      <c r="R42" s="117" t="s">
        <v>544</v>
      </c>
      <c r="S42" s="117" t="s">
        <v>544</v>
      </c>
      <c r="T42" s="361">
        <v>0</v>
      </c>
      <c r="U42" s="361">
        <v>0</v>
      </c>
      <c r="V42" s="117" t="s">
        <v>544</v>
      </c>
      <c r="W42" s="117" t="s">
        <v>544</v>
      </c>
      <c r="X42" s="361">
        <v>0</v>
      </c>
      <c r="Y42" s="361">
        <v>0</v>
      </c>
      <c r="Z42" s="117" t="s">
        <v>544</v>
      </c>
      <c r="AA42" s="117" t="s">
        <v>544</v>
      </c>
      <c r="AB42" s="361">
        <v>0</v>
      </c>
      <c r="AC42" s="361">
        <v>0</v>
      </c>
      <c r="AD42" s="117" t="s">
        <v>544</v>
      </c>
      <c r="AE42" s="117">
        <f t="shared" si="4"/>
        <v>0</v>
      </c>
    </row>
    <row r="43" spans="1:33" x14ac:dyDescent="0.25">
      <c r="A43" s="57" t="s">
        <v>59</v>
      </c>
      <c r="B43" s="33" t="s">
        <v>149</v>
      </c>
      <c r="C43" s="117" t="s">
        <v>544</v>
      </c>
      <c r="D43" s="361">
        <v>0</v>
      </c>
      <c r="E43" s="117">
        <f t="shared" si="1"/>
        <v>0</v>
      </c>
      <c r="F43" s="117">
        <f t="shared" si="2"/>
        <v>0</v>
      </c>
      <c r="G43" s="117">
        <f t="shared" si="0"/>
        <v>0</v>
      </c>
      <c r="H43" s="117">
        <v>0</v>
      </c>
      <c r="I43" s="361">
        <v>0</v>
      </c>
      <c r="J43" s="117" t="s">
        <v>544</v>
      </c>
      <c r="K43" s="117" t="s">
        <v>544</v>
      </c>
      <c r="L43" s="361">
        <v>0</v>
      </c>
      <c r="M43" s="361">
        <v>0</v>
      </c>
      <c r="N43" s="117" t="s">
        <v>544</v>
      </c>
      <c r="O43" s="117" t="s">
        <v>544</v>
      </c>
      <c r="P43" s="361">
        <v>0</v>
      </c>
      <c r="Q43" s="361">
        <v>0</v>
      </c>
      <c r="R43" s="117" t="s">
        <v>544</v>
      </c>
      <c r="S43" s="117" t="s">
        <v>544</v>
      </c>
      <c r="T43" s="361">
        <v>0</v>
      </c>
      <c r="U43" s="361">
        <v>0</v>
      </c>
      <c r="V43" s="117" t="s">
        <v>544</v>
      </c>
      <c r="W43" s="117" t="s">
        <v>544</v>
      </c>
      <c r="X43" s="361">
        <v>0</v>
      </c>
      <c r="Y43" s="361">
        <v>0</v>
      </c>
      <c r="Z43" s="117" t="s">
        <v>544</v>
      </c>
      <c r="AA43" s="117" t="s">
        <v>544</v>
      </c>
      <c r="AB43" s="361">
        <v>0</v>
      </c>
      <c r="AC43" s="361">
        <v>0</v>
      </c>
      <c r="AD43" s="117" t="s">
        <v>544</v>
      </c>
      <c r="AE43" s="117">
        <f t="shared" si="4"/>
        <v>0</v>
      </c>
    </row>
    <row r="44" spans="1:33" x14ac:dyDescent="0.25">
      <c r="A44" s="57" t="s">
        <v>148</v>
      </c>
      <c r="B44" s="33" t="s">
        <v>147</v>
      </c>
      <c r="C44" s="117" t="s">
        <v>544</v>
      </c>
      <c r="D44" s="361">
        <v>0</v>
      </c>
      <c r="E44" s="117">
        <f t="shared" si="1"/>
        <v>0</v>
      </c>
      <c r="F44" s="117">
        <f t="shared" si="2"/>
        <v>0</v>
      </c>
      <c r="G44" s="117">
        <f t="shared" si="0"/>
        <v>0</v>
      </c>
      <c r="H44" s="117">
        <v>0</v>
      </c>
      <c r="I44" s="361">
        <v>0</v>
      </c>
      <c r="J44" s="117" t="s">
        <v>544</v>
      </c>
      <c r="K44" s="117" t="s">
        <v>544</v>
      </c>
      <c r="L44" s="361">
        <v>0</v>
      </c>
      <c r="M44" s="361">
        <v>0</v>
      </c>
      <c r="N44" s="117" t="s">
        <v>544</v>
      </c>
      <c r="O44" s="117" t="s">
        <v>544</v>
      </c>
      <c r="P44" s="361">
        <v>0</v>
      </c>
      <c r="Q44" s="361">
        <v>0</v>
      </c>
      <c r="R44" s="117" t="s">
        <v>544</v>
      </c>
      <c r="S44" s="117" t="s">
        <v>544</v>
      </c>
      <c r="T44" s="361">
        <v>0</v>
      </c>
      <c r="U44" s="361">
        <v>0</v>
      </c>
      <c r="V44" s="117" t="s">
        <v>544</v>
      </c>
      <c r="W44" s="117" t="s">
        <v>544</v>
      </c>
      <c r="X44" s="361">
        <v>0</v>
      </c>
      <c r="Y44" s="361">
        <v>0</v>
      </c>
      <c r="Z44" s="117" t="s">
        <v>544</v>
      </c>
      <c r="AA44" s="117" t="s">
        <v>544</v>
      </c>
      <c r="AB44" s="361">
        <v>0</v>
      </c>
      <c r="AC44" s="361">
        <v>0</v>
      </c>
      <c r="AD44" s="117" t="s">
        <v>544</v>
      </c>
      <c r="AE44" s="117">
        <f t="shared" si="4"/>
        <v>0</v>
      </c>
    </row>
    <row r="45" spans="1:33" x14ac:dyDescent="0.25">
      <c r="A45" s="57" t="s">
        <v>146</v>
      </c>
      <c r="B45" s="33" t="s">
        <v>145</v>
      </c>
      <c r="C45" s="117" t="s">
        <v>544</v>
      </c>
      <c r="D45" s="361">
        <v>10</v>
      </c>
      <c r="E45" s="117">
        <f t="shared" si="1"/>
        <v>10</v>
      </c>
      <c r="F45" s="117">
        <f t="shared" si="2"/>
        <v>10</v>
      </c>
      <c r="G45" s="117">
        <f t="shared" si="0"/>
        <v>10</v>
      </c>
      <c r="H45" s="117">
        <v>0</v>
      </c>
      <c r="I45" s="361">
        <v>0</v>
      </c>
      <c r="J45" s="117" t="s">
        <v>544</v>
      </c>
      <c r="K45" s="117" t="s">
        <v>544</v>
      </c>
      <c r="L45" s="361">
        <v>0</v>
      </c>
      <c r="M45" s="361">
        <v>0</v>
      </c>
      <c r="N45" s="117" t="s">
        <v>544</v>
      </c>
      <c r="O45" s="117" t="s">
        <v>544</v>
      </c>
      <c r="P45" s="361">
        <v>0</v>
      </c>
      <c r="Q45" s="361">
        <v>0</v>
      </c>
      <c r="R45" s="117" t="s">
        <v>544</v>
      </c>
      <c r="S45" s="117" t="s">
        <v>544</v>
      </c>
      <c r="T45" s="361">
        <v>0</v>
      </c>
      <c r="U45" s="361">
        <v>0</v>
      </c>
      <c r="V45" s="117" t="s">
        <v>544</v>
      </c>
      <c r="W45" s="117" t="s">
        <v>544</v>
      </c>
      <c r="X45" s="361">
        <v>0</v>
      </c>
      <c r="Y45" s="361">
        <v>0</v>
      </c>
      <c r="Z45" s="117" t="s">
        <v>544</v>
      </c>
      <c r="AA45" s="117" t="s">
        <v>544</v>
      </c>
      <c r="AB45" s="361">
        <v>10</v>
      </c>
      <c r="AC45" s="361">
        <v>4</v>
      </c>
      <c r="AD45" s="117" t="s">
        <v>544</v>
      </c>
      <c r="AE45" s="117">
        <f t="shared" si="4"/>
        <v>10</v>
      </c>
    </row>
    <row r="46" spans="1:33" x14ac:dyDescent="0.25">
      <c r="A46" s="57" t="s">
        <v>144</v>
      </c>
      <c r="B46" s="33" t="s">
        <v>143</v>
      </c>
      <c r="C46" s="117" t="s">
        <v>544</v>
      </c>
      <c r="D46" s="361">
        <v>0</v>
      </c>
      <c r="E46" s="117">
        <f t="shared" si="1"/>
        <v>0</v>
      </c>
      <c r="F46" s="117">
        <f t="shared" si="2"/>
        <v>0</v>
      </c>
      <c r="G46" s="117">
        <f t="shared" si="0"/>
        <v>0</v>
      </c>
      <c r="H46" s="117">
        <v>0</v>
      </c>
      <c r="I46" s="361">
        <v>0</v>
      </c>
      <c r="J46" s="117" t="s">
        <v>544</v>
      </c>
      <c r="K46" s="117" t="s">
        <v>544</v>
      </c>
      <c r="L46" s="361">
        <v>0</v>
      </c>
      <c r="M46" s="361">
        <v>0</v>
      </c>
      <c r="N46" s="117" t="s">
        <v>544</v>
      </c>
      <c r="O46" s="117" t="s">
        <v>544</v>
      </c>
      <c r="P46" s="361">
        <v>0</v>
      </c>
      <c r="Q46" s="361">
        <v>0</v>
      </c>
      <c r="R46" s="117" t="s">
        <v>544</v>
      </c>
      <c r="S46" s="117" t="s">
        <v>544</v>
      </c>
      <c r="T46" s="361">
        <v>0</v>
      </c>
      <c r="U46" s="361">
        <v>0</v>
      </c>
      <c r="V46" s="117" t="s">
        <v>544</v>
      </c>
      <c r="W46" s="117" t="s">
        <v>544</v>
      </c>
      <c r="X46" s="361">
        <v>0</v>
      </c>
      <c r="Y46" s="361">
        <v>0</v>
      </c>
      <c r="Z46" s="117" t="s">
        <v>544</v>
      </c>
      <c r="AA46" s="117" t="s">
        <v>544</v>
      </c>
      <c r="AB46" s="361">
        <v>0</v>
      </c>
      <c r="AC46" s="361">
        <v>0</v>
      </c>
      <c r="AD46" s="117" t="s">
        <v>544</v>
      </c>
      <c r="AE46" s="117">
        <f t="shared" si="4"/>
        <v>0</v>
      </c>
    </row>
    <row r="47" spans="1:33" ht="31.5" x14ac:dyDescent="0.25">
      <c r="A47" s="57" t="s">
        <v>142</v>
      </c>
      <c r="B47" s="33" t="s">
        <v>141</v>
      </c>
      <c r="C47" s="117" t="s">
        <v>544</v>
      </c>
      <c r="D47" s="361">
        <v>0</v>
      </c>
      <c r="E47" s="117">
        <f t="shared" si="1"/>
        <v>0</v>
      </c>
      <c r="F47" s="117">
        <f t="shared" si="2"/>
        <v>0</v>
      </c>
      <c r="G47" s="117">
        <f t="shared" si="0"/>
        <v>0</v>
      </c>
      <c r="H47" s="117">
        <v>0</v>
      </c>
      <c r="I47" s="361">
        <v>0</v>
      </c>
      <c r="J47" s="117" t="s">
        <v>544</v>
      </c>
      <c r="K47" s="117" t="s">
        <v>544</v>
      </c>
      <c r="L47" s="361">
        <v>0</v>
      </c>
      <c r="M47" s="361">
        <v>0</v>
      </c>
      <c r="N47" s="117" t="s">
        <v>544</v>
      </c>
      <c r="O47" s="117" t="s">
        <v>544</v>
      </c>
      <c r="P47" s="361">
        <v>0</v>
      </c>
      <c r="Q47" s="361">
        <v>0</v>
      </c>
      <c r="R47" s="117" t="s">
        <v>544</v>
      </c>
      <c r="S47" s="117" t="s">
        <v>544</v>
      </c>
      <c r="T47" s="361">
        <v>0</v>
      </c>
      <c r="U47" s="361">
        <v>0</v>
      </c>
      <c r="V47" s="117" t="s">
        <v>544</v>
      </c>
      <c r="W47" s="117" t="s">
        <v>544</v>
      </c>
      <c r="X47" s="361">
        <v>0</v>
      </c>
      <c r="Y47" s="361">
        <v>0</v>
      </c>
      <c r="Z47" s="117" t="s">
        <v>544</v>
      </c>
      <c r="AA47" s="117" t="s">
        <v>544</v>
      </c>
      <c r="AB47" s="361">
        <v>0</v>
      </c>
      <c r="AC47" s="361">
        <v>0</v>
      </c>
      <c r="AD47" s="117" t="s">
        <v>544</v>
      </c>
      <c r="AE47" s="117">
        <f t="shared" si="4"/>
        <v>0</v>
      </c>
    </row>
    <row r="48" spans="1:33" ht="31.5" x14ac:dyDescent="0.25">
      <c r="A48" s="57" t="s">
        <v>140</v>
      </c>
      <c r="B48" s="33" t="s">
        <v>139</v>
      </c>
      <c r="C48" s="117" t="s">
        <v>544</v>
      </c>
      <c r="D48" s="361">
        <v>0</v>
      </c>
      <c r="E48" s="117">
        <f t="shared" si="1"/>
        <v>0</v>
      </c>
      <c r="F48" s="117">
        <f t="shared" si="2"/>
        <v>0</v>
      </c>
      <c r="G48" s="117">
        <f t="shared" si="0"/>
        <v>0</v>
      </c>
      <c r="H48" s="117">
        <v>0</v>
      </c>
      <c r="I48" s="361">
        <v>0</v>
      </c>
      <c r="J48" s="117" t="s">
        <v>544</v>
      </c>
      <c r="K48" s="117" t="s">
        <v>544</v>
      </c>
      <c r="L48" s="361">
        <v>0</v>
      </c>
      <c r="M48" s="361">
        <v>0</v>
      </c>
      <c r="N48" s="117" t="s">
        <v>544</v>
      </c>
      <c r="O48" s="117" t="s">
        <v>544</v>
      </c>
      <c r="P48" s="361">
        <v>0</v>
      </c>
      <c r="Q48" s="361">
        <v>0</v>
      </c>
      <c r="R48" s="117" t="s">
        <v>544</v>
      </c>
      <c r="S48" s="117" t="s">
        <v>544</v>
      </c>
      <c r="T48" s="361">
        <v>0</v>
      </c>
      <c r="U48" s="361">
        <v>0</v>
      </c>
      <c r="V48" s="117" t="s">
        <v>544</v>
      </c>
      <c r="W48" s="117" t="s">
        <v>544</v>
      </c>
      <c r="X48" s="361">
        <v>0</v>
      </c>
      <c r="Y48" s="361">
        <v>0</v>
      </c>
      <c r="Z48" s="117" t="s">
        <v>544</v>
      </c>
      <c r="AA48" s="117" t="s">
        <v>544</v>
      </c>
      <c r="AB48" s="361">
        <v>0</v>
      </c>
      <c r="AC48" s="361">
        <v>0</v>
      </c>
      <c r="AD48" s="117" t="s">
        <v>544</v>
      </c>
      <c r="AE48" s="117">
        <f t="shared" si="4"/>
        <v>0</v>
      </c>
    </row>
    <row r="49" spans="1:31" x14ac:dyDescent="0.25">
      <c r="A49" s="57" t="s">
        <v>138</v>
      </c>
      <c r="B49" s="33" t="s">
        <v>137</v>
      </c>
      <c r="C49" s="117" t="s">
        <v>544</v>
      </c>
      <c r="D49" s="361">
        <v>0</v>
      </c>
      <c r="E49" s="117">
        <f t="shared" si="1"/>
        <v>0</v>
      </c>
      <c r="F49" s="117">
        <f t="shared" si="2"/>
        <v>0</v>
      </c>
      <c r="G49" s="117">
        <f t="shared" si="0"/>
        <v>0</v>
      </c>
      <c r="H49" s="117">
        <v>0</v>
      </c>
      <c r="I49" s="361">
        <v>0</v>
      </c>
      <c r="J49" s="117" t="s">
        <v>544</v>
      </c>
      <c r="K49" s="117" t="s">
        <v>544</v>
      </c>
      <c r="L49" s="361">
        <v>0</v>
      </c>
      <c r="M49" s="361">
        <v>0</v>
      </c>
      <c r="N49" s="117" t="s">
        <v>544</v>
      </c>
      <c r="O49" s="117" t="s">
        <v>544</v>
      </c>
      <c r="P49" s="361">
        <v>0</v>
      </c>
      <c r="Q49" s="361">
        <v>0</v>
      </c>
      <c r="R49" s="117" t="s">
        <v>544</v>
      </c>
      <c r="S49" s="117" t="s">
        <v>544</v>
      </c>
      <c r="T49" s="361">
        <v>0</v>
      </c>
      <c r="U49" s="361">
        <v>0</v>
      </c>
      <c r="V49" s="117" t="s">
        <v>544</v>
      </c>
      <c r="W49" s="117" t="s">
        <v>544</v>
      </c>
      <c r="X49" s="361">
        <v>0</v>
      </c>
      <c r="Y49" s="361">
        <v>0</v>
      </c>
      <c r="Z49" s="117" t="s">
        <v>544</v>
      </c>
      <c r="AA49" s="117" t="s">
        <v>544</v>
      </c>
      <c r="AB49" s="361">
        <v>0</v>
      </c>
      <c r="AC49" s="361">
        <v>0</v>
      </c>
      <c r="AD49" s="117" t="s">
        <v>544</v>
      </c>
      <c r="AE49" s="117">
        <f t="shared" si="4"/>
        <v>0</v>
      </c>
    </row>
    <row r="50" spans="1:31" ht="18.75" x14ac:dyDescent="0.25">
      <c r="A50" s="57" t="s">
        <v>136</v>
      </c>
      <c r="B50" s="365" t="s">
        <v>558</v>
      </c>
      <c r="C50" s="117" t="s">
        <v>544</v>
      </c>
      <c r="D50" s="361">
        <v>20</v>
      </c>
      <c r="E50" s="117">
        <f t="shared" si="1"/>
        <v>20</v>
      </c>
      <c r="F50" s="117">
        <f t="shared" si="2"/>
        <v>20</v>
      </c>
      <c r="G50" s="117">
        <f t="shared" si="0"/>
        <v>20</v>
      </c>
      <c r="H50" s="117">
        <v>0</v>
      </c>
      <c r="I50" s="361">
        <v>0</v>
      </c>
      <c r="J50" s="366" t="s">
        <v>544</v>
      </c>
      <c r="K50" s="117" t="s">
        <v>544</v>
      </c>
      <c r="L50" s="361">
        <v>0</v>
      </c>
      <c r="M50" s="361">
        <v>0</v>
      </c>
      <c r="N50" s="117" t="s">
        <v>544</v>
      </c>
      <c r="O50" s="117" t="s">
        <v>544</v>
      </c>
      <c r="P50" s="361">
        <v>0</v>
      </c>
      <c r="Q50" s="361">
        <v>0</v>
      </c>
      <c r="R50" s="117" t="s">
        <v>544</v>
      </c>
      <c r="S50" s="117" t="s">
        <v>544</v>
      </c>
      <c r="T50" s="361">
        <v>0</v>
      </c>
      <c r="U50" s="361">
        <v>0</v>
      </c>
      <c r="V50" s="117" t="s">
        <v>544</v>
      </c>
      <c r="W50" s="117" t="s">
        <v>544</v>
      </c>
      <c r="X50" s="361">
        <v>0</v>
      </c>
      <c r="Y50" s="361">
        <v>0</v>
      </c>
      <c r="Z50" s="117" t="s">
        <v>544</v>
      </c>
      <c r="AA50" s="117" t="s">
        <v>544</v>
      </c>
      <c r="AB50" s="361">
        <v>0</v>
      </c>
      <c r="AC50" s="361">
        <v>0</v>
      </c>
      <c r="AD50" s="117" t="s">
        <v>544</v>
      </c>
      <c r="AE50" s="117">
        <f t="shared" si="4"/>
        <v>0</v>
      </c>
    </row>
    <row r="51" spans="1:31" ht="35.25" customHeight="1" x14ac:dyDescent="0.25">
      <c r="A51" s="57" t="s">
        <v>57</v>
      </c>
      <c r="B51" s="33" t="s">
        <v>135</v>
      </c>
      <c r="C51" s="117" t="s">
        <v>544</v>
      </c>
      <c r="D51" s="361">
        <v>0</v>
      </c>
      <c r="E51" s="117">
        <f t="shared" si="1"/>
        <v>0</v>
      </c>
      <c r="F51" s="117">
        <f t="shared" si="2"/>
        <v>0</v>
      </c>
      <c r="G51" s="117">
        <f t="shared" si="0"/>
        <v>0</v>
      </c>
      <c r="H51" s="117">
        <v>0</v>
      </c>
      <c r="I51" s="361">
        <v>0</v>
      </c>
      <c r="J51" s="117" t="s">
        <v>544</v>
      </c>
      <c r="K51" s="117" t="s">
        <v>544</v>
      </c>
      <c r="L51" s="361">
        <v>0</v>
      </c>
      <c r="M51" s="361">
        <v>0</v>
      </c>
      <c r="N51" s="117" t="s">
        <v>544</v>
      </c>
      <c r="O51" s="117" t="s">
        <v>544</v>
      </c>
      <c r="P51" s="361">
        <v>0</v>
      </c>
      <c r="Q51" s="361">
        <v>0</v>
      </c>
      <c r="R51" s="117" t="s">
        <v>544</v>
      </c>
      <c r="S51" s="117" t="s">
        <v>544</v>
      </c>
      <c r="T51" s="361">
        <v>0</v>
      </c>
      <c r="U51" s="361">
        <v>0</v>
      </c>
      <c r="V51" s="117" t="s">
        <v>544</v>
      </c>
      <c r="W51" s="117" t="s">
        <v>544</v>
      </c>
      <c r="X51" s="361">
        <v>0</v>
      </c>
      <c r="Y51" s="361">
        <v>0</v>
      </c>
      <c r="Z51" s="117" t="s">
        <v>544</v>
      </c>
      <c r="AA51" s="117" t="s">
        <v>544</v>
      </c>
      <c r="AB51" s="361">
        <v>0</v>
      </c>
      <c r="AC51" s="361">
        <v>0</v>
      </c>
      <c r="AD51" s="117" t="s">
        <v>544</v>
      </c>
      <c r="AE51" s="117">
        <f t="shared" si="4"/>
        <v>0</v>
      </c>
    </row>
    <row r="52" spans="1:31" x14ac:dyDescent="0.25">
      <c r="A52" s="57" t="s">
        <v>134</v>
      </c>
      <c r="B52" s="33" t="s">
        <v>133</v>
      </c>
      <c r="C52" s="117" t="s">
        <v>544</v>
      </c>
      <c r="D52" s="361">
        <f>D30</f>
        <v>185.57182606594</v>
      </c>
      <c r="E52" s="117">
        <f t="shared" si="1"/>
        <v>185.57182606594</v>
      </c>
      <c r="F52" s="117">
        <f t="shared" si="2"/>
        <v>185.57182606594</v>
      </c>
      <c r="G52" s="117">
        <f t="shared" si="0"/>
        <v>185.57182606594</v>
      </c>
      <c r="H52" s="117">
        <v>0</v>
      </c>
      <c r="I52" s="361">
        <v>0</v>
      </c>
      <c r="J52" s="117" t="s">
        <v>544</v>
      </c>
      <c r="K52" s="117" t="s">
        <v>544</v>
      </c>
      <c r="L52" s="361">
        <v>0</v>
      </c>
      <c r="M52" s="361">
        <v>0</v>
      </c>
      <c r="N52" s="117" t="s">
        <v>544</v>
      </c>
      <c r="O52" s="117" t="s">
        <v>544</v>
      </c>
      <c r="P52" s="361">
        <v>0</v>
      </c>
      <c r="Q52" s="361">
        <v>0</v>
      </c>
      <c r="R52" s="117" t="s">
        <v>544</v>
      </c>
      <c r="S52" s="117" t="s">
        <v>544</v>
      </c>
      <c r="T52" s="361">
        <v>0</v>
      </c>
      <c r="U52" s="361">
        <v>0</v>
      </c>
      <c r="V52" s="117" t="s">
        <v>544</v>
      </c>
      <c r="W52" s="117" t="s">
        <v>544</v>
      </c>
      <c r="X52" s="361">
        <v>0</v>
      </c>
      <c r="Y52" s="361">
        <v>0</v>
      </c>
      <c r="Z52" s="117" t="s">
        <v>544</v>
      </c>
      <c r="AA52" s="117" t="s">
        <v>544</v>
      </c>
      <c r="AB52" s="361">
        <v>185.57182606594</v>
      </c>
      <c r="AC52" s="361">
        <v>0</v>
      </c>
      <c r="AD52" s="117" t="s">
        <v>544</v>
      </c>
      <c r="AE52" s="117">
        <f t="shared" si="4"/>
        <v>185.57182606594</v>
      </c>
    </row>
    <row r="53" spans="1:31" x14ac:dyDescent="0.25">
      <c r="A53" s="57" t="s">
        <v>132</v>
      </c>
      <c r="B53" s="33" t="s">
        <v>126</v>
      </c>
      <c r="C53" s="117" t="s">
        <v>544</v>
      </c>
      <c r="D53" s="361">
        <v>0</v>
      </c>
      <c r="E53" s="117">
        <f t="shared" si="1"/>
        <v>0</v>
      </c>
      <c r="F53" s="117">
        <f t="shared" si="2"/>
        <v>0</v>
      </c>
      <c r="G53" s="117">
        <f t="shared" si="0"/>
        <v>0</v>
      </c>
      <c r="H53" s="117">
        <v>0</v>
      </c>
      <c r="I53" s="361">
        <v>0</v>
      </c>
      <c r="J53" s="117" t="s">
        <v>544</v>
      </c>
      <c r="K53" s="117" t="s">
        <v>544</v>
      </c>
      <c r="L53" s="361">
        <v>0</v>
      </c>
      <c r="M53" s="361">
        <v>0</v>
      </c>
      <c r="N53" s="117" t="s">
        <v>544</v>
      </c>
      <c r="O53" s="117" t="s">
        <v>544</v>
      </c>
      <c r="P53" s="361">
        <v>0</v>
      </c>
      <c r="Q53" s="361">
        <v>0</v>
      </c>
      <c r="R53" s="117" t="s">
        <v>544</v>
      </c>
      <c r="S53" s="117" t="s">
        <v>544</v>
      </c>
      <c r="T53" s="361">
        <v>0</v>
      </c>
      <c r="U53" s="361">
        <v>0</v>
      </c>
      <c r="V53" s="117" t="s">
        <v>544</v>
      </c>
      <c r="W53" s="117" t="s">
        <v>544</v>
      </c>
      <c r="X53" s="361">
        <v>0</v>
      </c>
      <c r="Y53" s="361">
        <v>0</v>
      </c>
      <c r="Z53" s="117" t="s">
        <v>544</v>
      </c>
      <c r="AA53" s="117" t="s">
        <v>544</v>
      </c>
      <c r="AB53" s="361">
        <v>0</v>
      </c>
      <c r="AC53" s="361">
        <v>0</v>
      </c>
      <c r="AD53" s="117" t="s">
        <v>544</v>
      </c>
      <c r="AE53" s="117">
        <f t="shared" si="4"/>
        <v>0</v>
      </c>
    </row>
    <row r="54" spans="1:31" x14ac:dyDescent="0.25">
      <c r="A54" s="57" t="s">
        <v>131</v>
      </c>
      <c r="B54" s="365" t="s">
        <v>125</v>
      </c>
      <c r="C54" s="117" t="s">
        <v>544</v>
      </c>
      <c r="D54" s="361">
        <v>10</v>
      </c>
      <c r="E54" s="117">
        <f t="shared" si="1"/>
        <v>10</v>
      </c>
      <c r="F54" s="117">
        <f t="shared" si="2"/>
        <v>10</v>
      </c>
      <c r="G54" s="117">
        <f t="shared" si="0"/>
        <v>10</v>
      </c>
      <c r="H54" s="117">
        <v>0</v>
      </c>
      <c r="I54" s="361">
        <v>0</v>
      </c>
      <c r="J54" s="366" t="s">
        <v>544</v>
      </c>
      <c r="K54" s="117" t="s">
        <v>544</v>
      </c>
      <c r="L54" s="361">
        <v>0</v>
      </c>
      <c r="M54" s="361">
        <v>0</v>
      </c>
      <c r="N54" s="117" t="s">
        <v>544</v>
      </c>
      <c r="O54" s="117" t="s">
        <v>544</v>
      </c>
      <c r="P54" s="361">
        <v>0</v>
      </c>
      <c r="Q54" s="361">
        <v>0</v>
      </c>
      <c r="R54" s="117" t="s">
        <v>544</v>
      </c>
      <c r="S54" s="117" t="s">
        <v>544</v>
      </c>
      <c r="T54" s="361">
        <v>0</v>
      </c>
      <c r="U54" s="361">
        <v>0</v>
      </c>
      <c r="V54" s="117" t="s">
        <v>544</v>
      </c>
      <c r="W54" s="117" t="s">
        <v>544</v>
      </c>
      <c r="X54" s="361">
        <v>0</v>
      </c>
      <c r="Y54" s="361">
        <v>0</v>
      </c>
      <c r="Z54" s="117" t="s">
        <v>544</v>
      </c>
      <c r="AA54" s="117" t="s">
        <v>544</v>
      </c>
      <c r="AB54" s="361">
        <v>10</v>
      </c>
      <c r="AC54" s="361">
        <v>4</v>
      </c>
      <c r="AD54" s="117" t="s">
        <v>544</v>
      </c>
      <c r="AE54" s="117">
        <f t="shared" si="4"/>
        <v>10</v>
      </c>
    </row>
    <row r="55" spans="1:31" x14ac:dyDescent="0.25">
      <c r="A55" s="57" t="s">
        <v>130</v>
      </c>
      <c r="B55" s="365" t="s">
        <v>124</v>
      </c>
      <c r="C55" s="117" t="s">
        <v>544</v>
      </c>
      <c r="D55" s="361">
        <v>0</v>
      </c>
      <c r="E55" s="117">
        <f t="shared" si="1"/>
        <v>0</v>
      </c>
      <c r="F55" s="117">
        <f t="shared" si="2"/>
        <v>0</v>
      </c>
      <c r="G55" s="117">
        <f t="shared" si="0"/>
        <v>0</v>
      </c>
      <c r="H55" s="117">
        <v>0</v>
      </c>
      <c r="I55" s="361">
        <v>0</v>
      </c>
      <c r="J55" s="366" t="s">
        <v>544</v>
      </c>
      <c r="K55" s="117" t="s">
        <v>544</v>
      </c>
      <c r="L55" s="361">
        <v>0</v>
      </c>
      <c r="M55" s="361">
        <v>0</v>
      </c>
      <c r="N55" s="117" t="s">
        <v>544</v>
      </c>
      <c r="O55" s="117" t="s">
        <v>544</v>
      </c>
      <c r="P55" s="361">
        <v>0</v>
      </c>
      <c r="Q55" s="361">
        <v>0</v>
      </c>
      <c r="R55" s="117" t="s">
        <v>544</v>
      </c>
      <c r="S55" s="117" t="s">
        <v>544</v>
      </c>
      <c r="T55" s="361">
        <v>0</v>
      </c>
      <c r="U55" s="361">
        <v>0</v>
      </c>
      <c r="V55" s="117" t="s">
        <v>544</v>
      </c>
      <c r="W55" s="117" t="s">
        <v>544</v>
      </c>
      <c r="X55" s="361">
        <v>0</v>
      </c>
      <c r="Y55" s="361">
        <v>0</v>
      </c>
      <c r="Z55" s="117" t="s">
        <v>544</v>
      </c>
      <c r="AA55" s="117" t="s">
        <v>544</v>
      </c>
      <c r="AB55" s="361">
        <v>0</v>
      </c>
      <c r="AC55" s="361">
        <v>0</v>
      </c>
      <c r="AD55" s="117" t="s">
        <v>544</v>
      </c>
      <c r="AE55" s="117">
        <f t="shared" si="4"/>
        <v>0</v>
      </c>
    </row>
    <row r="56" spans="1:31" x14ac:dyDescent="0.25">
      <c r="A56" s="57" t="s">
        <v>129</v>
      </c>
      <c r="B56" s="365" t="s">
        <v>123</v>
      </c>
      <c r="C56" s="117" t="s">
        <v>544</v>
      </c>
      <c r="D56" s="361">
        <v>0</v>
      </c>
      <c r="E56" s="117">
        <f t="shared" si="1"/>
        <v>0</v>
      </c>
      <c r="F56" s="117">
        <f t="shared" si="2"/>
        <v>0</v>
      </c>
      <c r="G56" s="117">
        <f t="shared" si="0"/>
        <v>0</v>
      </c>
      <c r="H56" s="117">
        <v>0</v>
      </c>
      <c r="I56" s="361">
        <v>0</v>
      </c>
      <c r="J56" s="366" t="s">
        <v>544</v>
      </c>
      <c r="K56" s="117" t="s">
        <v>544</v>
      </c>
      <c r="L56" s="361">
        <v>0</v>
      </c>
      <c r="M56" s="361">
        <v>0</v>
      </c>
      <c r="N56" s="117" t="s">
        <v>544</v>
      </c>
      <c r="O56" s="117" t="s">
        <v>544</v>
      </c>
      <c r="P56" s="361">
        <v>0</v>
      </c>
      <c r="Q56" s="361">
        <v>0</v>
      </c>
      <c r="R56" s="117" t="s">
        <v>544</v>
      </c>
      <c r="S56" s="117" t="s">
        <v>544</v>
      </c>
      <c r="T56" s="361">
        <v>0</v>
      </c>
      <c r="U56" s="361">
        <v>0</v>
      </c>
      <c r="V56" s="117" t="s">
        <v>544</v>
      </c>
      <c r="W56" s="117" t="s">
        <v>544</v>
      </c>
      <c r="X56" s="361">
        <v>0</v>
      </c>
      <c r="Y56" s="361">
        <v>0</v>
      </c>
      <c r="Z56" s="117" t="s">
        <v>544</v>
      </c>
      <c r="AA56" s="117" t="s">
        <v>544</v>
      </c>
      <c r="AB56" s="361">
        <v>0</v>
      </c>
      <c r="AC56" s="361">
        <v>0</v>
      </c>
      <c r="AD56" s="117" t="s">
        <v>544</v>
      </c>
      <c r="AE56" s="117">
        <f t="shared" si="4"/>
        <v>0</v>
      </c>
    </row>
    <row r="57" spans="1:31" ht="18.75" x14ac:dyDescent="0.25">
      <c r="A57" s="57" t="s">
        <v>128</v>
      </c>
      <c r="B57" s="365" t="s">
        <v>558</v>
      </c>
      <c r="C57" s="117" t="s">
        <v>544</v>
      </c>
      <c r="D57" s="361">
        <v>0</v>
      </c>
      <c r="E57" s="117">
        <f t="shared" si="1"/>
        <v>0</v>
      </c>
      <c r="F57" s="117">
        <f t="shared" si="2"/>
        <v>0</v>
      </c>
      <c r="G57" s="117">
        <f t="shared" si="0"/>
        <v>0</v>
      </c>
      <c r="H57" s="117" t="str">
        <f>C57</f>
        <v>нд</v>
      </c>
      <c r="I57" s="361">
        <v>0</v>
      </c>
      <c r="J57" s="366" t="s">
        <v>544</v>
      </c>
      <c r="K57" s="117" t="s">
        <v>544</v>
      </c>
      <c r="L57" s="361">
        <v>0</v>
      </c>
      <c r="M57" s="361">
        <v>0</v>
      </c>
      <c r="N57" s="117" t="s">
        <v>544</v>
      </c>
      <c r="O57" s="117" t="s">
        <v>544</v>
      </c>
      <c r="P57" s="361">
        <v>0</v>
      </c>
      <c r="Q57" s="361">
        <v>0</v>
      </c>
      <c r="R57" s="117" t="s">
        <v>544</v>
      </c>
      <c r="S57" s="117" t="s">
        <v>544</v>
      </c>
      <c r="T57" s="361">
        <v>0</v>
      </c>
      <c r="U57" s="361">
        <v>0</v>
      </c>
      <c r="V57" s="117" t="s">
        <v>544</v>
      </c>
      <c r="W57" s="117" t="s">
        <v>544</v>
      </c>
      <c r="X57" s="361">
        <v>0</v>
      </c>
      <c r="Y57" s="361">
        <v>0</v>
      </c>
      <c r="Z57" s="117" t="s">
        <v>544</v>
      </c>
      <c r="AA57" s="117" t="s">
        <v>544</v>
      </c>
      <c r="AB57" s="361">
        <v>0</v>
      </c>
      <c r="AC57" s="361">
        <v>0</v>
      </c>
      <c r="AD57" s="117" t="s">
        <v>544</v>
      </c>
      <c r="AE57" s="117">
        <f t="shared" si="4"/>
        <v>0</v>
      </c>
    </row>
    <row r="58" spans="1:31" ht="36.75" customHeight="1" x14ac:dyDescent="0.25">
      <c r="A58" s="57" t="s">
        <v>56</v>
      </c>
      <c r="B58" s="365" t="s">
        <v>207</v>
      </c>
      <c r="C58" s="117" t="s">
        <v>544</v>
      </c>
      <c r="D58" s="361">
        <f>D52</f>
        <v>185.57182606594</v>
      </c>
      <c r="E58" s="117">
        <f t="shared" si="1"/>
        <v>185.57182606594</v>
      </c>
      <c r="F58" s="117">
        <f t="shared" si="2"/>
        <v>185.57182606594</v>
      </c>
      <c r="G58" s="117">
        <f t="shared" si="0"/>
        <v>185.57182606594</v>
      </c>
      <c r="H58" s="117">
        <v>0</v>
      </c>
      <c r="I58" s="361">
        <v>0</v>
      </c>
      <c r="J58" s="366" t="s">
        <v>544</v>
      </c>
      <c r="K58" s="117" t="s">
        <v>544</v>
      </c>
      <c r="L58" s="361">
        <v>0</v>
      </c>
      <c r="M58" s="361">
        <v>0</v>
      </c>
      <c r="N58" s="117" t="s">
        <v>544</v>
      </c>
      <c r="O58" s="117" t="s">
        <v>544</v>
      </c>
      <c r="P58" s="361">
        <v>0</v>
      </c>
      <c r="Q58" s="361">
        <v>0</v>
      </c>
      <c r="R58" s="117" t="s">
        <v>544</v>
      </c>
      <c r="S58" s="117" t="s">
        <v>544</v>
      </c>
      <c r="T58" s="361">
        <v>0</v>
      </c>
      <c r="U58" s="361">
        <v>0</v>
      </c>
      <c r="V58" s="117" t="s">
        <v>544</v>
      </c>
      <c r="W58" s="117" t="s">
        <v>544</v>
      </c>
      <c r="X58" s="361">
        <v>0</v>
      </c>
      <c r="Y58" s="361">
        <v>0</v>
      </c>
      <c r="Z58" s="117" t="s">
        <v>544</v>
      </c>
      <c r="AA58" s="117" t="s">
        <v>544</v>
      </c>
      <c r="AB58" s="361">
        <v>185.57182606594</v>
      </c>
      <c r="AC58" s="361">
        <v>0</v>
      </c>
      <c r="AD58" s="117" t="s">
        <v>544</v>
      </c>
      <c r="AE58" s="117">
        <f t="shared" si="4"/>
        <v>185.57182606594</v>
      </c>
    </row>
    <row r="59" spans="1:31" x14ac:dyDescent="0.25">
      <c r="A59" s="57" t="s">
        <v>54</v>
      </c>
      <c r="B59" s="33" t="s">
        <v>127</v>
      </c>
      <c r="C59" s="117" t="s">
        <v>544</v>
      </c>
      <c r="D59" s="361">
        <v>0</v>
      </c>
      <c r="E59" s="117">
        <f t="shared" si="1"/>
        <v>0</v>
      </c>
      <c r="F59" s="117">
        <f t="shared" si="2"/>
        <v>0</v>
      </c>
      <c r="G59" s="117">
        <f t="shared" si="0"/>
        <v>0</v>
      </c>
      <c r="H59" s="117">
        <v>0</v>
      </c>
      <c r="I59" s="361">
        <v>0</v>
      </c>
      <c r="J59" s="117" t="s">
        <v>544</v>
      </c>
      <c r="K59" s="117" t="s">
        <v>544</v>
      </c>
      <c r="L59" s="361">
        <v>0</v>
      </c>
      <c r="M59" s="361">
        <v>0</v>
      </c>
      <c r="N59" s="117" t="s">
        <v>544</v>
      </c>
      <c r="O59" s="117" t="s">
        <v>544</v>
      </c>
      <c r="P59" s="361">
        <v>0</v>
      </c>
      <c r="Q59" s="361">
        <v>0</v>
      </c>
      <c r="R59" s="117" t="s">
        <v>544</v>
      </c>
      <c r="S59" s="117" t="s">
        <v>544</v>
      </c>
      <c r="T59" s="361">
        <v>0</v>
      </c>
      <c r="U59" s="361">
        <v>0</v>
      </c>
      <c r="V59" s="117" t="s">
        <v>544</v>
      </c>
      <c r="W59" s="117" t="s">
        <v>544</v>
      </c>
      <c r="X59" s="361">
        <v>0</v>
      </c>
      <c r="Y59" s="361">
        <v>0</v>
      </c>
      <c r="Z59" s="117" t="s">
        <v>544</v>
      </c>
      <c r="AA59" s="117" t="s">
        <v>544</v>
      </c>
      <c r="AB59" s="361">
        <v>0</v>
      </c>
      <c r="AC59" s="361">
        <v>0</v>
      </c>
      <c r="AD59" s="117" t="s">
        <v>544</v>
      </c>
      <c r="AE59" s="117">
        <f t="shared" si="4"/>
        <v>0</v>
      </c>
    </row>
    <row r="60" spans="1:31" x14ac:dyDescent="0.25">
      <c r="A60" s="57" t="s">
        <v>201</v>
      </c>
      <c r="B60" s="367" t="s">
        <v>147</v>
      </c>
      <c r="C60" s="117" t="s">
        <v>544</v>
      </c>
      <c r="D60" s="361">
        <v>0</v>
      </c>
      <c r="E60" s="117">
        <f t="shared" si="1"/>
        <v>0</v>
      </c>
      <c r="F60" s="117">
        <f t="shared" si="2"/>
        <v>0</v>
      </c>
      <c r="G60" s="117">
        <f t="shared" si="0"/>
        <v>0</v>
      </c>
      <c r="H60" s="117">
        <v>0</v>
      </c>
      <c r="I60" s="361">
        <v>0</v>
      </c>
      <c r="J60" s="368" t="s">
        <v>544</v>
      </c>
      <c r="K60" s="117" t="s">
        <v>544</v>
      </c>
      <c r="L60" s="361">
        <v>0</v>
      </c>
      <c r="M60" s="361">
        <v>0</v>
      </c>
      <c r="N60" s="117" t="s">
        <v>544</v>
      </c>
      <c r="O60" s="117" t="s">
        <v>544</v>
      </c>
      <c r="P60" s="361">
        <v>0</v>
      </c>
      <c r="Q60" s="361">
        <v>0</v>
      </c>
      <c r="R60" s="117" t="s">
        <v>544</v>
      </c>
      <c r="S60" s="117" t="s">
        <v>544</v>
      </c>
      <c r="T60" s="361">
        <v>0</v>
      </c>
      <c r="U60" s="361">
        <v>0</v>
      </c>
      <c r="V60" s="117" t="s">
        <v>544</v>
      </c>
      <c r="W60" s="117" t="s">
        <v>544</v>
      </c>
      <c r="X60" s="361">
        <v>0</v>
      </c>
      <c r="Y60" s="361">
        <v>0</v>
      </c>
      <c r="Z60" s="117" t="s">
        <v>544</v>
      </c>
      <c r="AA60" s="117" t="s">
        <v>544</v>
      </c>
      <c r="AB60" s="361">
        <v>0</v>
      </c>
      <c r="AC60" s="361">
        <v>0</v>
      </c>
      <c r="AD60" s="117" t="s">
        <v>544</v>
      </c>
      <c r="AE60" s="117">
        <f t="shared" si="4"/>
        <v>0</v>
      </c>
    </row>
    <row r="61" spans="1:31" x14ac:dyDescent="0.25">
      <c r="A61" s="57" t="s">
        <v>202</v>
      </c>
      <c r="B61" s="367" t="s">
        <v>145</v>
      </c>
      <c r="C61" s="117" t="s">
        <v>544</v>
      </c>
      <c r="D61" s="361">
        <v>0</v>
      </c>
      <c r="E61" s="117">
        <f t="shared" si="1"/>
        <v>0</v>
      </c>
      <c r="F61" s="117">
        <f t="shared" si="2"/>
        <v>0</v>
      </c>
      <c r="G61" s="117">
        <f t="shared" si="0"/>
        <v>0</v>
      </c>
      <c r="H61" s="117">
        <v>0</v>
      </c>
      <c r="I61" s="361">
        <v>0</v>
      </c>
      <c r="J61" s="368" t="s">
        <v>544</v>
      </c>
      <c r="K61" s="117" t="s">
        <v>544</v>
      </c>
      <c r="L61" s="361">
        <v>0</v>
      </c>
      <c r="M61" s="361">
        <v>0</v>
      </c>
      <c r="N61" s="117" t="s">
        <v>544</v>
      </c>
      <c r="O61" s="117" t="s">
        <v>544</v>
      </c>
      <c r="P61" s="361">
        <v>0</v>
      </c>
      <c r="Q61" s="361">
        <v>0</v>
      </c>
      <c r="R61" s="117" t="s">
        <v>544</v>
      </c>
      <c r="S61" s="117" t="s">
        <v>544</v>
      </c>
      <c r="T61" s="361">
        <v>0</v>
      </c>
      <c r="U61" s="361">
        <v>0</v>
      </c>
      <c r="V61" s="117" t="s">
        <v>544</v>
      </c>
      <c r="W61" s="117" t="s">
        <v>544</v>
      </c>
      <c r="X61" s="361">
        <v>0</v>
      </c>
      <c r="Y61" s="361">
        <v>0</v>
      </c>
      <c r="Z61" s="117" t="s">
        <v>544</v>
      </c>
      <c r="AA61" s="117" t="s">
        <v>544</v>
      </c>
      <c r="AB61" s="361">
        <v>0</v>
      </c>
      <c r="AC61" s="361">
        <v>0</v>
      </c>
      <c r="AD61" s="117" t="s">
        <v>544</v>
      </c>
      <c r="AE61" s="117">
        <f t="shared" si="4"/>
        <v>0</v>
      </c>
    </row>
    <row r="62" spans="1:31" x14ac:dyDescent="0.25">
      <c r="A62" s="57" t="s">
        <v>203</v>
      </c>
      <c r="B62" s="367" t="s">
        <v>143</v>
      </c>
      <c r="C62" s="117" t="s">
        <v>544</v>
      </c>
      <c r="D62" s="361">
        <v>0</v>
      </c>
      <c r="E62" s="117">
        <f t="shared" si="1"/>
        <v>0</v>
      </c>
      <c r="F62" s="117">
        <f t="shared" si="2"/>
        <v>0</v>
      </c>
      <c r="G62" s="117">
        <f t="shared" si="0"/>
        <v>0</v>
      </c>
      <c r="H62" s="117">
        <v>0</v>
      </c>
      <c r="I62" s="361">
        <v>0</v>
      </c>
      <c r="J62" s="368" t="s">
        <v>544</v>
      </c>
      <c r="K62" s="117" t="s">
        <v>544</v>
      </c>
      <c r="L62" s="361">
        <v>0</v>
      </c>
      <c r="M62" s="361">
        <v>0</v>
      </c>
      <c r="N62" s="117" t="s">
        <v>544</v>
      </c>
      <c r="O62" s="117" t="s">
        <v>544</v>
      </c>
      <c r="P62" s="361">
        <v>0</v>
      </c>
      <c r="Q62" s="361">
        <v>0</v>
      </c>
      <c r="R62" s="117" t="s">
        <v>544</v>
      </c>
      <c r="S62" s="117" t="s">
        <v>544</v>
      </c>
      <c r="T62" s="361">
        <v>0</v>
      </c>
      <c r="U62" s="361">
        <v>0</v>
      </c>
      <c r="V62" s="117" t="s">
        <v>544</v>
      </c>
      <c r="W62" s="117" t="s">
        <v>544</v>
      </c>
      <c r="X62" s="361">
        <v>0</v>
      </c>
      <c r="Y62" s="361">
        <v>0</v>
      </c>
      <c r="Z62" s="117" t="s">
        <v>544</v>
      </c>
      <c r="AA62" s="117" t="s">
        <v>544</v>
      </c>
      <c r="AB62" s="361">
        <v>0</v>
      </c>
      <c r="AC62" s="361">
        <v>0</v>
      </c>
      <c r="AD62" s="117" t="s">
        <v>544</v>
      </c>
      <c r="AE62" s="117">
        <f t="shared" si="4"/>
        <v>0</v>
      </c>
    </row>
    <row r="63" spans="1:31" x14ac:dyDescent="0.25">
      <c r="A63" s="57" t="s">
        <v>204</v>
      </c>
      <c r="B63" s="367" t="s">
        <v>206</v>
      </c>
      <c r="C63" s="117" t="s">
        <v>544</v>
      </c>
      <c r="D63" s="361">
        <v>0</v>
      </c>
      <c r="E63" s="117">
        <f t="shared" si="1"/>
        <v>0</v>
      </c>
      <c r="F63" s="117">
        <f t="shared" si="2"/>
        <v>0</v>
      </c>
      <c r="G63" s="117">
        <f t="shared" si="0"/>
        <v>0</v>
      </c>
      <c r="H63" s="117">
        <v>0</v>
      </c>
      <c r="I63" s="361">
        <v>0</v>
      </c>
      <c r="J63" s="368" t="s">
        <v>544</v>
      </c>
      <c r="K63" s="117" t="s">
        <v>544</v>
      </c>
      <c r="L63" s="361">
        <v>0</v>
      </c>
      <c r="M63" s="361">
        <v>0</v>
      </c>
      <c r="N63" s="117" t="s">
        <v>544</v>
      </c>
      <c r="O63" s="117" t="s">
        <v>544</v>
      </c>
      <c r="P63" s="361">
        <v>0</v>
      </c>
      <c r="Q63" s="361">
        <v>0</v>
      </c>
      <c r="R63" s="117" t="s">
        <v>544</v>
      </c>
      <c r="S63" s="117" t="s">
        <v>544</v>
      </c>
      <c r="T63" s="361">
        <v>0</v>
      </c>
      <c r="U63" s="361">
        <v>0</v>
      </c>
      <c r="V63" s="117" t="s">
        <v>544</v>
      </c>
      <c r="W63" s="117" t="s">
        <v>544</v>
      </c>
      <c r="X63" s="361">
        <v>0</v>
      </c>
      <c r="Y63" s="361">
        <v>0</v>
      </c>
      <c r="Z63" s="117" t="s">
        <v>544</v>
      </c>
      <c r="AA63" s="117" t="s">
        <v>544</v>
      </c>
      <c r="AB63" s="361">
        <v>0</v>
      </c>
      <c r="AC63" s="361">
        <v>0</v>
      </c>
      <c r="AD63" s="117" t="s">
        <v>544</v>
      </c>
      <c r="AE63" s="117">
        <f t="shared" si="4"/>
        <v>0</v>
      </c>
    </row>
    <row r="64" spans="1:31" ht="18.75" x14ac:dyDescent="0.25">
      <c r="A64" s="57" t="s">
        <v>205</v>
      </c>
      <c r="B64" s="365" t="s">
        <v>558</v>
      </c>
      <c r="C64" s="117" t="s">
        <v>544</v>
      </c>
      <c r="D64" s="361">
        <v>0</v>
      </c>
      <c r="E64" s="117">
        <f t="shared" si="1"/>
        <v>0</v>
      </c>
      <c r="F64" s="117">
        <f t="shared" si="2"/>
        <v>0</v>
      </c>
      <c r="G64" s="117">
        <f t="shared" si="0"/>
        <v>0</v>
      </c>
      <c r="H64" s="117">
        <v>0</v>
      </c>
      <c r="I64" s="361">
        <v>0</v>
      </c>
      <c r="J64" s="366" t="s">
        <v>544</v>
      </c>
      <c r="K64" s="117" t="s">
        <v>544</v>
      </c>
      <c r="L64" s="361">
        <v>0</v>
      </c>
      <c r="M64" s="361">
        <v>0</v>
      </c>
      <c r="N64" s="117" t="s">
        <v>544</v>
      </c>
      <c r="O64" s="117" t="s">
        <v>544</v>
      </c>
      <c r="P64" s="361">
        <v>0</v>
      </c>
      <c r="Q64" s="361">
        <v>0</v>
      </c>
      <c r="R64" s="117" t="s">
        <v>544</v>
      </c>
      <c r="S64" s="117" t="s">
        <v>544</v>
      </c>
      <c r="T64" s="361">
        <v>0</v>
      </c>
      <c r="U64" s="361">
        <v>0</v>
      </c>
      <c r="V64" s="117" t="s">
        <v>544</v>
      </c>
      <c r="W64" s="117" t="s">
        <v>544</v>
      </c>
      <c r="X64" s="361">
        <v>0</v>
      </c>
      <c r="Y64" s="361">
        <v>0</v>
      </c>
      <c r="Z64" s="117" t="s">
        <v>544</v>
      </c>
      <c r="AA64" s="117" t="s">
        <v>544</v>
      </c>
      <c r="AB64" s="361">
        <v>0</v>
      </c>
      <c r="AC64" s="361">
        <v>0</v>
      </c>
      <c r="AD64" s="117" t="s">
        <v>544</v>
      </c>
      <c r="AE64" s="117">
        <f t="shared" si="4"/>
        <v>0</v>
      </c>
    </row>
    <row r="65" spans="1:29" x14ac:dyDescent="0.25">
      <c r="A65" s="53"/>
      <c r="B65" s="54"/>
      <c r="C65" s="54"/>
      <c r="D65" s="54"/>
      <c r="E65" s="54"/>
      <c r="F65" s="54"/>
      <c r="G65" s="54"/>
      <c r="H65" s="54"/>
      <c r="I65" s="54"/>
    </row>
    <row r="66" spans="1:29" ht="54" customHeight="1" x14ac:dyDescent="0.25">
      <c r="B66" s="482"/>
      <c r="C66" s="482"/>
      <c r="D66" s="482"/>
      <c r="E66" s="482"/>
      <c r="F66" s="482"/>
      <c r="G66" s="482"/>
      <c r="H66" s="386"/>
      <c r="I66" s="386"/>
      <c r="J66" s="52"/>
      <c r="K66" s="52"/>
      <c r="L66" s="52"/>
      <c r="M66" s="52"/>
      <c r="N66" s="52"/>
      <c r="O66" s="52"/>
      <c r="P66" s="52"/>
      <c r="Q66" s="52"/>
      <c r="R66" s="52"/>
      <c r="S66" s="52"/>
      <c r="T66" s="52"/>
      <c r="U66" s="52"/>
      <c r="V66" s="52"/>
      <c r="W66" s="52"/>
      <c r="X66" s="52"/>
      <c r="Y66" s="52"/>
      <c r="Z66" s="52"/>
      <c r="AA66" s="52"/>
      <c r="AB66" s="52"/>
      <c r="AC66" s="52"/>
    </row>
    <row r="68" spans="1:29" ht="50.25" customHeight="1" x14ac:dyDescent="0.25">
      <c r="B68" s="483"/>
      <c r="C68" s="483"/>
      <c r="D68" s="483"/>
      <c r="E68" s="483"/>
      <c r="F68" s="483"/>
      <c r="G68" s="483"/>
      <c r="H68" s="387"/>
      <c r="I68" s="387"/>
    </row>
    <row r="70" spans="1:29" ht="36.75" customHeight="1" x14ac:dyDescent="0.25">
      <c r="B70" s="482"/>
      <c r="C70" s="482"/>
      <c r="D70" s="482"/>
      <c r="E70" s="482"/>
      <c r="F70" s="482"/>
      <c r="G70" s="482"/>
      <c r="H70" s="386"/>
      <c r="I70" s="386"/>
    </row>
    <row r="71" spans="1:29" x14ac:dyDescent="0.25">
      <c r="B71" s="51"/>
      <c r="C71" s="51"/>
      <c r="D71" s="51"/>
      <c r="E71" s="51"/>
      <c r="F71" s="51"/>
    </row>
    <row r="72" spans="1:29" ht="51" customHeight="1" x14ac:dyDescent="0.25">
      <c r="B72" s="482"/>
      <c r="C72" s="482"/>
      <c r="D72" s="482"/>
      <c r="E72" s="482"/>
      <c r="F72" s="482"/>
      <c r="G72" s="482"/>
      <c r="H72" s="386"/>
      <c r="I72" s="386"/>
    </row>
    <row r="73" spans="1:29" ht="32.25" customHeight="1" x14ac:dyDescent="0.25">
      <c r="B73" s="483"/>
      <c r="C73" s="483"/>
      <c r="D73" s="483"/>
      <c r="E73" s="483"/>
      <c r="F73" s="483"/>
      <c r="G73" s="483"/>
      <c r="H73" s="387"/>
      <c r="I73" s="387"/>
    </row>
    <row r="74" spans="1:29" ht="51.75" customHeight="1" x14ac:dyDescent="0.25">
      <c r="B74" s="482"/>
      <c r="C74" s="482"/>
      <c r="D74" s="482"/>
      <c r="E74" s="482"/>
      <c r="F74" s="482"/>
      <c r="G74" s="482"/>
      <c r="H74" s="386"/>
      <c r="I74" s="386"/>
    </row>
    <row r="75" spans="1:29" ht="21.75" customHeight="1" x14ac:dyDescent="0.25">
      <c r="B75" s="489"/>
      <c r="C75" s="489"/>
      <c r="D75" s="489"/>
      <c r="E75" s="489"/>
      <c r="F75" s="489"/>
      <c r="G75" s="489"/>
      <c r="H75" s="384"/>
      <c r="I75" s="384"/>
    </row>
    <row r="76" spans="1:29" ht="23.25" customHeight="1" x14ac:dyDescent="0.25">
      <c r="B76" s="46"/>
      <c r="C76" s="46"/>
      <c r="D76" s="46"/>
      <c r="E76" s="46"/>
      <c r="F76" s="46"/>
    </row>
    <row r="77" spans="1:29" ht="18.75" customHeight="1" x14ac:dyDescent="0.25">
      <c r="B77" s="481"/>
      <c r="C77" s="481"/>
      <c r="D77" s="481"/>
      <c r="E77" s="481"/>
      <c r="F77" s="481"/>
      <c r="G77" s="481"/>
      <c r="H77" s="385"/>
      <c r="I77" s="385"/>
    </row>
  </sheetData>
  <mergeCells count="40">
    <mergeCell ref="J20:M20"/>
    <mergeCell ref="N20:Q20"/>
    <mergeCell ref="R20:U20"/>
    <mergeCell ref="V20:Y20"/>
    <mergeCell ref="Z20:AC20"/>
    <mergeCell ref="A12:AD12"/>
    <mergeCell ref="A4:AD4"/>
    <mergeCell ref="A6:AD6"/>
    <mergeCell ref="A8:AD8"/>
    <mergeCell ref="A9:AD9"/>
    <mergeCell ref="A11:AD11"/>
    <mergeCell ref="A14:AD14"/>
    <mergeCell ref="A15:AD15"/>
    <mergeCell ref="A16:AD16"/>
    <mergeCell ref="A18:AD18"/>
    <mergeCell ref="A20:A22"/>
    <mergeCell ref="B20:B22"/>
    <mergeCell ref="V21:W21"/>
    <mergeCell ref="Z21:AA21"/>
    <mergeCell ref="H20:H22"/>
    <mergeCell ref="X21:Y21"/>
    <mergeCell ref="AB21:AC21"/>
    <mergeCell ref="AD20:AE21"/>
    <mergeCell ref="I20:I22"/>
    <mergeCell ref="C20:D21"/>
    <mergeCell ref="J21:K21"/>
    <mergeCell ref="E20:G21"/>
    <mergeCell ref="B77:G77"/>
    <mergeCell ref="B66:G66"/>
    <mergeCell ref="B68:G68"/>
    <mergeCell ref="B72:G72"/>
    <mergeCell ref="B73:G73"/>
    <mergeCell ref="B74:G74"/>
    <mergeCell ref="B70:G70"/>
    <mergeCell ref="B75:G75"/>
    <mergeCell ref="N21:O21"/>
    <mergeCell ref="R21:S21"/>
    <mergeCell ref="L21:M21"/>
    <mergeCell ref="P21:Q21"/>
    <mergeCell ref="T21:U21"/>
  </mergeCells>
  <conditionalFormatting sqref="J24:O24 L25:M64 P24:Q64">
    <cfRule type="cellIs" dxfId="17" priority="58" operator="greaterThan">
      <formula>0</formula>
    </cfRule>
  </conditionalFormatting>
  <conditionalFormatting sqref="E24:E64 J24:O24 J25:M64 P24:Q64">
    <cfRule type="cellIs" dxfId="16" priority="54" operator="notEqual">
      <formula>0</formula>
    </cfRule>
  </conditionalFormatting>
  <conditionalFormatting sqref="N25:O64">
    <cfRule type="cellIs" dxfId="15" priority="45" operator="notEqual">
      <formula>0</formula>
    </cfRule>
  </conditionalFormatting>
  <conditionalFormatting sqref="F24:F64">
    <cfRule type="cellIs" dxfId="14" priority="30" operator="notEqual">
      <formula>0</formula>
    </cfRule>
  </conditionalFormatting>
  <conditionalFormatting sqref="G24:G64">
    <cfRule type="cellIs" dxfId="13" priority="29" operator="notEqual">
      <formula>0</formula>
    </cfRule>
  </conditionalFormatting>
  <conditionalFormatting sqref="H25:I64">
    <cfRule type="cellIs" dxfId="12" priority="22" operator="notEqual">
      <formula>0</formula>
    </cfRule>
  </conditionalFormatting>
  <conditionalFormatting sqref="C24:D64">
    <cfRule type="cellIs" dxfId="11" priority="19" operator="greaterThan">
      <formula>0</formula>
    </cfRule>
  </conditionalFormatting>
  <conditionalFormatting sqref="C24:D64">
    <cfRule type="cellIs" dxfId="10" priority="18" operator="notEqual">
      <formula>0</formula>
    </cfRule>
  </conditionalFormatting>
  <conditionalFormatting sqref="H24:I24">
    <cfRule type="cellIs" dxfId="9" priority="17" operator="greaterThan">
      <formula>0</formula>
    </cfRule>
  </conditionalFormatting>
  <conditionalFormatting sqref="H24:I24">
    <cfRule type="cellIs" dxfId="8" priority="16" operator="notEqual">
      <formula>0</formula>
    </cfRule>
  </conditionalFormatting>
  <conditionalFormatting sqref="AD24:AD64">
    <cfRule type="cellIs" dxfId="7" priority="9" operator="notEqual">
      <formula>0</formula>
    </cfRule>
  </conditionalFormatting>
  <conditionalFormatting sqref="AE24:AE64">
    <cfRule type="cellIs" dxfId="6" priority="8" operator="notEqual">
      <formula>0</formula>
    </cfRule>
  </conditionalFormatting>
  <conditionalFormatting sqref="R24:S24">
    <cfRule type="cellIs" dxfId="5" priority="6" operator="greaterThan">
      <formula>0</formula>
    </cfRule>
  </conditionalFormatting>
  <conditionalFormatting sqref="R24:S24">
    <cfRule type="cellIs" dxfId="4" priority="5" operator="notEqual">
      <formula>0</formula>
    </cfRule>
  </conditionalFormatting>
  <conditionalFormatting sqref="R25:S64">
    <cfRule type="cellIs" dxfId="3" priority="4" operator="notEqual">
      <formula>0</formula>
    </cfRule>
  </conditionalFormatting>
  <conditionalFormatting sqref="V24:W24">
    <cfRule type="cellIs" dxfId="2" priority="3" operator="greaterThan">
      <formula>0</formula>
    </cfRule>
  </conditionalFormatting>
  <conditionalFormatting sqref="V24:W24">
    <cfRule type="cellIs" dxfId="1" priority="2" operator="notEqual">
      <formula>0</formula>
    </cfRule>
  </conditionalFormatting>
  <conditionalFormatting sqref="V25:W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5" sqref="A15:AV15"/>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94" t="str">
        <f>'1. паспорт местоположение'!A5:C5</f>
        <v>Год раскрытия информации: 2022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4"/>
    </row>
    <row r="7" spans="1:48" ht="18.75" x14ac:dyDescent="0.25">
      <c r="A7" s="403" t="s">
        <v>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row>
    <row r="8" spans="1:48" ht="18.75" x14ac:dyDescent="0.25">
      <c r="A8" s="403"/>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row>
    <row r="9" spans="1:48" ht="15.75" x14ac:dyDescent="0.25">
      <c r="A9" s="401" t="str">
        <f>'1. паспорт местоположение'!A9:C9</f>
        <v xml:space="preserve">Акционерное общество "Западная энергетическая компания" </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407" t="s">
        <v>6</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ht="18.75" x14ac:dyDescent="0.25">
      <c r="A11" s="403"/>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row>
    <row r="12" spans="1:48" ht="15.75" x14ac:dyDescent="0.25">
      <c r="A12" s="401" t="str">
        <f>'1. паспорт местоположение'!A12:C12</f>
        <v>M 22-01</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407" t="s">
        <v>5</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408"/>
      <c r="AS14" s="408"/>
      <c r="AT14" s="408"/>
      <c r="AU14" s="408"/>
      <c r="AV14" s="408"/>
    </row>
    <row r="15" spans="1:48" ht="15.75" x14ac:dyDescent="0.25">
      <c r="A15" s="401"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407" t="s">
        <v>4</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180"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180" customFormat="1" x14ac:dyDescent="0.25">
      <c r="A21" s="530" t="s">
        <v>406</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180" customFormat="1" ht="58.5" customHeight="1" x14ac:dyDescent="0.25">
      <c r="A22" s="531" t="s">
        <v>50</v>
      </c>
      <c r="B22" s="535" t="s">
        <v>22</v>
      </c>
      <c r="C22" s="521" t="s">
        <v>49</v>
      </c>
      <c r="D22" s="521" t="s">
        <v>48</v>
      </c>
      <c r="E22" s="538" t="s">
        <v>416</v>
      </c>
      <c r="F22" s="539"/>
      <c r="G22" s="539"/>
      <c r="H22" s="539"/>
      <c r="I22" s="539"/>
      <c r="J22" s="539"/>
      <c r="K22" s="539"/>
      <c r="L22" s="540"/>
      <c r="M22" s="521" t="s">
        <v>47</v>
      </c>
      <c r="N22" s="521" t="s">
        <v>46</v>
      </c>
      <c r="O22" s="521" t="s">
        <v>45</v>
      </c>
      <c r="P22" s="516" t="s">
        <v>228</v>
      </c>
      <c r="Q22" s="516" t="s">
        <v>44</v>
      </c>
      <c r="R22" s="516" t="s">
        <v>43</v>
      </c>
      <c r="S22" s="516" t="s">
        <v>42</v>
      </c>
      <c r="T22" s="516"/>
      <c r="U22" s="541" t="s">
        <v>41</v>
      </c>
      <c r="V22" s="541" t="s">
        <v>40</v>
      </c>
      <c r="W22" s="516" t="s">
        <v>39</v>
      </c>
      <c r="X22" s="516" t="s">
        <v>38</v>
      </c>
      <c r="Y22" s="516" t="s">
        <v>37</v>
      </c>
      <c r="Z22" s="523"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4" t="s">
        <v>23</v>
      </c>
    </row>
    <row r="23" spans="1:48" s="180" customFormat="1" ht="64.5" customHeight="1" x14ac:dyDescent="0.25">
      <c r="A23" s="532"/>
      <c r="B23" s="536"/>
      <c r="C23" s="534"/>
      <c r="D23" s="534"/>
      <c r="E23" s="526" t="s">
        <v>21</v>
      </c>
      <c r="F23" s="517" t="s">
        <v>126</v>
      </c>
      <c r="G23" s="517" t="s">
        <v>125</v>
      </c>
      <c r="H23" s="517" t="s">
        <v>124</v>
      </c>
      <c r="I23" s="519" t="s">
        <v>354</v>
      </c>
      <c r="J23" s="519" t="s">
        <v>355</v>
      </c>
      <c r="K23" s="519" t="s">
        <v>356</v>
      </c>
      <c r="L23" s="517" t="s">
        <v>74</v>
      </c>
      <c r="M23" s="534"/>
      <c r="N23" s="534"/>
      <c r="O23" s="534"/>
      <c r="P23" s="516"/>
      <c r="Q23" s="516"/>
      <c r="R23" s="516"/>
      <c r="S23" s="528" t="s">
        <v>2</v>
      </c>
      <c r="T23" s="528" t="s">
        <v>9</v>
      </c>
      <c r="U23" s="541"/>
      <c r="V23" s="541"/>
      <c r="W23" s="516"/>
      <c r="X23" s="516"/>
      <c r="Y23" s="516"/>
      <c r="Z23" s="516"/>
      <c r="AA23" s="516"/>
      <c r="AB23" s="516"/>
      <c r="AC23" s="516"/>
      <c r="AD23" s="516"/>
      <c r="AE23" s="516"/>
      <c r="AF23" s="516" t="s">
        <v>20</v>
      </c>
      <c r="AG23" s="516"/>
      <c r="AH23" s="516" t="s">
        <v>19</v>
      </c>
      <c r="AI23" s="516"/>
      <c r="AJ23" s="521" t="s">
        <v>18</v>
      </c>
      <c r="AK23" s="521" t="s">
        <v>17</v>
      </c>
      <c r="AL23" s="521" t="s">
        <v>16</v>
      </c>
      <c r="AM23" s="521" t="s">
        <v>15</v>
      </c>
      <c r="AN23" s="521" t="s">
        <v>14</v>
      </c>
      <c r="AO23" s="521" t="s">
        <v>13</v>
      </c>
      <c r="AP23" s="521" t="s">
        <v>12</v>
      </c>
      <c r="AQ23" s="542" t="s">
        <v>9</v>
      </c>
      <c r="AR23" s="516"/>
      <c r="AS23" s="516"/>
      <c r="AT23" s="516"/>
      <c r="AU23" s="516"/>
      <c r="AV23" s="525"/>
    </row>
    <row r="24" spans="1:48" s="180" customFormat="1" ht="96.75" customHeight="1" x14ac:dyDescent="0.25">
      <c r="A24" s="533"/>
      <c r="B24" s="537"/>
      <c r="C24" s="522"/>
      <c r="D24" s="522"/>
      <c r="E24" s="527"/>
      <c r="F24" s="518"/>
      <c r="G24" s="518"/>
      <c r="H24" s="518"/>
      <c r="I24" s="520"/>
      <c r="J24" s="520"/>
      <c r="K24" s="520"/>
      <c r="L24" s="518"/>
      <c r="M24" s="522"/>
      <c r="N24" s="522"/>
      <c r="O24" s="522"/>
      <c r="P24" s="516"/>
      <c r="Q24" s="516"/>
      <c r="R24" s="516"/>
      <c r="S24" s="529"/>
      <c r="T24" s="529"/>
      <c r="U24" s="541"/>
      <c r="V24" s="541"/>
      <c r="W24" s="516"/>
      <c r="X24" s="516"/>
      <c r="Y24" s="516"/>
      <c r="Z24" s="516"/>
      <c r="AA24" s="516"/>
      <c r="AB24" s="516"/>
      <c r="AC24" s="516"/>
      <c r="AD24" s="516"/>
      <c r="AE24" s="516"/>
      <c r="AF24" s="181" t="s">
        <v>11</v>
      </c>
      <c r="AG24" s="181" t="s">
        <v>10</v>
      </c>
      <c r="AH24" s="182" t="s">
        <v>2</v>
      </c>
      <c r="AI24" s="182" t="s">
        <v>9</v>
      </c>
      <c r="AJ24" s="522"/>
      <c r="AK24" s="522"/>
      <c r="AL24" s="522"/>
      <c r="AM24" s="522"/>
      <c r="AN24" s="522"/>
      <c r="AO24" s="522"/>
      <c r="AP24" s="522"/>
      <c r="AQ24" s="543"/>
      <c r="AR24" s="516"/>
      <c r="AS24" s="516"/>
      <c r="AT24" s="516"/>
      <c r="AU24" s="516"/>
      <c r="AV24" s="525"/>
    </row>
    <row r="25" spans="1:48" s="185" customFormat="1" ht="11.25" x14ac:dyDescent="0.2">
      <c r="A25" s="183">
        <v>1</v>
      </c>
      <c r="B25" s="184">
        <v>2</v>
      </c>
      <c r="C25" s="184">
        <v>4</v>
      </c>
      <c r="D25" s="184">
        <v>5</v>
      </c>
      <c r="E25" s="184">
        <v>6</v>
      </c>
      <c r="F25" s="184">
        <f t="shared" ref="F25:AV25" si="0">E25+1</f>
        <v>7</v>
      </c>
      <c r="G25" s="184">
        <f t="shared" si="0"/>
        <v>8</v>
      </c>
      <c r="H25" s="184">
        <f t="shared" si="0"/>
        <v>9</v>
      </c>
      <c r="I25" s="184">
        <f t="shared" si="0"/>
        <v>10</v>
      </c>
      <c r="J25" s="184">
        <f t="shared" si="0"/>
        <v>11</v>
      </c>
      <c r="K25" s="184">
        <f t="shared" si="0"/>
        <v>12</v>
      </c>
      <c r="L25" s="184">
        <f t="shared" si="0"/>
        <v>13</v>
      </c>
      <c r="M25" s="184">
        <f t="shared" si="0"/>
        <v>14</v>
      </c>
      <c r="N25" s="184">
        <f t="shared" si="0"/>
        <v>15</v>
      </c>
      <c r="O25" s="184">
        <f t="shared" si="0"/>
        <v>16</v>
      </c>
      <c r="P25" s="184">
        <f t="shared" si="0"/>
        <v>17</v>
      </c>
      <c r="Q25" s="184">
        <f t="shared" si="0"/>
        <v>18</v>
      </c>
      <c r="R25" s="184">
        <f t="shared" si="0"/>
        <v>19</v>
      </c>
      <c r="S25" s="184">
        <f t="shared" si="0"/>
        <v>20</v>
      </c>
      <c r="T25" s="184">
        <f t="shared" si="0"/>
        <v>21</v>
      </c>
      <c r="U25" s="184">
        <f t="shared" si="0"/>
        <v>22</v>
      </c>
      <c r="V25" s="184">
        <f t="shared" si="0"/>
        <v>23</v>
      </c>
      <c r="W25" s="184">
        <f t="shared" si="0"/>
        <v>24</v>
      </c>
      <c r="X25" s="184">
        <f t="shared" si="0"/>
        <v>25</v>
      </c>
      <c r="Y25" s="184">
        <f t="shared" si="0"/>
        <v>26</v>
      </c>
      <c r="Z25" s="184">
        <f t="shared" si="0"/>
        <v>27</v>
      </c>
      <c r="AA25" s="184">
        <f t="shared" si="0"/>
        <v>28</v>
      </c>
      <c r="AB25" s="184">
        <f t="shared" si="0"/>
        <v>29</v>
      </c>
      <c r="AC25" s="184">
        <f t="shared" si="0"/>
        <v>30</v>
      </c>
      <c r="AD25" s="184">
        <f t="shared" si="0"/>
        <v>31</v>
      </c>
      <c r="AE25" s="184">
        <f t="shared" si="0"/>
        <v>32</v>
      </c>
      <c r="AF25" s="184">
        <f t="shared" si="0"/>
        <v>33</v>
      </c>
      <c r="AG25" s="184">
        <f t="shared" si="0"/>
        <v>34</v>
      </c>
      <c r="AH25" s="184">
        <f t="shared" si="0"/>
        <v>35</v>
      </c>
      <c r="AI25" s="184">
        <f t="shared" si="0"/>
        <v>36</v>
      </c>
      <c r="AJ25" s="184">
        <f t="shared" si="0"/>
        <v>37</v>
      </c>
      <c r="AK25" s="184">
        <f t="shared" si="0"/>
        <v>38</v>
      </c>
      <c r="AL25" s="184">
        <f t="shared" si="0"/>
        <v>39</v>
      </c>
      <c r="AM25" s="184">
        <f t="shared" si="0"/>
        <v>40</v>
      </c>
      <c r="AN25" s="184">
        <f t="shared" si="0"/>
        <v>41</v>
      </c>
      <c r="AO25" s="184">
        <f t="shared" si="0"/>
        <v>42</v>
      </c>
      <c r="AP25" s="184">
        <f t="shared" si="0"/>
        <v>43</v>
      </c>
      <c r="AQ25" s="184">
        <f t="shared" si="0"/>
        <v>44</v>
      </c>
      <c r="AR25" s="184">
        <f t="shared" si="0"/>
        <v>45</v>
      </c>
      <c r="AS25" s="184">
        <f t="shared" si="0"/>
        <v>46</v>
      </c>
      <c r="AT25" s="184">
        <f t="shared" si="0"/>
        <v>47</v>
      </c>
      <c r="AU25" s="184">
        <f t="shared" si="0"/>
        <v>48</v>
      </c>
      <c r="AV25" s="184">
        <f t="shared" si="0"/>
        <v>49</v>
      </c>
    </row>
    <row r="26" spans="1:48" s="193" customFormat="1" ht="63" x14ac:dyDescent="0.25">
      <c r="A26" s="186">
        <v>1</v>
      </c>
      <c r="B26" s="187" t="str">
        <f>A9</f>
        <v xml:space="preserve">Акционерное общество "Западная энергетическая компания" </v>
      </c>
      <c r="C26" s="187" t="s">
        <v>62</v>
      </c>
      <c r="D26" s="203" t="s">
        <v>544</v>
      </c>
      <c r="E26" s="187"/>
      <c r="F26" s="187"/>
      <c r="G26" s="187">
        <f>'3.1. паспорт Техсостояние ПС'!O25</f>
        <v>26</v>
      </c>
      <c r="H26" s="187"/>
      <c r="I26" s="187"/>
      <c r="J26" s="187">
        <v>5.6660000000000004</v>
      </c>
      <c r="K26" s="187">
        <v>1.85</v>
      </c>
      <c r="L26" s="187"/>
      <c r="M26" s="187" t="s">
        <v>535</v>
      </c>
      <c r="N26" s="187" t="s">
        <v>570</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5"/>
      <c r="AQ26" s="225"/>
      <c r="AR26" s="225"/>
      <c r="AS26" s="225"/>
      <c r="AT26" s="225"/>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03" zoomScale="90" zoomScaleNormal="90" zoomScaleSheetLayoutView="90" workbookViewId="0">
      <selection activeCell="B33" sqref="B33"/>
    </sheetView>
  </sheetViews>
  <sheetFormatPr defaultRowHeight="15.75" x14ac:dyDescent="0.25"/>
  <cols>
    <col min="1" max="2" width="66.140625" style="74" customWidth="1"/>
    <col min="3" max="3" width="8.85546875" style="44" hidden="1" customWidth="1"/>
    <col min="4" max="4" width="11.71093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9" t="str">
        <f>'1. паспорт местоположение'!A5:C5</f>
        <v>Год раскрытия информации: 2022 год</v>
      </c>
      <c r="B5" s="549"/>
      <c r="C5" s="68"/>
      <c r="D5" s="68"/>
      <c r="E5" s="68"/>
      <c r="F5" s="68"/>
      <c r="G5" s="68"/>
      <c r="H5" s="68"/>
    </row>
    <row r="6" spans="1:8" ht="18.75" x14ac:dyDescent="0.3">
      <c r="A6" s="100"/>
      <c r="B6" s="100"/>
      <c r="C6" s="100"/>
      <c r="D6" s="100"/>
      <c r="E6" s="100"/>
      <c r="F6" s="100"/>
      <c r="G6" s="100"/>
      <c r="H6" s="100"/>
    </row>
    <row r="7" spans="1:8" ht="18.75" x14ac:dyDescent="0.25">
      <c r="A7" s="403" t="s">
        <v>7</v>
      </c>
      <c r="B7" s="403"/>
      <c r="C7" s="138"/>
      <c r="D7" s="138"/>
      <c r="E7" s="138"/>
      <c r="F7" s="138"/>
      <c r="G7" s="138"/>
      <c r="H7" s="138"/>
    </row>
    <row r="8" spans="1:8" ht="18.75" x14ac:dyDescent="0.25">
      <c r="A8" s="138"/>
      <c r="B8" s="138"/>
      <c r="C8" s="138"/>
      <c r="D8" s="138"/>
      <c r="E8" s="138"/>
      <c r="F8" s="138"/>
      <c r="G8" s="138"/>
      <c r="H8" s="138"/>
    </row>
    <row r="9" spans="1:8" x14ac:dyDescent="0.25">
      <c r="A9" s="401" t="str">
        <f>'1. паспорт местоположение'!A9:C9</f>
        <v xml:space="preserve">Акционерное общество "Западная энергетическая компания" </v>
      </c>
      <c r="B9" s="401"/>
      <c r="C9" s="140"/>
      <c r="D9" s="140"/>
      <c r="E9" s="140"/>
      <c r="F9" s="140"/>
      <c r="G9" s="140"/>
      <c r="H9" s="140"/>
    </row>
    <row r="10" spans="1:8" x14ac:dyDescent="0.25">
      <c r="A10" s="407" t="s">
        <v>6</v>
      </c>
      <c r="B10" s="407"/>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01" t="str">
        <f>'1. паспорт местоположение'!A12:C12</f>
        <v>M 22-01</v>
      </c>
      <c r="B12" s="401"/>
      <c r="C12" s="140"/>
      <c r="D12" s="140"/>
      <c r="E12" s="140"/>
      <c r="F12" s="140"/>
      <c r="G12" s="140"/>
      <c r="H12" s="140"/>
    </row>
    <row r="13" spans="1:8" x14ac:dyDescent="0.25">
      <c r="A13" s="407" t="s">
        <v>5</v>
      </c>
      <c r="B13" s="407"/>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38"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38"/>
      <c r="C15" s="140"/>
      <c r="D15" s="140"/>
      <c r="E15" s="140"/>
      <c r="F15" s="140"/>
      <c r="G15" s="140"/>
      <c r="H15" s="140"/>
    </row>
    <row r="16" spans="1:8" x14ac:dyDescent="0.25">
      <c r="A16" s="407" t="s">
        <v>4</v>
      </c>
      <c r="B16" s="407"/>
      <c r="C16" s="141"/>
      <c r="D16" s="141"/>
      <c r="E16" s="141"/>
      <c r="F16" s="141"/>
      <c r="G16" s="141"/>
      <c r="H16" s="141"/>
    </row>
    <row r="17" spans="1:2" x14ac:dyDescent="0.25">
      <c r="B17" s="75"/>
    </row>
    <row r="18" spans="1:2" ht="33.75" customHeight="1" x14ac:dyDescent="0.25">
      <c r="A18" s="544" t="s">
        <v>407</v>
      </c>
      <c r="B18" s="545"/>
    </row>
    <row r="19" spans="1:2" x14ac:dyDescent="0.25">
      <c r="B19" s="32"/>
    </row>
    <row r="20" spans="1:2" ht="16.5" thickBot="1" x14ac:dyDescent="0.3">
      <c r="B20" s="76"/>
    </row>
    <row r="21" spans="1:2" ht="65.25" customHeight="1" thickBot="1" x14ac:dyDescent="0.3">
      <c r="A21" s="77" t="s">
        <v>305</v>
      </c>
      <c r="B21" s="129" t="str">
        <f>A15</f>
        <v>Строительство второй очереди ПС 110 Прибрежная с установкой второго трансформатора 10МВА г. Калининград, пос. Прибрежный</v>
      </c>
    </row>
    <row r="22" spans="1:2" ht="30" customHeight="1" thickBot="1" x14ac:dyDescent="0.3">
      <c r="A22" s="77" t="s">
        <v>306</v>
      </c>
      <c r="B22" s="235" t="str">
        <f>'1. паспорт местоположение'!C27</f>
        <v>г. Калининград, пос. Прибрежный</v>
      </c>
    </row>
    <row r="23" spans="1:2" ht="16.5" thickBot="1" x14ac:dyDescent="0.3">
      <c r="A23" s="77" t="s">
        <v>289</v>
      </c>
      <c r="B23" s="79" t="s">
        <v>550</v>
      </c>
    </row>
    <row r="24" spans="1:2" ht="16.5" thickBot="1" x14ac:dyDescent="0.3">
      <c r="A24" s="77" t="s">
        <v>307</v>
      </c>
      <c r="B24" s="79" t="s">
        <v>665</v>
      </c>
    </row>
    <row r="25" spans="1:2" ht="16.5" thickBot="1" x14ac:dyDescent="0.3">
      <c r="A25" s="80" t="s">
        <v>308</v>
      </c>
      <c r="B25" s="78">
        <v>2023</v>
      </c>
    </row>
    <row r="26" spans="1:2" ht="16.5" thickBot="1" x14ac:dyDescent="0.3">
      <c r="A26" s="81" t="s">
        <v>309</v>
      </c>
      <c r="B26" s="127" t="s">
        <v>664</v>
      </c>
    </row>
    <row r="27" spans="1:2" ht="29.25" thickBot="1" x14ac:dyDescent="0.3">
      <c r="A27" s="88" t="s">
        <v>658</v>
      </c>
      <c r="B27" s="128">
        <f>'6.2. Паспорт фин осв ввод'!D24</f>
        <v>222.686191279128</v>
      </c>
    </row>
    <row r="28" spans="1:2" ht="42" customHeight="1" thickBot="1" x14ac:dyDescent="0.3">
      <c r="A28" s="83" t="s">
        <v>310</v>
      </c>
      <c r="B28" s="83" t="s">
        <v>571</v>
      </c>
    </row>
    <row r="29" spans="1:2" ht="29.25" thickBot="1" x14ac:dyDescent="0.3">
      <c r="A29" s="89" t="s">
        <v>311</v>
      </c>
      <c r="B29" s="128"/>
    </row>
    <row r="30" spans="1:2" ht="29.25" thickBot="1" x14ac:dyDescent="0.3">
      <c r="A30" s="89" t="s">
        <v>312</v>
      </c>
      <c r="B30" s="128"/>
    </row>
    <row r="31" spans="1:2" ht="16.5" thickBot="1" x14ac:dyDescent="0.3">
      <c r="A31" s="83" t="s">
        <v>313</v>
      </c>
      <c r="B31" s="128"/>
    </row>
    <row r="32" spans="1:2" ht="29.25" thickBot="1" x14ac:dyDescent="0.3">
      <c r="A32" s="89" t="s">
        <v>314</v>
      </c>
      <c r="B32" s="107"/>
    </row>
    <row r="33" spans="1:3" s="194" customFormat="1" ht="16.5" thickBot="1" x14ac:dyDescent="0.3">
      <c r="A33" s="201"/>
      <c r="B33" s="242"/>
      <c r="C33" s="194">
        <v>10</v>
      </c>
    </row>
    <row r="34" spans="1:3" ht="16.5" thickBot="1" x14ac:dyDescent="0.3">
      <c r="A34" s="83" t="s">
        <v>316</v>
      </c>
      <c r="B34" s="110">
        <f>B33/$B$27</f>
        <v>0</v>
      </c>
    </row>
    <row r="35" spans="1:3" ht="16.5" thickBot="1" x14ac:dyDescent="0.3">
      <c r="A35" s="83" t="s">
        <v>317</v>
      </c>
      <c r="B35" s="243"/>
      <c r="C35" s="44">
        <v>1</v>
      </c>
    </row>
    <row r="36" spans="1:3" ht="16.5" thickBot="1" x14ac:dyDescent="0.3">
      <c r="A36" s="83" t="s">
        <v>318</v>
      </c>
      <c r="B36" s="128"/>
      <c r="C36" s="44">
        <v>2</v>
      </c>
    </row>
    <row r="37" spans="1:3" s="194" customFormat="1" ht="30.75" thickBot="1" x14ac:dyDescent="0.3">
      <c r="A37" s="108" t="s">
        <v>583</v>
      </c>
      <c r="B37" s="109"/>
      <c r="C37" s="194">
        <v>10</v>
      </c>
    </row>
    <row r="38" spans="1:3" ht="16.5" thickBot="1" x14ac:dyDescent="0.3">
      <c r="A38" s="83" t="s">
        <v>316</v>
      </c>
      <c r="B38" s="110" t="s">
        <v>544</v>
      </c>
    </row>
    <row r="39" spans="1:3" ht="16.5" thickBot="1" x14ac:dyDescent="0.3">
      <c r="A39" s="83" t="s">
        <v>317</v>
      </c>
      <c r="B39" s="107"/>
      <c r="C39" s="44">
        <v>1</v>
      </c>
    </row>
    <row r="40" spans="1:3" ht="16.5" thickBot="1" x14ac:dyDescent="0.3">
      <c r="A40" s="83" t="s">
        <v>318</v>
      </c>
      <c r="B40" s="107"/>
      <c r="C40" s="44">
        <v>2</v>
      </c>
    </row>
    <row r="41" spans="1:3" ht="16.5" thickBot="1" x14ac:dyDescent="0.3">
      <c r="A41" s="108" t="s">
        <v>315</v>
      </c>
      <c r="B41" s="109"/>
      <c r="C41" s="194">
        <v>10</v>
      </c>
    </row>
    <row r="42" spans="1:3" ht="16.5" thickBot="1" x14ac:dyDescent="0.3">
      <c r="A42" s="83" t="s">
        <v>316</v>
      </c>
      <c r="B42" s="110" t="s">
        <v>544</v>
      </c>
    </row>
    <row r="43" spans="1:3" ht="16.5" thickBot="1" x14ac:dyDescent="0.3">
      <c r="A43" s="83" t="s">
        <v>317</v>
      </c>
      <c r="B43" s="107"/>
      <c r="C43" s="44">
        <v>1</v>
      </c>
    </row>
    <row r="44" spans="1:3" ht="16.5" thickBot="1" x14ac:dyDescent="0.3">
      <c r="A44" s="83" t="s">
        <v>318</v>
      </c>
      <c r="B44" s="107"/>
      <c r="C44" s="44">
        <v>2</v>
      </c>
    </row>
    <row r="45" spans="1:3" ht="16.5" thickBot="1" x14ac:dyDescent="0.3">
      <c r="A45" s="108" t="s">
        <v>315</v>
      </c>
      <c r="B45" s="109"/>
      <c r="C45" s="194">
        <v>10</v>
      </c>
    </row>
    <row r="46" spans="1:3" ht="16.5" thickBot="1" x14ac:dyDescent="0.3">
      <c r="A46" s="83" t="s">
        <v>316</v>
      </c>
      <c r="B46" s="110" t="s">
        <v>544</v>
      </c>
    </row>
    <row r="47" spans="1:3" ht="16.5" thickBot="1" x14ac:dyDescent="0.3">
      <c r="A47" s="83" t="s">
        <v>317</v>
      </c>
      <c r="B47" s="107"/>
      <c r="C47" s="44">
        <v>1</v>
      </c>
    </row>
    <row r="48" spans="1:3" ht="16.5" thickBot="1" x14ac:dyDescent="0.3">
      <c r="A48" s="83" t="s">
        <v>318</v>
      </c>
      <c r="B48" s="107"/>
      <c r="C48" s="44">
        <v>2</v>
      </c>
    </row>
    <row r="49" spans="1:3" ht="16.5" thickBot="1" x14ac:dyDescent="0.3">
      <c r="A49" s="108" t="s">
        <v>315</v>
      </c>
      <c r="B49" s="109"/>
      <c r="C49" s="194">
        <v>10</v>
      </c>
    </row>
    <row r="50" spans="1:3" ht="16.5" thickBot="1" x14ac:dyDescent="0.3">
      <c r="A50" s="83" t="s">
        <v>316</v>
      </c>
      <c r="B50" s="110" t="s">
        <v>544</v>
      </c>
    </row>
    <row r="51" spans="1:3" ht="16.5" thickBot="1" x14ac:dyDescent="0.3">
      <c r="A51" s="83" t="s">
        <v>317</v>
      </c>
      <c r="B51" s="107"/>
      <c r="C51" s="44">
        <v>1</v>
      </c>
    </row>
    <row r="52" spans="1:3" ht="16.5" thickBot="1" x14ac:dyDescent="0.3">
      <c r="A52" s="83" t="s">
        <v>318</v>
      </c>
      <c r="B52" s="107"/>
      <c r="C52" s="44">
        <v>2</v>
      </c>
    </row>
    <row r="53" spans="1:3" ht="29.25" thickBot="1" x14ac:dyDescent="0.3">
      <c r="A53" s="89" t="s">
        <v>319</v>
      </c>
      <c r="B53" s="107"/>
    </row>
    <row r="54" spans="1:3" s="194" customFormat="1" ht="16.5" thickBot="1" x14ac:dyDescent="0.3">
      <c r="A54" s="240"/>
      <c r="B54" s="241"/>
      <c r="C54" s="194">
        <v>20</v>
      </c>
    </row>
    <row r="55" spans="1:3" ht="16.5" thickBot="1" x14ac:dyDescent="0.3">
      <c r="A55" s="83" t="s">
        <v>316</v>
      </c>
      <c r="B55" s="110">
        <f>B54/$B$27</f>
        <v>0</v>
      </c>
    </row>
    <row r="56" spans="1:3" ht="16.5" thickBot="1" x14ac:dyDescent="0.3">
      <c r="A56" s="83" t="s">
        <v>317</v>
      </c>
      <c r="B56" s="107"/>
      <c r="C56" s="44">
        <v>1</v>
      </c>
    </row>
    <row r="57" spans="1:3" ht="16.5" thickBot="1" x14ac:dyDescent="0.3">
      <c r="A57" s="83" t="s">
        <v>318</v>
      </c>
      <c r="B57" s="107"/>
      <c r="C57" s="44">
        <v>2</v>
      </c>
    </row>
    <row r="58" spans="1:3" ht="16.5" thickBot="1" x14ac:dyDescent="0.3">
      <c r="A58" s="240"/>
      <c r="B58" s="241"/>
      <c r="C58" s="44">
        <v>20</v>
      </c>
    </row>
    <row r="59" spans="1:3" ht="16.5" thickBot="1" x14ac:dyDescent="0.3">
      <c r="A59" s="83" t="s">
        <v>316</v>
      </c>
      <c r="B59" s="110">
        <f>B58/$B$27</f>
        <v>0</v>
      </c>
    </row>
    <row r="60" spans="1:3" ht="16.5" thickBot="1" x14ac:dyDescent="0.3">
      <c r="A60" s="83" t="s">
        <v>317</v>
      </c>
      <c r="B60" s="107"/>
      <c r="C60" s="44">
        <v>1</v>
      </c>
    </row>
    <row r="61" spans="1:3" ht="16.5" thickBot="1" x14ac:dyDescent="0.3">
      <c r="A61" s="83" t="s">
        <v>318</v>
      </c>
      <c r="B61" s="107"/>
      <c r="C61" s="44">
        <v>2</v>
      </c>
    </row>
    <row r="62" spans="1:3" s="194" customFormat="1" ht="16.5" thickBot="1" x14ac:dyDescent="0.3">
      <c r="A62" s="240"/>
      <c r="B62" s="241"/>
      <c r="C62" s="194">
        <v>20</v>
      </c>
    </row>
    <row r="63" spans="1:3" ht="16.5" thickBot="1" x14ac:dyDescent="0.3">
      <c r="A63" s="83" t="s">
        <v>316</v>
      </c>
      <c r="B63" s="110">
        <f>B62/$B$27</f>
        <v>0</v>
      </c>
    </row>
    <row r="64" spans="1:3" ht="16.5" thickBot="1" x14ac:dyDescent="0.3">
      <c r="A64" s="83" t="s">
        <v>317</v>
      </c>
      <c r="B64" s="107"/>
      <c r="C64" s="44">
        <v>1</v>
      </c>
    </row>
    <row r="65" spans="1:3" ht="16.5" thickBot="1" x14ac:dyDescent="0.3">
      <c r="A65" s="83" t="s">
        <v>318</v>
      </c>
      <c r="B65" s="107"/>
      <c r="C65" s="44">
        <v>2</v>
      </c>
    </row>
    <row r="66" spans="1:3" s="194" customFormat="1" ht="16.5" thickBot="1" x14ac:dyDescent="0.3">
      <c r="A66" s="240"/>
      <c r="B66" s="241"/>
      <c r="C66" s="194">
        <v>20</v>
      </c>
    </row>
    <row r="67" spans="1:3" ht="16.5" thickBot="1" x14ac:dyDescent="0.3">
      <c r="A67" s="83" t="s">
        <v>316</v>
      </c>
      <c r="B67" s="110">
        <f>B66/$B$27</f>
        <v>0</v>
      </c>
    </row>
    <row r="68" spans="1:3" ht="16.5" thickBot="1" x14ac:dyDescent="0.3">
      <c r="A68" s="83" t="s">
        <v>317</v>
      </c>
      <c r="B68" s="107"/>
      <c r="C68" s="44">
        <v>1</v>
      </c>
    </row>
    <row r="69" spans="1:3" ht="16.5" thickBot="1" x14ac:dyDescent="0.3">
      <c r="A69" s="83" t="s">
        <v>318</v>
      </c>
      <c r="B69" s="107"/>
      <c r="C69" s="44">
        <v>2</v>
      </c>
    </row>
    <row r="70" spans="1:3" ht="16.5" thickBot="1" x14ac:dyDescent="0.3">
      <c r="A70" s="240"/>
      <c r="B70" s="241"/>
      <c r="C70" s="44">
        <v>20</v>
      </c>
    </row>
    <row r="71" spans="1:3" ht="16.5" thickBot="1" x14ac:dyDescent="0.3">
      <c r="A71" s="83" t="s">
        <v>316</v>
      </c>
      <c r="B71" s="110">
        <f>B70/$B$27</f>
        <v>0</v>
      </c>
    </row>
    <row r="72" spans="1:3" ht="16.5" thickBot="1" x14ac:dyDescent="0.3">
      <c r="A72" s="83" t="s">
        <v>317</v>
      </c>
      <c r="B72" s="107"/>
      <c r="C72" s="44">
        <v>1</v>
      </c>
    </row>
    <row r="73" spans="1:3" ht="16.5" thickBot="1" x14ac:dyDescent="0.3">
      <c r="A73" s="83" t="s">
        <v>318</v>
      </c>
      <c r="B73" s="107"/>
      <c r="C73" s="44">
        <v>2</v>
      </c>
    </row>
    <row r="74" spans="1:3" ht="16.5" thickBot="1" x14ac:dyDescent="0.3">
      <c r="A74" s="240"/>
      <c r="B74" s="241"/>
      <c r="C74" s="44">
        <v>20</v>
      </c>
    </row>
    <row r="75" spans="1:3" ht="16.5" thickBot="1" x14ac:dyDescent="0.3">
      <c r="A75" s="83" t="s">
        <v>316</v>
      </c>
      <c r="B75" s="110">
        <f>B74/$B$27</f>
        <v>0</v>
      </c>
    </row>
    <row r="76" spans="1:3" ht="16.5" thickBot="1" x14ac:dyDescent="0.3">
      <c r="A76" s="83" t="s">
        <v>317</v>
      </c>
      <c r="B76" s="107"/>
      <c r="C76" s="44">
        <v>1</v>
      </c>
    </row>
    <row r="77" spans="1:3" ht="16.5" thickBot="1" x14ac:dyDescent="0.3">
      <c r="A77" s="83" t="s">
        <v>318</v>
      </c>
      <c r="B77" s="107"/>
      <c r="C77" s="44">
        <v>2</v>
      </c>
    </row>
    <row r="78" spans="1:3" ht="16.5" thickBot="1" x14ac:dyDescent="0.3">
      <c r="A78" s="240"/>
      <c r="B78" s="241"/>
      <c r="C78" s="44">
        <v>20</v>
      </c>
    </row>
    <row r="79" spans="1:3" ht="16.5" thickBot="1" x14ac:dyDescent="0.3">
      <c r="A79" s="83" t="s">
        <v>316</v>
      </c>
      <c r="B79" s="110">
        <f>B78/$B$27</f>
        <v>0</v>
      </c>
    </row>
    <row r="80" spans="1:3" ht="16.5" thickBot="1" x14ac:dyDescent="0.3">
      <c r="A80" s="83" t="s">
        <v>317</v>
      </c>
      <c r="B80" s="107"/>
      <c r="C80" s="44">
        <v>1</v>
      </c>
    </row>
    <row r="81" spans="1:3" ht="16.5" thickBot="1" x14ac:dyDescent="0.3">
      <c r="A81" s="83" t="s">
        <v>318</v>
      </c>
      <c r="B81" s="107"/>
      <c r="C81" s="44">
        <v>2</v>
      </c>
    </row>
    <row r="82" spans="1:3" ht="16.5" thickBot="1" x14ac:dyDescent="0.3">
      <c r="A82" s="240"/>
      <c r="B82" s="241"/>
      <c r="C82" s="44">
        <v>20</v>
      </c>
    </row>
    <row r="83" spans="1:3" ht="16.5" thickBot="1" x14ac:dyDescent="0.3">
      <c r="A83" s="83" t="s">
        <v>316</v>
      </c>
      <c r="B83" s="110">
        <f>B82/$B$27</f>
        <v>0</v>
      </c>
    </row>
    <row r="84" spans="1:3" ht="16.5" thickBot="1" x14ac:dyDescent="0.3">
      <c r="A84" s="83" t="s">
        <v>317</v>
      </c>
      <c r="B84" s="107"/>
      <c r="C84" s="44">
        <v>1</v>
      </c>
    </row>
    <row r="85" spans="1:3" ht="16.5" thickBot="1" x14ac:dyDescent="0.3">
      <c r="A85" s="83" t="s">
        <v>318</v>
      </c>
      <c r="B85" s="107"/>
      <c r="C85" s="44">
        <v>2</v>
      </c>
    </row>
    <row r="86" spans="1:3" s="194" customFormat="1" ht="16.5" thickBot="1" x14ac:dyDescent="0.3">
      <c r="A86" s="240"/>
      <c r="B86" s="241"/>
    </row>
    <row r="87" spans="1:3" ht="16.5" thickBot="1" x14ac:dyDescent="0.3">
      <c r="A87" s="83" t="s">
        <v>316</v>
      </c>
      <c r="B87" s="110">
        <f>B86/$B$27</f>
        <v>0</v>
      </c>
    </row>
    <row r="88" spans="1:3" ht="16.5" thickBot="1" x14ac:dyDescent="0.3">
      <c r="A88" s="83" t="s">
        <v>317</v>
      </c>
      <c r="B88" s="107"/>
      <c r="C88" s="44">
        <v>1</v>
      </c>
    </row>
    <row r="89" spans="1:3" ht="16.5" thickBot="1" x14ac:dyDescent="0.3">
      <c r="A89" s="83" t="s">
        <v>318</v>
      </c>
      <c r="B89" s="107"/>
      <c r="C89" s="44">
        <v>2</v>
      </c>
    </row>
    <row r="90" spans="1:3" ht="29.25" thickBot="1" x14ac:dyDescent="0.3">
      <c r="A90" s="89" t="s">
        <v>320</v>
      </c>
      <c r="B90" s="107">
        <f xml:space="preserve"> SUMIF(C91:C110, 30,B91:B110)</f>
        <v>0</v>
      </c>
    </row>
    <row r="91" spans="1:3" s="194" customFormat="1" ht="16.5" thickBot="1" x14ac:dyDescent="0.3">
      <c r="A91" s="108" t="s">
        <v>315</v>
      </c>
      <c r="B91" s="202"/>
      <c r="C91" s="194">
        <v>30</v>
      </c>
    </row>
    <row r="92" spans="1:3" ht="16.5" thickBot="1" x14ac:dyDescent="0.3">
      <c r="A92" s="83" t="s">
        <v>316</v>
      </c>
      <c r="B92" s="110"/>
    </row>
    <row r="93" spans="1:3" ht="16.5" thickBot="1" x14ac:dyDescent="0.3">
      <c r="A93" s="83" t="s">
        <v>317</v>
      </c>
      <c r="B93" s="128"/>
      <c r="C93" s="44">
        <v>1</v>
      </c>
    </row>
    <row r="94" spans="1:3" ht="16.5" thickBot="1" x14ac:dyDescent="0.3">
      <c r="A94" s="83" t="s">
        <v>318</v>
      </c>
      <c r="B94" s="128"/>
      <c r="C94" s="44">
        <v>2</v>
      </c>
    </row>
    <row r="95" spans="1:3" s="194" customFormat="1" ht="16.5" thickBot="1" x14ac:dyDescent="0.3">
      <c r="A95" s="108" t="s">
        <v>315</v>
      </c>
      <c r="B95" s="202"/>
      <c r="C95" s="194">
        <v>30</v>
      </c>
    </row>
    <row r="96" spans="1:3" ht="16.5" thickBot="1" x14ac:dyDescent="0.3">
      <c r="A96" s="83" t="s">
        <v>316</v>
      </c>
      <c r="B96" s="110"/>
    </row>
    <row r="97" spans="1:3" ht="16.5" thickBot="1" x14ac:dyDescent="0.3">
      <c r="A97" s="83" t="s">
        <v>317</v>
      </c>
      <c r="B97" s="128"/>
      <c r="C97" s="44">
        <v>1</v>
      </c>
    </row>
    <row r="98" spans="1:3" ht="16.5" thickBot="1" x14ac:dyDescent="0.3">
      <c r="A98" s="83" t="s">
        <v>318</v>
      </c>
      <c r="B98" s="128"/>
      <c r="C98" s="44">
        <v>2</v>
      </c>
    </row>
    <row r="99" spans="1:3" s="194" customFormat="1" ht="16.5" thickBot="1" x14ac:dyDescent="0.3">
      <c r="A99" s="108" t="s">
        <v>315</v>
      </c>
      <c r="B99" s="202"/>
      <c r="C99" s="194">
        <v>30</v>
      </c>
    </row>
    <row r="100" spans="1:3" ht="16.5" thickBot="1" x14ac:dyDescent="0.3">
      <c r="A100" s="83" t="s">
        <v>316</v>
      </c>
      <c r="B100" s="110"/>
    </row>
    <row r="101" spans="1:3" ht="16.5" thickBot="1" x14ac:dyDescent="0.3">
      <c r="A101" s="83" t="s">
        <v>317</v>
      </c>
      <c r="B101" s="107"/>
      <c r="C101" s="44">
        <v>1</v>
      </c>
    </row>
    <row r="102" spans="1:3" ht="16.5" thickBot="1" x14ac:dyDescent="0.3">
      <c r="A102" s="83" t="s">
        <v>318</v>
      </c>
      <c r="B102" s="107"/>
      <c r="C102" s="44">
        <v>2</v>
      </c>
    </row>
    <row r="103" spans="1:3" s="194" customFormat="1" ht="16.5" thickBot="1" x14ac:dyDescent="0.3">
      <c r="A103" s="108" t="s">
        <v>315</v>
      </c>
      <c r="B103" s="109"/>
      <c r="C103" s="194">
        <v>30</v>
      </c>
    </row>
    <row r="104" spans="1:3" ht="16.5" thickBot="1" x14ac:dyDescent="0.3">
      <c r="A104" s="83" t="s">
        <v>316</v>
      </c>
      <c r="B104" s="110" t="s">
        <v>544</v>
      </c>
    </row>
    <row r="105" spans="1:3" ht="16.5" thickBot="1" x14ac:dyDescent="0.3">
      <c r="A105" s="83" t="s">
        <v>317</v>
      </c>
      <c r="B105" s="110" t="s">
        <v>544</v>
      </c>
      <c r="C105" s="44">
        <v>1</v>
      </c>
    </row>
    <row r="106" spans="1:3" ht="16.5" thickBot="1" x14ac:dyDescent="0.3">
      <c r="A106" s="83" t="s">
        <v>318</v>
      </c>
      <c r="B106" s="110" t="s">
        <v>544</v>
      </c>
      <c r="C106" s="44">
        <v>2</v>
      </c>
    </row>
    <row r="107" spans="1:3" s="194" customFormat="1" ht="16.5" thickBot="1" x14ac:dyDescent="0.3">
      <c r="A107" s="108" t="s">
        <v>315</v>
      </c>
      <c r="B107" s="110" t="s">
        <v>544</v>
      </c>
      <c r="C107" s="194">
        <v>30</v>
      </c>
    </row>
    <row r="108" spans="1:3" ht="16.5" thickBot="1" x14ac:dyDescent="0.3">
      <c r="A108" s="83" t="s">
        <v>316</v>
      </c>
      <c r="B108" s="110" t="s">
        <v>544</v>
      </c>
    </row>
    <row r="109" spans="1:3" ht="16.5" thickBot="1" x14ac:dyDescent="0.3">
      <c r="A109" s="83" t="s">
        <v>317</v>
      </c>
      <c r="B109" s="110" t="s">
        <v>544</v>
      </c>
      <c r="C109" s="44">
        <v>1</v>
      </c>
    </row>
    <row r="110" spans="1:3" ht="16.5" thickBot="1" x14ac:dyDescent="0.3">
      <c r="A110" s="83" t="s">
        <v>318</v>
      </c>
      <c r="B110" s="110" t="s">
        <v>544</v>
      </c>
      <c r="C110" s="44">
        <v>2</v>
      </c>
    </row>
    <row r="111" spans="1:3" ht="29.25" thickBot="1" x14ac:dyDescent="0.3">
      <c r="A111" s="82" t="s">
        <v>321</v>
      </c>
      <c r="B111" s="110" t="s">
        <v>544</v>
      </c>
    </row>
    <row r="112" spans="1:3" ht="16.5" thickBot="1" x14ac:dyDescent="0.3">
      <c r="A112" s="84" t="s">
        <v>313</v>
      </c>
      <c r="B112" s="110" t="s">
        <v>544</v>
      </c>
    </row>
    <row r="113" spans="1:2" ht="16.5" thickBot="1" x14ac:dyDescent="0.3">
      <c r="A113" s="84" t="s">
        <v>322</v>
      </c>
      <c r="B113" s="110"/>
    </row>
    <row r="114" spans="1:2" ht="16.5" thickBot="1" x14ac:dyDescent="0.3">
      <c r="A114" s="84" t="s">
        <v>323</v>
      </c>
      <c r="B114" s="110"/>
    </row>
    <row r="115" spans="1:2" ht="16.5" thickBot="1" x14ac:dyDescent="0.3">
      <c r="A115" s="84" t="s">
        <v>324</v>
      </c>
      <c r="B115" s="110" t="s">
        <v>544</v>
      </c>
    </row>
    <row r="116" spans="1:2" ht="16.5" thickBot="1" x14ac:dyDescent="0.3">
      <c r="A116" s="80" t="s">
        <v>325</v>
      </c>
      <c r="B116" s="110"/>
    </row>
    <row r="117" spans="1:2" ht="16.5" thickBot="1" x14ac:dyDescent="0.3">
      <c r="A117" s="80" t="s">
        <v>326</v>
      </c>
      <c r="B117" s="216"/>
    </row>
    <row r="118" spans="1:2" ht="16.5" thickBot="1" x14ac:dyDescent="0.3">
      <c r="A118" s="80" t="s">
        <v>327</v>
      </c>
      <c r="B118" s="110"/>
    </row>
    <row r="119" spans="1:2" ht="16.5" thickBot="1" x14ac:dyDescent="0.3">
      <c r="A119" s="81" t="s">
        <v>328</v>
      </c>
      <c r="B119" s="216"/>
    </row>
    <row r="120" spans="1:2" ht="15.75" customHeight="1" x14ac:dyDescent="0.25">
      <c r="A120" s="82" t="s">
        <v>329</v>
      </c>
      <c r="B120" s="84" t="s">
        <v>330</v>
      </c>
    </row>
    <row r="121" spans="1:2" x14ac:dyDescent="0.25">
      <c r="A121" s="86" t="s">
        <v>331</v>
      </c>
      <c r="B121" s="86" t="str">
        <f>A9</f>
        <v xml:space="preserve">Акционерное общество "Западная энергетическая компания" </v>
      </c>
    </row>
    <row r="122" spans="1:2" x14ac:dyDescent="0.25">
      <c r="A122" s="86" t="s">
        <v>332</v>
      </c>
      <c r="B122" s="86"/>
    </row>
    <row r="123" spans="1:2" x14ac:dyDescent="0.25">
      <c r="A123" s="86" t="s">
        <v>333</v>
      </c>
      <c r="B123" s="86"/>
    </row>
    <row r="124" spans="1:2" x14ac:dyDescent="0.25">
      <c r="A124" s="86" t="s">
        <v>334</v>
      </c>
      <c r="B124" s="86"/>
    </row>
    <row r="125" spans="1:2" ht="16.5" thickBot="1" x14ac:dyDescent="0.3">
      <c r="A125" s="87" t="s">
        <v>335</v>
      </c>
      <c r="B125" s="87"/>
    </row>
    <row r="126" spans="1:2" ht="30.75" thickBot="1" x14ac:dyDescent="0.3">
      <c r="A126" s="84" t="s">
        <v>336</v>
      </c>
      <c r="B126" s="85"/>
    </row>
    <row r="127" spans="1:2" ht="29.25" thickBot="1" x14ac:dyDescent="0.3">
      <c r="A127" s="80" t="s">
        <v>337</v>
      </c>
      <c r="B127" s="217"/>
    </row>
    <row r="128" spans="1:2" ht="16.5" thickBot="1" x14ac:dyDescent="0.3">
      <c r="A128" s="84" t="s">
        <v>313</v>
      </c>
      <c r="B128" s="218"/>
    </row>
    <row r="129" spans="1:2" ht="16.5" thickBot="1" x14ac:dyDescent="0.3">
      <c r="A129" s="84" t="s">
        <v>338</v>
      </c>
      <c r="B129" s="217"/>
    </row>
    <row r="130" spans="1:2" ht="16.5" thickBot="1" x14ac:dyDescent="0.3">
      <c r="A130" s="84" t="s">
        <v>339</v>
      </c>
      <c r="B130" s="218"/>
    </row>
    <row r="131" spans="1:2" ht="16.5" thickBot="1" x14ac:dyDescent="0.3">
      <c r="A131" s="92" t="s">
        <v>340</v>
      </c>
      <c r="B131" s="133"/>
    </row>
    <row r="132" spans="1:2" ht="16.5" thickBot="1" x14ac:dyDescent="0.3">
      <c r="A132" s="80" t="s">
        <v>341</v>
      </c>
      <c r="B132" s="90"/>
    </row>
    <row r="133" spans="1:2" ht="16.5" thickBot="1" x14ac:dyDescent="0.3">
      <c r="A133" s="86" t="s">
        <v>342</v>
      </c>
      <c r="B133" s="215"/>
    </row>
    <row r="134" spans="1:2" ht="16.5" thickBot="1" x14ac:dyDescent="0.3">
      <c r="A134" s="86" t="s">
        <v>343</v>
      </c>
      <c r="B134" s="93" t="s">
        <v>551</v>
      </c>
    </row>
    <row r="135" spans="1:2" ht="16.5" thickBot="1" x14ac:dyDescent="0.3">
      <c r="A135" s="86" t="s">
        <v>344</v>
      </c>
      <c r="B135" s="93" t="s">
        <v>551</v>
      </c>
    </row>
    <row r="136" spans="1:2" ht="29.25" thickBot="1" x14ac:dyDescent="0.3">
      <c r="A136" s="94" t="s">
        <v>345</v>
      </c>
      <c r="B136" s="91" t="s">
        <v>552</v>
      </c>
    </row>
    <row r="137" spans="1:2" ht="28.5" customHeight="1" x14ac:dyDescent="0.25">
      <c r="A137" s="82" t="s">
        <v>346</v>
      </c>
      <c r="B137" s="546" t="s">
        <v>551</v>
      </c>
    </row>
    <row r="138" spans="1:2" x14ac:dyDescent="0.25">
      <c r="A138" s="86" t="s">
        <v>347</v>
      </c>
      <c r="B138" s="547"/>
    </row>
    <row r="139" spans="1:2" x14ac:dyDescent="0.25">
      <c r="A139" s="86" t="s">
        <v>348</v>
      </c>
      <c r="B139" s="547"/>
    </row>
    <row r="140" spans="1:2" x14ac:dyDescent="0.25">
      <c r="A140" s="86" t="s">
        <v>349</v>
      </c>
      <c r="B140" s="547"/>
    </row>
    <row r="141" spans="1:2" x14ac:dyDescent="0.25">
      <c r="A141" s="86" t="s">
        <v>350</v>
      </c>
      <c r="B141" s="547"/>
    </row>
    <row r="142" spans="1:2" ht="16.5" thickBot="1" x14ac:dyDescent="0.3">
      <c r="A142" s="95" t="s">
        <v>351</v>
      </c>
      <c r="B142" s="548"/>
    </row>
    <row r="145" spans="1:2" x14ac:dyDescent="0.25">
      <c r="A145" s="96"/>
      <c r="B145" s="97"/>
    </row>
    <row r="146" spans="1:2" x14ac:dyDescent="0.25">
      <c r="B146" s="98"/>
    </row>
    <row r="147" spans="1:2" x14ac:dyDescent="0.25">
      <c r="B147" s="99"/>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B8" zoomScale="60" workbookViewId="0">
      <selection activeCell="A14" sqref="A14:S14"/>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94" t="str">
        <f>'1. паспорт местоположение'!A5:C5</f>
        <v>Год раскрытия информации: 2022 год</v>
      </c>
      <c r="B4" s="394"/>
      <c r="C4" s="394"/>
      <c r="D4" s="394"/>
      <c r="E4" s="394"/>
      <c r="F4" s="394"/>
      <c r="G4" s="394"/>
      <c r="H4" s="394"/>
      <c r="I4" s="394"/>
      <c r="J4" s="394"/>
      <c r="K4" s="394"/>
      <c r="L4" s="394"/>
      <c r="M4" s="394"/>
      <c r="N4" s="394"/>
      <c r="O4" s="394"/>
      <c r="P4" s="394"/>
      <c r="Q4" s="394"/>
      <c r="R4" s="394"/>
      <c r="S4" s="394"/>
    </row>
    <row r="5" spans="1:28" s="17" customFormat="1" ht="15.75" x14ac:dyDescent="0.2">
      <c r="A5" s="135"/>
    </row>
    <row r="6" spans="1:28" s="17" customFormat="1" ht="18.75" x14ac:dyDescent="0.2">
      <c r="A6" s="403" t="s">
        <v>7</v>
      </c>
      <c r="B6" s="403"/>
      <c r="C6" s="403"/>
      <c r="D6" s="403"/>
      <c r="E6" s="403"/>
      <c r="F6" s="403"/>
      <c r="G6" s="403"/>
      <c r="H6" s="403"/>
      <c r="I6" s="403"/>
      <c r="J6" s="403"/>
      <c r="K6" s="403"/>
      <c r="L6" s="403"/>
      <c r="M6" s="403"/>
      <c r="N6" s="403"/>
      <c r="O6" s="403"/>
      <c r="P6" s="403"/>
      <c r="Q6" s="403"/>
      <c r="R6" s="403"/>
      <c r="S6" s="403"/>
      <c r="T6" s="138"/>
      <c r="U6" s="138"/>
      <c r="V6" s="138"/>
      <c r="W6" s="138"/>
      <c r="X6" s="138"/>
      <c r="Y6" s="138"/>
      <c r="Z6" s="138"/>
      <c r="AA6" s="138"/>
      <c r="AB6" s="138"/>
    </row>
    <row r="7" spans="1:28" s="17" customFormat="1" ht="18.75" x14ac:dyDescent="0.2">
      <c r="A7" s="403"/>
      <c r="B7" s="403"/>
      <c r="C7" s="403"/>
      <c r="D7" s="403"/>
      <c r="E7" s="403"/>
      <c r="F7" s="403"/>
      <c r="G7" s="403"/>
      <c r="H7" s="403"/>
      <c r="I7" s="403"/>
      <c r="J7" s="403"/>
      <c r="K7" s="403"/>
      <c r="L7" s="403"/>
      <c r="M7" s="403"/>
      <c r="N7" s="403"/>
      <c r="O7" s="403"/>
      <c r="P7" s="403"/>
      <c r="Q7" s="403"/>
      <c r="R7" s="403"/>
      <c r="S7" s="403"/>
      <c r="T7" s="138"/>
      <c r="U7" s="138"/>
      <c r="V7" s="138"/>
      <c r="W7" s="138"/>
      <c r="X7" s="138"/>
      <c r="Y7" s="138"/>
      <c r="Z7" s="138"/>
      <c r="AA7" s="138"/>
      <c r="AB7" s="138"/>
    </row>
    <row r="8" spans="1:28" s="17" customFormat="1" ht="18.75" x14ac:dyDescent="0.2">
      <c r="A8" s="401" t="str">
        <f>'1. паспорт местоположение'!A9:C9</f>
        <v xml:space="preserve">Акционерное общество "Западная энергетическая компания" </v>
      </c>
      <c r="B8" s="401"/>
      <c r="C8" s="401"/>
      <c r="D8" s="401"/>
      <c r="E8" s="401"/>
      <c r="F8" s="401"/>
      <c r="G8" s="401"/>
      <c r="H8" s="401"/>
      <c r="I8" s="401"/>
      <c r="J8" s="401"/>
      <c r="K8" s="401"/>
      <c r="L8" s="401"/>
      <c r="M8" s="401"/>
      <c r="N8" s="401"/>
      <c r="O8" s="401"/>
      <c r="P8" s="401"/>
      <c r="Q8" s="401"/>
      <c r="R8" s="401"/>
      <c r="S8" s="401"/>
      <c r="T8" s="138"/>
      <c r="U8" s="138"/>
      <c r="V8" s="138"/>
      <c r="W8" s="138"/>
      <c r="X8" s="138"/>
      <c r="Y8" s="138"/>
      <c r="Z8" s="138"/>
      <c r="AA8" s="138"/>
      <c r="AB8" s="138"/>
    </row>
    <row r="9" spans="1:28" s="17" customFormat="1" ht="18.75" x14ac:dyDescent="0.2">
      <c r="A9" s="407" t="s">
        <v>6</v>
      </c>
      <c r="B9" s="407"/>
      <c r="C9" s="407"/>
      <c r="D9" s="407"/>
      <c r="E9" s="407"/>
      <c r="F9" s="407"/>
      <c r="G9" s="407"/>
      <c r="H9" s="407"/>
      <c r="I9" s="407"/>
      <c r="J9" s="407"/>
      <c r="K9" s="407"/>
      <c r="L9" s="407"/>
      <c r="M9" s="407"/>
      <c r="N9" s="407"/>
      <c r="O9" s="407"/>
      <c r="P9" s="407"/>
      <c r="Q9" s="407"/>
      <c r="R9" s="407"/>
      <c r="S9" s="407"/>
      <c r="T9" s="138"/>
      <c r="U9" s="138"/>
      <c r="V9" s="138"/>
      <c r="W9" s="138"/>
      <c r="X9" s="138"/>
      <c r="Y9" s="138"/>
      <c r="Z9" s="138"/>
      <c r="AA9" s="138"/>
      <c r="AB9" s="138"/>
    </row>
    <row r="10" spans="1:28" s="17" customFormat="1" ht="18.75" x14ac:dyDescent="0.2">
      <c r="A10" s="403"/>
      <c r="B10" s="403"/>
      <c r="C10" s="403"/>
      <c r="D10" s="403"/>
      <c r="E10" s="403"/>
      <c r="F10" s="403"/>
      <c r="G10" s="403"/>
      <c r="H10" s="403"/>
      <c r="I10" s="403"/>
      <c r="J10" s="403"/>
      <c r="K10" s="403"/>
      <c r="L10" s="403"/>
      <c r="M10" s="403"/>
      <c r="N10" s="403"/>
      <c r="O10" s="403"/>
      <c r="P10" s="403"/>
      <c r="Q10" s="403"/>
      <c r="R10" s="403"/>
      <c r="S10" s="403"/>
      <c r="T10" s="138"/>
      <c r="U10" s="138"/>
      <c r="V10" s="138"/>
      <c r="W10" s="138"/>
      <c r="X10" s="138"/>
      <c r="Y10" s="138"/>
      <c r="Z10" s="138"/>
      <c r="AA10" s="138"/>
      <c r="AB10" s="138"/>
    </row>
    <row r="11" spans="1:28" s="17" customFormat="1" ht="18.75" x14ac:dyDescent="0.2">
      <c r="A11" s="401" t="str">
        <f>'1. паспорт местоположение'!A12:C12</f>
        <v>M 22-01</v>
      </c>
      <c r="B11" s="401"/>
      <c r="C11" s="401"/>
      <c r="D11" s="401"/>
      <c r="E11" s="401"/>
      <c r="F11" s="401"/>
      <c r="G11" s="401"/>
      <c r="H11" s="401"/>
      <c r="I11" s="401"/>
      <c r="J11" s="401"/>
      <c r="K11" s="401"/>
      <c r="L11" s="401"/>
      <c r="M11" s="401"/>
      <c r="N11" s="401"/>
      <c r="O11" s="401"/>
      <c r="P11" s="401"/>
      <c r="Q11" s="401"/>
      <c r="R11" s="401"/>
      <c r="S11" s="401"/>
      <c r="T11" s="138"/>
      <c r="U11" s="138"/>
      <c r="V11" s="138"/>
      <c r="W11" s="138"/>
      <c r="X11" s="138"/>
      <c r="Y11" s="138"/>
      <c r="Z11" s="138"/>
      <c r="AA11" s="138"/>
      <c r="AB11" s="138"/>
    </row>
    <row r="12" spans="1:28" s="17" customFormat="1" ht="18.75" x14ac:dyDescent="0.2">
      <c r="A12" s="407" t="s">
        <v>5</v>
      </c>
      <c r="B12" s="407"/>
      <c r="C12" s="407"/>
      <c r="D12" s="407"/>
      <c r="E12" s="407"/>
      <c r="F12" s="407"/>
      <c r="G12" s="407"/>
      <c r="H12" s="407"/>
      <c r="I12" s="407"/>
      <c r="J12" s="407"/>
      <c r="K12" s="407"/>
      <c r="L12" s="407"/>
      <c r="M12" s="407"/>
      <c r="N12" s="407"/>
      <c r="O12" s="407"/>
      <c r="P12" s="407"/>
      <c r="Q12" s="407"/>
      <c r="R12" s="407"/>
      <c r="S12" s="407"/>
      <c r="T12" s="138"/>
      <c r="U12" s="138"/>
      <c r="V12" s="138"/>
      <c r="W12" s="138"/>
      <c r="X12" s="138"/>
      <c r="Y12" s="138"/>
      <c r="Z12" s="138"/>
      <c r="AA12" s="138"/>
      <c r="AB12" s="138"/>
    </row>
    <row r="13" spans="1:28" s="136" customFormat="1" ht="15.75" customHeight="1" x14ac:dyDescent="0.2">
      <c r="A13" s="408"/>
      <c r="B13" s="408"/>
      <c r="C13" s="408"/>
      <c r="D13" s="408"/>
      <c r="E13" s="408"/>
      <c r="F13" s="408"/>
      <c r="G13" s="408"/>
      <c r="H13" s="408"/>
      <c r="I13" s="408"/>
      <c r="J13" s="408"/>
      <c r="K13" s="408"/>
      <c r="L13" s="408"/>
      <c r="M13" s="408"/>
      <c r="N13" s="408"/>
      <c r="O13" s="408"/>
      <c r="P13" s="408"/>
      <c r="Q13" s="408"/>
      <c r="R13" s="408"/>
      <c r="S13" s="408"/>
      <c r="T13" s="139"/>
      <c r="U13" s="139"/>
      <c r="V13" s="139"/>
      <c r="W13" s="139"/>
      <c r="X13" s="139"/>
      <c r="Y13" s="139"/>
      <c r="Z13" s="139"/>
      <c r="AA13" s="139"/>
      <c r="AB13" s="139"/>
    </row>
    <row r="14" spans="1:28" s="137" customFormat="1" ht="15.75" x14ac:dyDescent="0.2">
      <c r="A14" s="401"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401"/>
      <c r="C14" s="401"/>
      <c r="D14" s="401"/>
      <c r="E14" s="401"/>
      <c r="F14" s="401"/>
      <c r="G14" s="401"/>
      <c r="H14" s="401"/>
      <c r="I14" s="401"/>
      <c r="J14" s="401"/>
      <c r="K14" s="401"/>
      <c r="L14" s="401"/>
      <c r="M14" s="401"/>
      <c r="N14" s="401"/>
      <c r="O14" s="401"/>
      <c r="P14" s="401"/>
      <c r="Q14" s="401"/>
      <c r="R14" s="401"/>
      <c r="S14" s="401"/>
      <c r="T14" s="140"/>
      <c r="U14" s="140"/>
      <c r="V14" s="140"/>
      <c r="W14" s="140"/>
      <c r="X14" s="140"/>
      <c r="Y14" s="140"/>
      <c r="Z14" s="140"/>
      <c r="AA14" s="140"/>
      <c r="AB14" s="140"/>
    </row>
    <row r="15" spans="1:28" s="137" customFormat="1" ht="15" customHeight="1" x14ac:dyDescent="0.2">
      <c r="A15" s="407" t="s">
        <v>4</v>
      </c>
      <c r="B15" s="407"/>
      <c r="C15" s="407"/>
      <c r="D15" s="407"/>
      <c r="E15" s="407"/>
      <c r="F15" s="407"/>
      <c r="G15" s="407"/>
      <c r="H15" s="407"/>
      <c r="I15" s="407"/>
      <c r="J15" s="407"/>
      <c r="K15" s="407"/>
      <c r="L15" s="407"/>
      <c r="M15" s="407"/>
      <c r="N15" s="407"/>
      <c r="O15" s="407"/>
      <c r="P15" s="407"/>
      <c r="Q15" s="407"/>
      <c r="R15" s="407"/>
      <c r="S15" s="407"/>
      <c r="T15" s="141"/>
      <c r="U15" s="141"/>
      <c r="V15" s="141"/>
      <c r="W15" s="141"/>
      <c r="X15" s="141"/>
      <c r="Y15" s="141"/>
      <c r="Z15" s="141"/>
      <c r="AA15" s="141"/>
      <c r="AB15" s="141"/>
    </row>
    <row r="16" spans="1:28" s="137"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142"/>
      <c r="U16" s="142"/>
      <c r="V16" s="142"/>
      <c r="W16" s="142"/>
      <c r="X16" s="142"/>
      <c r="Y16" s="142"/>
    </row>
    <row r="17" spans="1:28" s="137" customFormat="1" ht="45.75" customHeight="1" x14ac:dyDescent="0.2">
      <c r="A17" s="410" t="s">
        <v>382</v>
      </c>
      <c r="B17" s="410"/>
      <c r="C17" s="410"/>
      <c r="D17" s="410"/>
      <c r="E17" s="410"/>
      <c r="F17" s="410"/>
      <c r="G17" s="410"/>
      <c r="H17" s="410"/>
      <c r="I17" s="410"/>
      <c r="J17" s="410"/>
      <c r="K17" s="410"/>
      <c r="L17" s="410"/>
      <c r="M17" s="410"/>
      <c r="N17" s="410"/>
      <c r="O17" s="410"/>
      <c r="P17" s="410"/>
      <c r="Q17" s="410"/>
      <c r="R17" s="410"/>
      <c r="S17" s="410"/>
      <c r="T17" s="143"/>
      <c r="U17" s="143"/>
      <c r="V17" s="143"/>
      <c r="W17" s="143"/>
      <c r="X17" s="143"/>
      <c r="Y17" s="143"/>
      <c r="Z17" s="143"/>
      <c r="AA17" s="143"/>
      <c r="AB17" s="143"/>
    </row>
    <row r="18" spans="1:28" s="137"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142"/>
      <c r="U18" s="142"/>
      <c r="V18" s="142"/>
      <c r="W18" s="142"/>
      <c r="X18" s="142"/>
      <c r="Y18" s="142"/>
    </row>
    <row r="19" spans="1:28" s="137" customFormat="1" ht="54" customHeight="1" x14ac:dyDescent="0.2">
      <c r="A19" s="402" t="s">
        <v>3</v>
      </c>
      <c r="B19" s="402" t="s">
        <v>94</v>
      </c>
      <c r="C19" s="404" t="s">
        <v>304</v>
      </c>
      <c r="D19" s="402" t="s">
        <v>303</v>
      </c>
      <c r="E19" s="402" t="s">
        <v>93</v>
      </c>
      <c r="F19" s="402" t="s">
        <v>92</v>
      </c>
      <c r="G19" s="402" t="s">
        <v>299</v>
      </c>
      <c r="H19" s="402" t="s">
        <v>91</v>
      </c>
      <c r="I19" s="402" t="s">
        <v>90</v>
      </c>
      <c r="J19" s="402" t="s">
        <v>89</v>
      </c>
      <c r="K19" s="402" t="s">
        <v>88</v>
      </c>
      <c r="L19" s="402" t="s">
        <v>87</v>
      </c>
      <c r="M19" s="402" t="s">
        <v>86</v>
      </c>
      <c r="N19" s="402" t="s">
        <v>85</v>
      </c>
      <c r="O19" s="402" t="s">
        <v>84</v>
      </c>
      <c r="P19" s="402" t="s">
        <v>83</v>
      </c>
      <c r="Q19" s="402" t="s">
        <v>302</v>
      </c>
      <c r="R19" s="402"/>
      <c r="S19" s="406" t="s">
        <v>582</v>
      </c>
      <c r="T19" s="142"/>
      <c r="U19" s="142"/>
      <c r="V19" s="142"/>
      <c r="W19" s="142"/>
      <c r="X19" s="142"/>
      <c r="Y19" s="142"/>
    </row>
    <row r="20" spans="1:28" s="137" customFormat="1" ht="180.75" customHeight="1" x14ac:dyDescent="0.2">
      <c r="A20" s="402"/>
      <c r="B20" s="402"/>
      <c r="C20" s="405"/>
      <c r="D20" s="402"/>
      <c r="E20" s="402"/>
      <c r="F20" s="402"/>
      <c r="G20" s="402"/>
      <c r="H20" s="402"/>
      <c r="I20" s="402"/>
      <c r="J20" s="402"/>
      <c r="K20" s="402"/>
      <c r="L20" s="402"/>
      <c r="M20" s="402"/>
      <c r="N20" s="402"/>
      <c r="O20" s="402"/>
      <c r="P20" s="402"/>
      <c r="Q20" s="144" t="s">
        <v>300</v>
      </c>
      <c r="R20" s="145" t="s">
        <v>301</v>
      </c>
      <c r="S20" s="406"/>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137" customFormat="1" ht="134.25" customHeight="1" x14ac:dyDescent="0.2">
      <c r="A22" s="244">
        <v>1</v>
      </c>
      <c r="B22" s="245" t="s">
        <v>544</v>
      </c>
      <c r="C22" s="245" t="s">
        <v>544</v>
      </c>
      <c r="D22" s="245" t="s">
        <v>544</v>
      </c>
      <c r="E22" s="245" t="s">
        <v>636</v>
      </c>
      <c r="F22" s="245" t="s">
        <v>637</v>
      </c>
      <c r="G22" s="247"/>
      <c r="H22" s="248">
        <v>9.5</v>
      </c>
      <c r="I22" s="245">
        <v>6.7480000000000002</v>
      </c>
      <c r="J22" s="245">
        <v>2.7509999999999999</v>
      </c>
      <c r="K22" s="245">
        <v>15</v>
      </c>
      <c r="L22" s="245" t="s">
        <v>567</v>
      </c>
      <c r="M22" s="245"/>
      <c r="N22" s="245"/>
      <c r="O22" s="245"/>
      <c r="P22" s="245"/>
      <c r="Q22" s="246" t="s">
        <v>659</v>
      </c>
      <c r="R22" s="245"/>
      <c r="S22" s="244"/>
      <c r="T22" s="146"/>
      <c r="U22" s="146"/>
      <c r="V22" s="146"/>
      <c r="W22" s="146"/>
      <c r="X22" s="146"/>
      <c r="Y22" s="146"/>
      <c r="Z22" s="147"/>
      <c r="AA22" s="147"/>
      <c r="AB22" s="147"/>
    </row>
    <row r="23" spans="1:28" ht="34.5" customHeight="1" x14ac:dyDescent="0.25">
      <c r="A23" s="229"/>
      <c r="B23" s="228" t="s">
        <v>297</v>
      </c>
      <c r="C23" s="228"/>
      <c r="D23" s="228"/>
      <c r="E23" s="229" t="s">
        <v>298</v>
      </c>
      <c r="F23" s="229" t="s">
        <v>298</v>
      </c>
      <c r="G23" s="229" t="s">
        <v>298</v>
      </c>
      <c r="H23" s="229"/>
      <c r="I23" s="229"/>
      <c r="J23" s="229"/>
      <c r="K23" s="229"/>
      <c r="L23" s="229"/>
      <c r="M23" s="229"/>
      <c r="N23" s="229"/>
      <c r="O23" s="229"/>
      <c r="P23" s="229"/>
      <c r="Q23" s="230"/>
      <c r="R23" s="231"/>
      <c r="S23" s="231"/>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row r="338" spans="1:28"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c r="AA338" s="151"/>
      <c r="AB338" s="151"/>
    </row>
    <row r="339" spans="1:28"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c r="AA339" s="151"/>
      <c r="AB339" s="151"/>
    </row>
    <row r="340" spans="1:28"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c r="AA340" s="151"/>
      <c r="AB340" s="151"/>
    </row>
    <row r="341" spans="1:28"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c r="AA341" s="151"/>
      <c r="AB341" s="151"/>
    </row>
    <row r="342" spans="1:28"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c r="AA342" s="151"/>
      <c r="AB342" s="151"/>
    </row>
    <row r="343" spans="1:28"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c r="AA343" s="151"/>
      <c r="AB343" s="151"/>
    </row>
    <row r="344" spans="1:28"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c r="AA344" s="151"/>
      <c r="AB344"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9" zoomScale="80" zoomScaleNormal="60" zoomScaleSheetLayoutView="80" workbookViewId="0">
      <selection activeCell="H29" sqref="H29"/>
    </sheetView>
  </sheetViews>
  <sheetFormatPr defaultColWidth="10.7109375" defaultRowHeight="15.75" x14ac:dyDescent="0.25"/>
  <cols>
    <col min="1" max="1" width="9.5703125" style="34" customWidth="1"/>
    <col min="2" max="3" width="15.7109375" style="34" customWidth="1"/>
    <col min="4" max="4" width="22" style="34" customWidth="1"/>
    <col min="5" max="5" width="22.140625" style="34" customWidth="1"/>
    <col min="6" max="6" width="23.85546875" style="34" customWidth="1"/>
    <col min="7" max="7" width="8.7109375" style="34" customWidth="1"/>
    <col min="8" max="8" width="16.570312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394" t="str">
        <f>'1. паспорт местоположение'!A5:C5</f>
        <v>Год раскрытия информации: 2022 год</v>
      </c>
      <c r="B6" s="394"/>
      <c r="C6" s="394"/>
      <c r="D6" s="394"/>
      <c r="E6" s="394"/>
      <c r="F6" s="394"/>
      <c r="G6" s="394"/>
      <c r="H6" s="394"/>
      <c r="I6" s="394"/>
      <c r="J6" s="394"/>
      <c r="K6" s="394"/>
      <c r="L6" s="394"/>
      <c r="M6" s="394"/>
      <c r="N6" s="394"/>
      <c r="O6" s="394"/>
      <c r="P6" s="394"/>
      <c r="Q6" s="394"/>
      <c r="R6" s="394"/>
      <c r="S6" s="394"/>
      <c r="T6" s="394"/>
    </row>
    <row r="7" spans="1:20" s="17" customFormat="1" x14ac:dyDescent="0.2">
      <c r="A7" s="135"/>
      <c r="H7" s="134"/>
    </row>
    <row r="8" spans="1:20" s="17" customFormat="1" ht="18.75" x14ac:dyDescent="0.2">
      <c r="A8" s="403" t="s">
        <v>7</v>
      </c>
      <c r="B8" s="403"/>
      <c r="C8" s="403"/>
      <c r="D8" s="403"/>
      <c r="E8" s="403"/>
      <c r="F8" s="403"/>
      <c r="G8" s="403"/>
      <c r="H8" s="403"/>
      <c r="I8" s="403"/>
      <c r="J8" s="403"/>
      <c r="K8" s="403"/>
      <c r="L8" s="403"/>
      <c r="M8" s="403"/>
      <c r="N8" s="403"/>
      <c r="O8" s="403"/>
      <c r="P8" s="403"/>
      <c r="Q8" s="403"/>
      <c r="R8" s="403"/>
      <c r="S8" s="403"/>
      <c r="T8" s="403"/>
    </row>
    <row r="9" spans="1:20" s="17" customFormat="1" ht="18.75" x14ac:dyDescent="0.2">
      <c r="A9" s="403"/>
      <c r="B9" s="403"/>
      <c r="C9" s="403"/>
      <c r="D9" s="403"/>
      <c r="E9" s="403"/>
      <c r="F9" s="403"/>
      <c r="G9" s="403"/>
      <c r="H9" s="403"/>
      <c r="I9" s="403"/>
      <c r="J9" s="403"/>
      <c r="K9" s="403"/>
      <c r="L9" s="403"/>
      <c r="M9" s="403"/>
      <c r="N9" s="403"/>
      <c r="O9" s="403"/>
      <c r="P9" s="403"/>
      <c r="Q9" s="403"/>
      <c r="R9" s="403"/>
      <c r="S9" s="403"/>
      <c r="T9" s="403"/>
    </row>
    <row r="10" spans="1:20" s="17" customFormat="1" ht="18.75" customHeight="1" x14ac:dyDescent="0.2">
      <c r="A10" s="401" t="str">
        <f>'1. паспорт местоположение'!A9:C9</f>
        <v xml:space="preserve">Акционерное общество "Западная энергетическая компания" </v>
      </c>
      <c r="B10" s="401"/>
      <c r="C10" s="401"/>
      <c r="D10" s="401"/>
      <c r="E10" s="401"/>
      <c r="F10" s="401"/>
      <c r="G10" s="401"/>
      <c r="H10" s="401"/>
      <c r="I10" s="401"/>
      <c r="J10" s="401"/>
      <c r="K10" s="401"/>
      <c r="L10" s="401"/>
      <c r="M10" s="401"/>
      <c r="N10" s="401"/>
      <c r="O10" s="401"/>
      <c r="P10" s="401"/>
      <c r="Q10" s="401"/>
      <c r="R10" s="401"/>
      <c r="S10" s="401"/>
      <c r="T10" s="401"/>
    </row>
    <row r="11" spans="1:20" s="17" customFormat="1" ht="18.75" customHeight="1" x14ac:dyDescent="0.2">
      <c r="A11" s="407" t="s">
        <v>6</v>
      </c>
      <c r="B11" s="407"/>
      <c r="C11" s="407"/>
      <c r="D11" s="407"/>
      <c r="E11" s="407"/>
      <c r="F11" s="407"/>
      <c r="G11" s="407"/>
      <c r="H11" s="407"/>
      <c r="I11" s="407"/>
      <c r="J11" s="407"/>
      <c r="K11" s="407"/>
      <c r="L11" s="407"/>
      <c r="M11" s="407"/>
      <c r="N11" s="407"/>
      <c r="O11" s="407"/>
      <c r="P11" s="407"/>
      <c r="Q11" s="407"/>
      <c r="R11" s="407"/>
      <c r="S11" s="407"/>
      <c r="T11" s="407"/>
    </row>
    <row r="12" spans="1:20" s="17" customFormat="1" ht="18.75" x14ac:dyDescent="0.2">
      <c r="A12" s="403"/>
      <c r="B12" s="403"/>
      <c r="C12" s="403"/>
      <c r="D12" s="403"/>
      <c r="E12" s="403"/>
      <c r="F12" s="403"/>
      <c r="G12" s="403"/>
      <c r="H12" s="403"/>
      <c r="I12" s="403"/>
      <c r="J12" s="403"/>
      <c r="K12" s="403"/>
      <c r="L12" s="403"/>
      <c r="M12" s="403"/>
      <c r="N12" s="403"/>
      <c r="O12" s="403"/>
      <c r="P12" s="403"/>
      <c r="Q12" s="403"/>
      <c r="R12" s="403"/>
      <c r="S12" s="403"/>
      <c r="T12" s="403"/>
    </row>
    <row r="13" spans="1:20" s="17" customFormat="1" ht="18.75" customHeight="1" x14ac:dyDescent="0.2">
      <c r="A13" s="401" t="str">
        <f>'1. паспорт местоположение'!A12:C12</f>
        <v>M 22-01</v>
      </c>
      <c r="B13" s="401"/>
      <c r="C13" s="401"/>
      <c r="D13" s="401"/>
      <c r="E13" s="401"/>
      <c r="F13" s="401"/>
      <c r="G13" s="401"/>
      <c r="H13" s="401"/>
      <c r="I13" s="401"/>
      <c r="J13" s="401"/>
      <c r="K13" s="401"/>
      <c r="L13" s="401"/>
      <c r="M13" s="401"/>
      <c r="N13" s="401"/>
      <c r="O13" s="401"/>
      <c r="P13" s="401"/>
      <c r="Q13" s="401"/>
      <c r="R13" s="401"/>
      <c r="S13" s="401"/>
      <c r="T13" s="401"/>
    </row>
    <row r="14" spans="1:20" s="17" customFormat="1" ht="18.75" customHeight="1" x14ac:dyDescent="0.2">
      <c r="A14" s="407" t="s">
        <v>5</v>
      </c>
      <c r="B14" s="407"/>
      <c r="C14" s="407"/>
      <c r="D14" s="407"/>
      <c r="E14" s="407"/>
      <c r="F14" s="407"/>
      <c r="G14" s="407"/>
      <c r="H14" s="407"/>
      <c r="I14" s="407"/>
      <c r="J14" s="407"/>
      <c r="K14" s="407"/>
      <c r="L14" s="407"/>
      <c r="M14" s="407"/>
      <c r="N14" s="407"/>
      <c r="O14" s="407"/>
      <c r="P14" s="407"/>
      <c r="Q14" s="407"/>
      <c r="R14" s="407"/>
      <c r="S14" s="407"/>
      <c r="T14" s="407"/>
    </row>
    <row r="15" spans="1:20" s="136" customFormat="1" ht="15.75" customHeight="1" x14ac:dyDescent="0.2">
      <c r="A15" s="408"/>
      <c r="B15" s="408"/>
      <c r="C15" s="408"/>
      <c r="D15" s="408"/>
      <c r="E15" s="408"/>
      <c r="F15" s="408"/>
      <c r="G15" s="408"/>
      <c r="H15" s="408"/>
      <c r="I15" s="408"/>
      <c r="J15" s="408"/>
      <c r="K15" s="408"/>
      <c r="L15" s="408"/>
      <c r="M15" s="408"/>
      <c r="N15" s="408"/>
      <c r="O15" s="408"/>
      <c r="P15" s="408"/>
      <c r="Q15" s="408"/>
      <c r="R15" s="408"/>
      <c r="S15" s="408"/>
      <c r="T15" s="408"/>
    </row>
    <row r="16" spans="1:20" s="137" customFormat="1" x14ac:dyDescent="0.2">
      <c r="A16" s="401"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6" s="401"/>
      <c r="C16" s="401"/>
      <c r="D16" s="401"/>
      <c r="E16" s="401"/>
      <c r="F16" s="401"/>
      <c r="G16" s="401"/>
      <c r="H16" s="401"/>
      <c r="I16" s="401"/>
      <c r="J16" s="401"/>
      <c r="K16" s="401"/>
      <c r="L16" s="401"/>
      <c r="M16" s="401"/>
      <c r="N16" s="401"/>
      <c r="O16" s="401"/>
      <c r="P16" s="401"/>
      <c r="Q16" s="401"/>
      <c r="R16" s="401"/>
      <c r="S16" s="401"/>
      <c r="T16" s="401"/>
    </row>
    <row r="17" spans="1:20" s="137" customFormat="1" ht="15" customHeight="1" x14ac:dyDescent="0.2">
      <c r="A17" s="407" t="s">
        <v>4</v>
      </c>
      <c r="B17" s="407"/>
      <c r="C17" s="407"/>
      <c r="D17" s="407"/>
      <c r="E17" s="407"/>
      <c r="F17" s="407"/>
      <c r="G17" s="407"/>
      <c r="H17" s="407"/>
      <c r="I17" s="407"/>
      <c r="J17" s="407"/>
      <c r="K17" s="407"/>
      <c r="L17" s="407"/>
      <c r="M17" s="407"/>
      <c r="N17" s="407"/>
      <c r="O17" s="407"/>
      <c r="P17" s="407"/>
      <c r="Q17" s="407"/>
      <c r="R17" s="407"/>
      <c r="S17" s="407"/>
      <c r="T17" s="407"/>
    </row>
    <row r="18" spans="1:20" s="137"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09"/>
    </row>
    <row r="19" spans="1:20" s="137" customFormat="1" ht="15" customHeight="1" x14ac:dyDescent="0.2">
      <c r="A19" s="429" t="s">
        <v>387</v>
      </c>
      <c r="B19" s="429"/>
      <c r="C19" s="429"/>
      <c r="D19" s="429"/>
      <c r="E19" s="429"/>
      <c r="F19" s="429"/>
      <c r="G19" s="429"/>
      <c r="H19" s="429"/>
      <c r="I19" s="429"/>
      <c r="J19" s="429"/>
      <c r="K19" s="429"/>
      <c r="L19" s="429"/>
      <c r="M19" s="429"/>
      <c r="N19" s="429"/>
      <c r="O19" s="429"/>
      <c r="P19" s="429"/>
      <c r="Q19" s="429"/>
      <c r="R19" s="429"/>
      <c r="S19" s="429"/>
      <c r="T19" s="429"/>
    </row>
    <row r="20" spans="1:20" s="41" customFormat="1" ht="21" customHeight="1" x14ac:dyDescent="0.25">
      <c r="A20" s="430"/>
      <c r="B20" s="430"/>
      <c r="C20" s="430"/>
      <c r="D20" s="430"/>
      <c r="E20" s="430"/>
      <c r="F20" s="430"/>
      <c r="G20" s="430"/>
      <c r="H20" s="430"/>
      <c r="I20" s="430"/>
      <c r="J20" s="430"/>
      <c r="K20" s="430"/>
      <c r="L20" s="430"/>
      <c r="M20" s="430"/>
      <c r="N20" s="430"/>
      <c r="O20" s="430"/>
      <c r="P20" s="430"/>
      <c r="Q20" s="430"/>
      <c r="R20" s="430"/>
      <c r="S20" s="430"/>
      <c r="T20" s="430"/>
    </row>
    <row r="21" spans="1:20" ht="46.5" customHeight="1" x14ac:dyDescent="0.25">
      <c r="A21" s="423" t="s">
        <v>3</v>
      </c>
      <c r="B21" s="413" t="s">
        <v>200</v>
      </c>
      <c r="C21" s="414"/>
      <c r="D21" s="417" t="s">
        <v>116</v>
      </c>
      <c r="E21" s="413" t="s">
        <v>415</v>
      </c>
      <c r="F21" s="414"/>
      <c r="G21" s="413" t="s">
        <v>239</v>
      </c>
      <c r="H21" s="414"/>
      <c r="I21" s="413" t="s">
        <v>115</v>
      </c>
      <c r="J21" s="414"/>
      <c r="K21" s="417" t="s">
        <v>114</v>
      </c>
      <c r="L21" s="413" t="s">
        <v>113</v>
      </c>
      <c r="M21" s="414"/>
      <c r="N21" s="413" t="s">
        <v>446</v>
      </c>
      <c r="O21" s="414"/>
      <c r="P21" s="417" t="s">
        <v>112</v>
      </c>
      <c r="Q21" s="426" t="s">
        <v>111</v>
      </c>
      <c r="R21" s="427"/>
      <c r="S21" s="426" t="s">
        <v>110</v>
      </c>
      <c r="T21" s="428"/>
    </row>
    <row r="22" spans="1:20" ht="204.75" customHeight="1" x14ac:dyDescent="0.25">
      <c r="A22" s="424"/>
      <c r="B22" s="415"/>
      <c r="C22" s="416"/>
      <c r="D22" s="419"/>
      <c r="E22" s="415"/>
      <c r="F22" s="416"/>
      <c r="G22" s="415"/>
      <c r="H22" s="416"/>
      <c r="I22" s="415"/>
      <c r="J22" s="416"/>
      <c r="K22" s="418"/>
      <c r="L22" s="415"/>
      <c r="M22" s="416"/>
      <c r="N22" s="415"/>
      <c r="O22" s="416"/>
      <c r="P22" s="418"/>
      <c r="Q22" s="72" t="s">
        <v>109</v>
      </c>
      <c r="R22" s="72" t="s">
        <v>386</v>
      </c>
      <c r="S22" s="72" t="s">
        <v>108</v>
      </c>
      <c r="T22" s="72" t="s">
        <v>107</v>
      </c>
    </row>
    <row r="23" spans="1:20" ht="51.75" customHeight="1" x14ac:dyDescent="0.25">
      <c r="A23" s="425"/>
      <c r="B23" s="103" t="s">
        <v>105</v>
      </c>
      <c r="C23" s="103" t="s">
        <v>106</v>
      </c>
      <c r="D23" s="418"/>
      <c r="E23" s="103" t="s">
        <v>105</v>
      </c>
      <c r="F23" s="103" t="s">
        <v>106</v>
      </c>
      <c r="G23" s="103" t="s">
        <v>105</v>
      </c>
      <c r="H23" s="103" t="s">
        <v>106</v>
      </c>
      <c r="I23" s="103" t="s">
        <v>105</v>
      </c>
      <c r="J23" s="103" t="s">
        <v>106</v>
      </c>
      <c r="K23" s="103" t="s">
        <v>105</v>
      </c>
      <c r="L23" s="103" t="s">
        <v>105</v>
      </c>
      <c r="M23" s="103" t="s">
        <v>106</v>
      </c>
      <c r="N23" s="103" t="s">
        <v>105</v>
      </c>
      <c r="O23" s="103"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78.599999999999994" customHeight="1" x14ac:dyDescent="0.25">
      <c r="A25" s="111">
        <v>1</v>
      </c>
      <c r="B25" s="420" t="s">
        <v>647</v>
      </c>
      <c r="C25" s="420" t="s">
        <v>647</v>
      </c>
      <c r="D25" s="111" t="s">
        <v>439</v>
      </c>
      <c r="E25" s="111" t="s">
        <v>560</v>
      </c>
      <c r="F25" s="111" t="s">
        <v>640</v>
      </c>
      <c r="G25" s="111" t="s">
        <v>639</v>
      </c>
      <c r="H25" s="111" t="s">
        <v>561</v>
      </c>
      <c r="I25" s="111">
        <v>2002</v>
      </c>
      <c r="J25" s="112" t="s">
        <v>641</v>
      </c>
      <c r="K25" s="111" t="s">
        <v>298</v>
      </c>
      <c r="L25" s="111" t="s">
        <v>298</v>
      </c>
      <c r="M25" s="111">
        <v>110</v>
      </c>
      <c r="N25" s="111">
        <v>16</v>
      </c>
      <c r="O25" s="111">
        <v>26</v>
      </c>
      <c r="P25" s="111" t="s">
        <v>298</v>
      </c>
      <c r="Q25" s="111" t="s">
        <v>298</v>
      </c>
      <c r="R25" s="111" t="s">
        <v>298</v>
      </c>
      <c r="S25" s="111" t="s">
        <v>298</v>
      </c>
      <c r="T25" s="111" t="s">
        <v>298</v>
      </c>
    </row>
    <row r="26" spans="1:20" s="41" customFormat="1" ht="63" x14ac:dyDescent="0.25">
      <c r="A26" s="111"/>
      <c r="B26" s="421"/>
      <c r="C26" s="421"/>
      <c r="D26" s="111" t="s">
        <v>385</v>
      </c>
      <c r="E26" s="111" t="s">
        <v>642</v>
      </c>
      <c r="F26" s="111" t="s">
        <v>642</v>
      </c>
      <c r="G26" s="111" t="s">
        <v>298</v>
      </c>
      <c r="H26" s="111" t="s">
        <v>643</v>
      </c>
      <c r="I26" s="111">
        <v>2001</v>
      </c>
      <c r="J26" s="112" t="s">
        <v>644</v>
      </c>
      <c r="K26" s="111">
        <v>2001</v>
      </c>
      <c r="L26" s="111">
        <v>2022</v>
      </c>
      <c r="M26" s="111">
        <v>110</v>
      </c>
      <c r="N26" s="111">
        <v>1</v>
      </c>
      <c r="O26" s="111">
        <v>3</v>
      </c>
      <c r="P26" s="111" t="s">
        <v>298</v>
      </c>
      <c r="Q26" s="111" t="s">
        <v>298</v>
      </c>
      <c r="R26" s="111" t="s">
        <v>298</v>
      </c>
      <c r="S26" s="111" t="s">
        <v>298</v>
      </c>
      <c r="T26" s="111" t="s">
        <v>298</v>
      </c>
    </row>
    <row r="27" spans="1:20" s="41" customFormat="1" ht="31.5" x14ac:dyDescent="0.25">
      <c r="A27" s="111"/>
      <c r="B27" s="421"/>
      <c r="C27" s="421"/>
      <c r="D27" s="111" t="s">
        <v>555</v>
      </c>
      <c r="E27" s="111" t="s">
        <v>298</v>
      </c>
      <c r="F27" s="111" t="s">
        <v>556</v>
      </c>
      <c r="G27" s="111" t="s">
        <v>298</v>
      </c>
      <c r="H27" s="111" t="s">
        <v>562</v>
      </c>
      <c r="I27" s="111" t="s">
        <v>298</v>
      </c>
      <c r="J27" s="112" t="s">
        <v>644</v>
      </c>
      <c r="K27" s="111">
        <v>2002</v>
      </c>
      <c r="L27" s="111">
        <v>15</v>
      </c>
      <c r="M27" s="111">
        <v>15</v>
      </c>
      <c r="N27" s="111">
        <v>0.5</v>
      </c>
      <c r="O27" s="111">
        <v>1</v>
      </c>
      <c r="P27" s="111" t="s">
        <v>298</v>
      </c>
      <c r="Q27" s="111" t="s">
        <v>298</v>
      </c>
      <c r="R27" s="111" t="s">
        <v>298</v>
      </c>
      <c r="S27" s="111" t="s">
        <v>298</v>
      </c>
      <c r="T27" s="111" t="s">
        <v>298</v>
      </c>
    </row>
    <row r="28" spans="1:20" s="41" customFormat="1" ht="31.5" x14ac:dyDescent="0.25">
      <c r="A28" s="111"/>
      <c r="B28" s="421"/>
      <c r="C28" s="421"/>
      <c r="D28" s="111" t="s">
        <v>564</v>
      </c>
      <c r="E28" s="111" t="s">
        <v>298</v>
      </c>
      <c r="F28" s="111"/>
      <c r="G28" s="111"/>
      <c r="H28" s="111" t="s">
        <v>563</v>
      </c>
      <c r="I28" s="111"/>
      <c r="J28" s="112" t="s">
        <v>644</v>
      </c>
      <c r="K28" s="111">
        <v>2002</v>
      </c>
      <c r="L28" s="111">
        <v>15</v>
      </c>
      <c r="M28" s="111">
        <v>15</v>
      </c>
      <c r="N28" s="111">
        <v>0.1</v>
      </c>
      <c r="O28" s="111">
        <v>0.2</v>
      </c>
      <c r="P28" s="111" t="s">
        <v>298</v>
      </c>
      <c r="Q28" s="111" t="s">
        <v>298</v>
      </c>
      <c r="R28" s="111" t="s">
        <v>298</v>
      </c>
      <c r="S28" s="111" t="s">
        <v>298</v>
      </c>
      <c r="T28" s="111" t="s">
        <v>298</v>
      </c>
    </row>
    <row r="29" spans="1:20" s="41" customFormat="1" ht="31.5" x14ac:dyDescent="0.25">
      <c r="A29" s="111">
        <v>2</v>
      </c>
      <c r="B29" s="422"/>
      <c r="C29" s="422"/>
      <c r="D29" s="111" t="s">
        <v>557</v>
      </c>
      <c r="E29" s="111" t="s">
        <v>653</v>
      </c>
      <c r="F29" s="111" t="s">
        <v>654</v>
      </c>
      <c r="G29" s="111" t="s">
        <v>655</v>
      </c>
      <c r="H29" s="111" t="s">
        <v>645</v>
      </c>
      <c r="I29" s="111">
        <v>2002</v>
      </c>
      <c r="J29" s="112" t="s">
        <v>644</v>
      </c>
      <c r="K29" s="111">
        <v>2002</v>
      </c>
      <c r="L29" s="111">
        <v>15</v>
      </c>
      <c r="M29" s="111">
        <v>15</v>
      </c>
      <c r="N29" s="111">
        <v>5</v>
      </c>
      <c r="O29" s="111">
        <v>14</v>
      </c>
      <c r="P29" s="111" t="s">
        <v>298</v>
      </c>
      <c r="Q29" s="111" t="s">
        <v>298</v>
      </c>
      <c r="R29" s="111" t="s">
        <v>298</v>
      </c>
      <c r="S29" s="111" t="s">
        <v>298</v>
      </c>
      <c r="T29" s="111" t="s">
        <v>298</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12" t="s">
        <v>421</v>
      </c>
      <c r="C32" s="412"/>
      <c r="D32" s="412"/>
      <c r="E32" s="412"/>
      <c r="F32" s="412"/>
      <c r="G32" s="412"/>
      <c r="H32" s="412"/>
      <c r="I32" s="412"/>
      <c r="J32" s="412"/>
      <c r="K32" s="412"/>
      <c r="L32" s="412"/>
      <c r="M32" s="412"/>
      <c r="N32" s="412"/>
      <c r="O32" s="412"/>
      <c r="P32" s="412"/>
      <c r="Q32" s="412"/>
      <c r="R32" s="412"/>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 zoomScale="80" zoomScaleSheetLayoutView="80" workbookViewId="0">
      <selection activeCell="E15" sqref="E15:Y15"/>
    </sheetView>
  </sheetViews>
  <sheetFormatPr defaultColWidth="10.7109375" defaultRowHeight="15.75" x14ac:dyDescent="0.25"/>
  <cols>
    <col min="1" max="1" width="10.7109375" style="34"/>
    <col min="2" max="2" width="15.7109375" style="34" customWidth="1"/>
    <col min="3" max="3" width="18.140625" style="34" customWidth="1"/>
    <col min="4" max="4" width="11.5703125" style="34" customWidth="1"/>
    <col min="5" max="5" width="17.71093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10.5703125" style="34" customWidth="1"/>
    <col min="13" max="13" width="9.4257812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394" t="str">
        <f>'1. паспорт местоположение'!A5:C5</f>
        <v>Год раскрытия информации: 2022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03" t="s">
        <v>7</v>
      </c>
      <c r="F7" s="403"/>
      <c r="G7" s="403"/>
      <c r="H7" s="403"/>
      <c r="I7" s="403"/>
      <c r="J7" s="403"/>
      <c r="K7" s="403"/>
      <c r="L7" s="403"/>
      <c r="M7" s="403"/>
      <c r="N7" s="403"/>
      <c r="O7" s="403"/>
      <c r="P7" s="403"/>
      <c r="Q7" s="403"/>
      <c r="R7" s="403"/>
      <c r="S7" s="403"/>
      <c r="T7" s="403"/>
      <c r="U7" s="403"/>
      <c r="V7" s="403"/>
      <c r="W7" s="403"/>
      <c r="X7" s="403"/>
      <c r="Y7" s="403"/>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01" t="str">
        <f>'1. паспорт местоположение'!A9</f>
        <v xml:space="preserve">Акционерное общество "Западная энергетическая компания" </v>
      </c>
      <c r="F9" s="401"/>
      <c r="G9" s="401"/>
      <c r="H9" s="401"/>
      <c r="I9" s="401"/>
      <c r="J9" s="401"/>
      <c r="K9" s="401"/>
      <c r="L9" s="401"/>
      <c r="M9" s="401"/>
      <c r="N9" s="401"/>
      <c r="O9" s="401"/>
      <c r="P9" s="401"/>
      <c r="Q9" s="401"/>
      <c r="R9" s="401"/>
      <c r="S9" s="401"/>
      <c r="T9" s="401"/>
      <c r="U9" s="401"/>
      <c r="V9" s="401"/>
      <c r="W9" s="401"/>
      <c r="X9" s="401"/>
      <c r="Y9" s="401"/>
    </row>
    <row r="10" spans="1:27" s="17" customFormat="1" ht="18.75" customHeight="1" x14ac:dyDescent="0.2">
      <c r="E10" s="407" t="s">
        <v>6</v>
      </c>
      <c r="F10" s="407"/>
      <c r="G10" s="407"/>
      <c r="H10" s="407"/>
      <c r="I10" s="407"/>
      <c r="J10" s="407"/>
      <c r="K10" s="407"/>
      <c r="L10" s="407"/>
      <c r="M10" s="407"/>
      <c r="N10" s="407"/>
      <c r="O10" s="407"/>
      <c r="P10" s="407"/>
      <c r="Q10" s="407"/>
      <c r="R10" s="407"/>
      <c r="S10" s="407"/>
      <c r="T10" s="407"/>
      <c r="U10" s="407"/>
      <c r="V10" s="407"/>
      <c r="W10" s="407"/>
      <c r="X10" s="407"/>
      <c r="Y10" s="407"/>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01" t="str">
        <f>'1. паспорт местоположение'!A12</f>
        <v>M 22-01</v>
      </c>
      <c r="F12" s="401"/>
      <c r="G12" s="401"/>
      <c r="H12" s="401"/>
      <c r="I12" s="401"/>
      <c r="J12" s="401"/>
      <c r="K12" s="401"/>
      <c r="L12" s="401"/>
      <c r="M12" s="401"/>
      <c r="N12" s="401"/>
      <c r="O12" s="401"/>
      <c r="P12" s="401"/>
      <c r="Q12" s="401"/>
      <c r="R12" s="401"/>
      <c r="S12" s="401"/>
      <c r="T12" s="401"/>
      <c r="U12" s="401"/>
      <c r="V12" s="401"/>
      <c r="W12" s="401"/>
      <c r="X12" s="401"/>
      <c r="Y12" s="401"/>
    </row>
    <row r="13" spans="1:27" s="17" customFormat="1" ht="18.75" customHeight="1" x14ac:dyDescent="0.2">
      <c r="E13" s="407" t="s">
        <v>5</v>
      </c>
      <c r="F13" s="407"/>
      <c r="G13" s="407"/>
      <c r="H13" s="407"/>
      <c r="I13" s="407"/>
      <c r="J13" s="407"/>
      <c r="K13" s="407"/>
      <c r="L13" s="407"/>
      <c r="M13" s="407"/>
      <c r="N13" s="407"/>
      <c r="O13" s="407"/>
      <c r="P13" s="407"/>
      <c r="Q13" s="407"/>
      <c r="R13" s="407"/>
      <c r="S13" s="407"/>
      <c r="T13" s="407"/>
      <c r="U13" s="407"/>
      <c r="V13" s="407"/>
      <c r="W13" s="407"/>
      <c r="X13" s="407"/>
      <c r="Y13" s="407"/>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01" t="str">
        <f>'1. паспорт местоположение'!A15</f>
        <v>Строительство второй очереди ПС 110 Прибрежная с установкой второго трансформатора 10МВА г. Калининград, пос. Прибрежный</v>
      </c>
      <c r="F15" s="401"/>
      <c r="G15" s="401"/>
      <c r="H15" s="401"/>
      <c r="I15" s="401"/>
      <c r="J15" s="401"/>
      <c r="K15" s="401"/>
      <c r="L15" s="401"/>
      <c r="M15" s="401"/>
      <c r="N15" s="401"/>
      <c r="O15" s="401"/>
      <c r="P15" s="401"/>
      <c r="Q15" s="401"/>
      <c r="R15" s="401"/>
      <c r="S15" s="401"/>
      <c r="T15" s="401"/>
      <c r="U15" s="401"/>
      <c r="V15" s="401"/>
      <c r="W15" s="401"/>
      <c r="X15" s="401"/>
      <c r="Y15" s="401"/>
    </row>
    <row r="16" spans="1:27" s="137" customFormat="1" ht="15" customHeight="1" x14ac:dyDescent="0.2">
      <c r="E16" s="407" t="s">
        <v>4</v>
      </c>
      <c r="F16" s="407"/>
      <c r="G16" s="407"/>
      <c r="H16" s="407"/>
      <c r="I16" s="407"/>
      <c r="J16" s="407"/>
      <c r="K16" s="407"/>
      <c r="L16" s="407"/>
      <c r="M16" s="407"/>
      <c r="N16" s="407"/>
      <c r="O16" s="407"/>
      <c r="P16" s="407"/>
      <c r="Q16" s="407"/>
      <c r="R16" s="407"/>
      <c r="S16" s="407"/>
      <c r="T16" s="407"/>
      <c r="U16" s="407"/>
      <c r="V16" s="407"/>
      <c r="W16" s="407"/>
      <c r="X16" s="407"/>
      <c r="Y16" s="407"/>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29"/>
      <c r="F18" s="429"/>
      <c r="G18" s="429"/>
      <c r="H18" s="429"/>
      <c r="I18" s="429"/>
      <c r="J18" s="429"/>
      <c r="K18" s="429"/>
      <c r="L18" s="429"/>
      <c r="M18" s="429"/>
      <c r="N18" s="429"/>
      <c r="O18" s="429"/>
      <c r="P18" s="429"/>
      <c r="Q18" s="429"/>
      <c r="R18" s="429"/>
      <c r="S18" s="429"/>
      <c r="T18" s="429"/>
      <c r="U18" s="429"/>
      <c r="V18" s="429"/>
      <c r="W18" s="429"/>
      <c r="X18" s="429"/>
      <c r="Y18" s="429"/>
    </row>
    <row r="19" spans="1:27" ht="25.5" customHeight="1" x14ac:dyDescent="0.25">
      <c r="A19" s="429" t="s">
        <v>389</v>
      </c>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row>
    <row r="20" spans="1:27" s="41" customFormat="1" ht="21" customHeight="1" x14ac:dyDescent="0.25"/>
    <row r="21" spans="1:27" ht="15.75" customHeight="1" x14ac:dyDescent="0.25">
      <c r="A21" s="431" t="s">
        <v>3</v>
      </c>
      <c r="B21" s="434" t="s">
        <v>396</v>
      </c>
      <c r="C21" s="435"/>
      <c r="D21" s="434" t="s">
        <v>398</v>
      </c>
      <c r="E21" s="435"/>
      <c r="F21" s="426" t="s">
        <v>88</v>
      </c>
      <c r="G21" s="428"/>
      <c r="H21" s="428"/>
      <c r="I21" s="427"/>
      <c r="J21" s="431" t="s">
        <v>399</v>
      </c>
      <c r="K21" s="434" t="s">
        <v>400</v>
      </c>
      <c r="L21" s="435"/>
      <c r="M21" s="434" t="s">
        <v>401</v>
      </c>
      <c r="N21" s="435"/>
      <c r="O21" s="434" t="s">
        <v>388</v>
      </c>
      <c r="P21" s="435"/>
      <c r="Q21" s="434" t="s">
        <v>121</v>
      </c>
      <c r="R21" s="435"/>
      <c r="S21" s="431" t="s">
        <v>120</v>
      </c>
      <c r="T21" s="431" t="s">
        <v>402</v>
      </c>
      <c r="U21" s="431" t="s">
        <v>397</v>
      </c>
      <c r="V21" s="434" t="s">
        <v>119</v>
      </c>
      <c r="W21" s="435"/>
      <c r="X21" s="426" t="s">
        <v>111</v>
      </c>
      <c r="Y21" s="428"/>
      <c r="Z21" s="426" t="s">
        <v>110</v>
      </c>
      <c r="AA21" s="428"/>
    </row>
    <row r="22" spans="1:27" ht="216" customHeight="1" x14ac:dyDescent="0.25">
      <c r="A22" s="432"/>
      <c r="B22" s="436"/>
      <c r="C22" s="437"/>
      <c r="D22" s="436"/>
      <c r="E22" s="437"/>
      <c r="F22" s="426" t="s">
        <v>118</v>
      </c>
      <c r="G22" s="427"/>
      <c r="H22" s="426" t="s">
        <v>117</v>
      </c>
      <c r="I22" s="427"/>
      <c r="J22" s="433"/>
      <c r="K22" s="436"/>
      <c r="L22" s="437"/>
      <c r="M22" s="436"/>
      <c r="N22" s="437"/>
      <c r="O22" s="436"/>
      <c r="P22" s="437"/>
      <c r="Q22" s="436"/>
      <c r="R22" s="437"/>
      <c r="S22" s="433"/>
      <c r="T22" s="433"/>
      <c r="U22" s="433"/>
      <c r="V22" s="436"/>
      <c r="W22" s="437"/>
      <c r="X22" s="72" t="s">
        <v>109</v>
      </c>
      <c r="Y22" s="72" t="s">
        <v>386</v>
      </c>
      <c r="Z22" s="72" t="s">
        <v>108</v>
      </c>
      <c r="AA22" s="72" t="s">
        <v>107</v>
      </c>
    </row>
    <row r="23" spans="1:27" ht="60" customHeight="1" x14ac:dyDescent="0.25">
      <c r="A23" s="433"/>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ht="63" x14ac:dyDescent="0.25">
      <c r="A25" s="369">
        <v>1</v>
      </c>
      <c r="B25" s="113" t="s">
        <v>650</v>
      </c>
      <c r="C25" s="369" t="s">
        <v>648</v>
      </c>
      <c r="D25" s="369" t="s">
        <v>298</v>
      </c>
      <c r="E25" s="369" t="s">
        <v>648</v>
      </c>
      <c r="F25" s="369">
        <v>110</v>
      </c>
      <c r="G25" s="369">
        <v>110</v>
      </c>
      <c r="H25" s="369">
        <v>110</v>
      </c>
      <c r="I25" s="369">
        <v>110</v>
      </c>
      <c r="J25" s="369">
        <v>2022</v>
      </c>
      <c r="K25" s="369" t="s">
        <v>298</v>
      </c>
      <c r="L25" s="369" t="s">
        <v>646</v>
      </c>
      <c r="M25" s="369">
        <v>120</v>
      </c>
      <c r="N25" s="369">
        <v>120</v>
      </c>
      <c r="O25" s="369" t="s">
        <v>298</v>
      </c>
      <c r="P25" s="369" t="s">
        <v>575</v>
      </c>
      <c r="Q25" s="369" t="s">
        <v>298</v>
      </c>
      <c r="R25" s="369"/>
      <c r="S25" s="369" t="s">
        <v>298</v>
      </c>
      <c r="T25" s="111" t="s">
        <v>298</v>
      </c>
      <c r="U25" s="111" t="s">
        <v>298</v>
      </c>
      <c r="V25" s="111" t="s">
        <v>298</v>
      </c>
      <c r="W25" s="111"/>
      <c r="X25" s="111" t="s">
        <v>298</v>
      </c>
      <c r="Y25" s="111" t="s">
        <v>298</v>
      </c>
      <c r="Z25" s="111" t="s">
        <v>298</v>
      </c>
      <c r="AA25" s="111" t="s">
        <v>298</v>
      </c>
    </row>
    <row r="26" spans="1:27" s="40" customFormat="1" ht="91.15" customHeight="1" x14ac:dyDescent="0.2">
      <c r="A26" s="374">
        <v>2</v>
      </c>
      <c r="B26" s="373" t="s">
        <v>298</v>
      </c>
      <c r="C26" s="371" t="s">
        <v>649</v>
      </c>
      <c r="D26" s="370"/>
      <c r="E26" s="371" t="s">
        <v>649</v>
      </c>
      <c r="F26" s="373" t="s">
        <v>298</v>
      </c>
      <c r="G26" s="374">
        <v>110</v>
      </c>
      <c r="H26" s="374" t="s">
        <v>298</v>
      </c>
      <c r="I26" s="374">
        <v>110</v>
      </c>
      <c r="J26" s="374">
        <v>2022</v>
      </c>
      <c r="K26" s="370"/>
      <c r="L26" s="372" t="s">
        <v>646</v>
      </c>
      <c r="M26" s="373" t="s">
        <v>298</v>
      </c>
      <c r="N26" s="374">
        <v>120</v>
      </c>
      <c r="O26" s="370"/>
      <c r="P26" s="374" t="s">
        <v>575</v>
      </c>
      <c r="Q26" s="370"/>
      <c r="R26" s="370"/>
      <c r="S26" s="370"/>
      <c r="T26" s="370"/>
      <c r="U26" s="370"/>
      <c r="V26" s="370"/>
      <c r="W26" s="370"/>
      <c r="X26" s="370"/>
      <c r="Y26" s="370"/>
      <c r="Z26" s="370"/>
      <c r="AA26" s="370"/>
    </row>
    <row r="27"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A15" sqref="A15:C15"/>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394" t="str">
        <f>'1. паспорт местоположение'!A5:C5</f>
        <v>Год раскрытия информации: 2022 год</v>
      </c>
      <c r="B5" s="394"/>
      <c r="C5" s="394"/>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7" customFormat="1" ht="18.75" x14ac:dyDescent="0.3">
      <c r="A6" s="135"/>
      <c r="E6" s="134"/>
      <c r="F6" s="134"/>
      <c r="G6" s="14"/>
    </row>
    <row r="7" spans="1:29" s="17" customFormat="1" ht="18.75" x14ac:dyDescent="0.2">
      <c r="A7" s="403" t="s">
        <v>7</v>
      </c>
      <c r="B7" s="403"/>
      <c r="C7" s="403"/>
      <c r="D7" s="138"/>
      <c r="E7" s="138"/>
      <c r="F7" s="138"/>
      <c r="G7" s="138"/>
      <c r="H7" s="138"/>
      <c r="I7" s="138"/>
      <c r="J7" s="138"/>
      <c r="K7" s="138"/>
      <c r="L7" s="138"/>
      <c r="M7" s="138"/>
      <c r="N7" s="138"/>
      <c r="O7" s="138"/>
      <c r="P7" s="138"/>
      <c r="Q7" s="138"/>
      <c r="R7" s="138"/>
      <c r="S7" s="138"/>
      <c r="T7" s="138"/>
      <c r="U7" s="138"/>
    </row>
    <row r="8" spans="1:29" s="17" customFormat="1" ht="18.75" x14ac:dyDescent="0.2">
      <c r="A8" s="403"/>
      <c r="B8" s="403"/>
      <c r="C8" s="403"/>
      <c r="D8" s="153"/>
      <c r="E8" s="153"/>
      <c r="F8" s="153"/>
      <c r="G8" s="153"/>
      <c r="H8" s="138"/>
      <c r="I8" s="138"/>
      <c r="J8" s="138"/>
      <c r="K8" s="138"/>
      <c r="L8" s="138"/>
      <c r="M8" s="138"/>
      <c r="N8" s="138"/>
      <c r="O8" s="138"/>
      <c r="P8" s="138"/>
      <c r="Q8" s="138"/>
      <c r="R8" s="138"/>
      <c r="S8" s="138"/>
      <c r="T8" s="138"/>
      <c r="U8" s="138"/>
    </row>
    <row r="9" spans="1:29" s="17" customFormat="1" ht="18.75" x14ac:dyDescent="0.2">
      <c r="A9" s="401" t="str">
        <f>'1. паспорт местоположение'!A9:C9</f>
        <v xml:space="preserve">Акционерное общество "Западная энергетическая компания" </v>
      </c>
      <c r="B9" s="401"/>
      <c r="C9" s="401"/>
      <c r="D9" s="140"/>
      <c r="E9" s="140"/>
      <c r="F9" s="140"/>
      <c r="G9" s="140"/>
      <c r="H9" s="138"/>
      <c r="I9" s="138"/>
      <c r="J9" s="138"/>
      <c r="K9" s="138"/>
      <c r="L9" s="138"/>
      <c r="M9" s="138"/>
      <c r="N9" s="138"/>
      <c r="O9" s="138"/>
      <c r="P9" s="138"/>
      <c r="Q9" s="138"/>
      <c r="R9" s="138"/>
      <c r="S9" s="138"/>
      <c r="T9" s="138"/>
      <c r="U9" s="138"/>
    </row>
    <row r="10" spans="1:29" s="17" customFormat="1" ht="18.75" x14ac:dyDescent="0.2">
      <c r="A10" s="407" t="s">
        <v>6</v>
      </c>
      <c r="B10" s="407"/>
      <c r="C10" s="407"/>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03"/>
      <c r="B11" s="403"/>
      <c r="C11" s="403"/>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01" t="str">
        <f>'1. паспорт местоположение'!A12:C12</f>
        <v>M 22-01</v>
      </c>
      <c r="B12" s="401"/>
      <c r="C12" s="401"/>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07" t="s">
        <v>5</v>
      </c>
      <c r="B13" s="407"/>
      <c r="C13" s="407"/>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08"/>
      <c r="B14" s="408"/>
      <c r="C14" s="408"/>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38"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38"/>
      <c r="C15" s="438"/>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07" t="s">
        <v>4</v>
      </c>
      <c r="B16" s="407"/>
      <c r="C16" s="407"/>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09"/>
      <c r="B17" s="409"/>
      <c r="C17" s="409"/>
      <c r="D17" s="142"/>
      <c r="E17" s="142"/>
      <c r="F17" s="142"/>
      <c r="G17" s="142"/>
      <c r="H17" s="142"/>
      <c r="I17" s="142"/>
      <c r="J17" s="142"/>
      <c r="K17" s="142"/>
      <c r="L17" s="142"/>
      <c r="M17" s="142"/>
      <c r="N17" s="142"/>
      <c r="O17" s="142"/>
      <c r="P17" s="142"/>
      <c r="Q17" s="142"/>
      <c r="R17" s="142"/>
    </row>
    <row r="18" spans="1:21" s="137" customFormat="1" ht="27.75" customHeight="1" x14ac:dyDescent="0.2">
      <c r="A18" s="410" t="s">
        <v>381</v>
      </c>
      <c r="B18" s="410"/>
      <c r="C18" s="410"/>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54.6" customHeight="1" x14ac:dyDescent="0.2">
      <c r="A22" s="156" t="s">
        <v>62</v>
      </c>
      <c r="B22" s="24" t="s">
        <v>394</v>
      </c>
      <c r="C22" s="226" t="s">
        <v>651</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663</v>
      </c>
      <c r="D23" s="151"/>
      <c r="E23" s="151"/>
      <c r="F23" s="151"/>
      <c r="G23" s="151"/>
      <c r="H23" s="151"/>
      <c r="I23" s="151"/>
      <c r="J23" s="151"/>
      <c r="K23" s="151"/>
      <c r="L23" s="151"/>
      <c r="M23" s="151"/>
      <c r="N23" s="151"/>
      <c r="O23" s="151"/>
      <c r="P23" s="151"/>
      <c r="Q23" s="151"/>
      <c r="R23" s="151"/>
      <c r="S23" s="151"/>
      <c r="T23" s="151"/>
      <c r="U23" s="151"/>
    </row>
    <row r="24" spans="1:21" ht="133.5" customHeight="1" x14ac:dyDescent="0.25">
      <c r="A24" s="156" t="s">
        <v>60</v>
      </c>
      <c r="B24" s="157" t="s">
        <v>413</v>
      </c>
      <c r="C24" s="33" t="s">
        <v>652</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158" t="s">
        <v>577</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438</v>
      </c>
      <c r="D26" s="151"/>
      <c r="E26" s="151"/>
      <c r="F26" s="151"/>
      <c r="G26" s="151"/>
      <c r="H26" s="151"/>
      <c r="I26" s="151"/>
      <c r="J26" s="151"/>
      <c r="K26" s="151"/>
      <c r="L26" s="151"/>
      <c r="M26" s="151"/>
      <c r="N26" s="151"/>
      <c r="O26" s="151"/>
      <c r="P26" s="151"/>
      <c r="Q26" s="151"/>
      <c r="R26" s="151"/>
      <c r="S26" s="151"/>
      <c r="T26" s="151"/>
      <c r="U26" s="151"/>
    </row>
    <row r="27" spans="1:21" ht="78.75" x14ac:dyDescent="0.25">
      <c r="A27" s="156" t="s">
        <v>56</v>
      </c>
      <c r="B27" s="157" t="s">
        <v>395</v>
      </c>
      <c r="C27" s="154" t="s">
        <v>578</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2022</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2023</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664</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4" sqref="A14:Z14"/>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394" t="str">
        <f>'1. паспорт местоположение'!A5:C5</f>
        <v>Год раскрытия информации: 2022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403" t="s">
        <v>7</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138"/>
      <c r="AB6" s="138"/>
    </row>
    <row r="7" spans="1:28" ht="18.75" x14ac:dyDescent="0.25">
      <c r="A7" s="403"/>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138"/>
      <c r="AB7" s="138"/>
    </row>
    <row r="8" spans="1:28" ht="15.75" x14ac:dyDescent="0.25">
      <c r="A8" s="401" t="str">
        <f>'1. паспорт местоположение'!A9:C9</f>
        <v xml:space="preserve">Акционерное общество "Западная энергетическая компания" </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140"/>
      <c r="AB8" s="140"/>
    </row>
    <row r="9" spans="1:28" ht="15.75"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141"/>
      <c r="AB9" s="141"/>
    </row>
    <row r="10" spans="1:28" ht="18.75" x14ac:dyDescent="0.25">
      <c r="A10" s="403"/>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138"/>
      <c r="AB10" s="138"/>
    </row>
    <row r="11" spans="1:28" ht="15.75" x14ac:dyDescent="0.25">
      <c r="A11" s="401" t="str">
        <f>'1. паспорт местоположение'!A12:C12</f>
        <v>M 22-01</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140"/>
      <c r="AB11" s="140"/>
    </row>
    <row r="12" spans="1:28" ht="15.75"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141"/>
      <c r="AB12" s="141"/>
    </row>
    <row r="13" spans="1:28" ht="18.75" x14ac:dyDescent="0.25">
      <c r="A13" s="408"/>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160"/>
      <c r="AB13" s="160"/>
    </row>
    <row r="14" spans="1:28" ht="15.75" x14ac:dyDescent="0.25">
      <c r="A14" s="401"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140"/>
      <c r="AB14" s="140"/>
    </row>
    <row r="15" spans="1:28" ht="15.75"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141"/>
      <c r="AB15" s="141"/>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1"/>
      <c r="AB16" s="161"/>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1"/>
      <c r="AB17" s="161"/>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1"/>
      <c r="AB18" s="161"/>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1"/>
      <c r="AB19" s="161"/>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62"/>
      <c r="AB20" s="162"/>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62"/>
      <c r="AB21" s="162"/>
    </row>
    <row r="22" spans="1:28" x14ac:dyDescent="0.25">
      <c r="A22" s="440" t="s">
        <v>412</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63"/>
      <c r="AB22" s="163"/>
    </row>
    <row r="23" spans="1:28" ht="32.25" customHeight="1" x14ac:dyDescent="0.25">
      <c r="A23" s="442" t="s">
        <v>295</v>
      </c>
      <c r="B23" s="443"/>
      <c r="C23" s="443"/>
      <c r="D23" s="443"/>
      <c r="E23" s="443"/>
      <c r="F23" s="443"/>
      <c r="G23" s="443"/>
      <c r="H23" s="443"/>
      <c r="I23" s="443"/>
      <c r="J23" s="443"/>
      <c r="K23" s="443"/>
      <c r="L23" s="444"/>
      <c r="M23" s="441" t="s">
        <v>296</v>
      </c>
      <c r="N23" s="441"/>
      <c r="O23" s="441"/>
      <c r="P23" s="441"/>
      <c r="Q23" s="441"/>
      <c r="R23" s="441"/>
      <c r="S23" s="441"/>
      <c r="T23" s="441"/>
      <c r="U23" s="441"/>
      <c r="V23" s="441"/>
      <c r="W23" s="441"/>
      <c r="X23" s="441"/>
      <c r="Y23" s="441"/>
      <c r="Z23" s="441"/>
    </row>
    <row r="24" spans="1:28" ht="151.5" customHeight="1" x14ac:dyDescent="0.25">
      <c r="A24" s="164" t="s">
        <v>210</v>
      </c>
      <c r="B24" s="165" t="s">
        <v>230</v>
      </c>
      <c r="C24" s="164" t="s">
        <v>293</v>
      </c>
      <c r="D24" s="164" t="s">
        <v>211</v>
      </c>
      <c r="E24" s="164" t="s">
        <v>294</v>
      </c>
      <c r="F24" s="164" t="s">
        <v>447</v>
      </c>
      <c r="G24" s="164" t="s">
        <v>448</v>
      </c>
      <c r="H24" s="164" t="s">
        <v>212</v>
      </c>
      <c r="I24" s="164" t="s">
        <v>449</v>
      </c>
      <c r="J24" s="164" t="s">
        <v>235</v>
      </c>
      <c r="K24" s="165" t="s">
        <v>229</v>
      </c>
      <c r="L24" s="165" t="s">
        <v>213</v>
      </c>
      <c r="M24" s="166" t="s">
        <v>242</v>
      </c>
      <c r="N24" s="165" t="s">
        <v>450</v>
      </c>
      <c r="O24" s="164" t="s">
        <v>451</v>
      </c>
      <c r="P24" s="164" t="s">
        <v>452</v>
      </c>
      <c r="Q24" s="164" t="s">
        <v>453</v>
      </c>
      <c r="R24" s="164" t="s">
        <v>212</v>
      </c>
      <c r="S24" s="164" t="s">
        <v>454</v>
      </c>
      <c r="T24" s="164" t="s">
        <v>455</v>
      </c>
      <c r="U24" s="164" t="s">
        <v>456</v>
      </c>
      <c r="V24" s="164" t="s">
        <v>453</v>
      </c>
      <c r="W24" s="167" t="s">
        <v>457</v>
      </c>
      <c r="X24" s="167" t="s">
        <v>458</v>
      </c>
      <c r="Y24" s="167" t="s">
        <v>459</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460</v>
      </c>
      <c r="D26" s="171" t="s">
        <v>461</v>
      </c>
      <c r="E26" s="171" t="s">
        <v>462</v>
      </c>
      <c r="F26" s="171" t="s">
        <v>463</v>
      </c>
      <c r="G26" s="171" t="s">
        <v>464</v>
      </c>
      <c r="H26" s="171" t="s">
        <v>212</v>
      </c>
      <c r="I26" s="171" t="s">
        <v>465</v>
      </c>
      <c r="J26" s="171" t="s">
        <v>466</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467</v>
      </c>
      <c r="G27" s="171" t="s">
        <v>468</v>
      </c>
      <c r="H27" s="172" t="s">
        <v>212</v>
      </c>
      <c r="I27" s="171" t="s">
        <v>469</v>
      </c>
      <c r="J27" s="171" t="s">
        <v>470</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471</v>
      </c>
      <c r="G28" s="171" t="s">
        <v>472</v>
      </c>
      <c r="H28" s="172" t="s">
        <v>212</v>
      </c>
      <c r="I28" s="171" t="s">
        <v>236</v>
      </c>
      <c r="J28" s="171" t="s">
        <v>473</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474</v>
      </c>
      <c r="G29" s="171" t="s">
        <v>475</v>
      </c>
      <c r="H29" s="172" t="s">
        <v>212</v>
      </c>
      <c r="I29" s="171" t="s">
        <v>237</v>
      </c>
      <c r="J29" s="171" t="s">
        <v>476</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477</v>
      </c>
      <c r="G30" s="171" t="s">
        <v>478</v>
      </c>
      <c r="H30" s="172" t="s">
        <v>212</v>
      </c>
      <c r="I30" s="171" t="s">
        <v>238</v>
      </c>
      <c r="J30" s="171" t="s">
        <v>479</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480</v>
      </c>
      <c r="D32" s="171" t="s">
        <v>481</v>
      </c>
      <c r="E32" s="171" t="s">
        <v>482</v>
      </c>
      <c r="F32" s="171" t="s">
        <v>483</v>
      </c>
      <c r="G32" s="171" t="s">
        <v>484</v>
      </c>
      <c r="H32" s="171" t="s">
        <v>212</v>
      </c>
      <c r="I32" s="171" t="s">
        <v>485</v>
      </c>
      <c r="J32" s="171" t="s">
        <v>486</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394" t="str">
        <f>'1. паспорт местоположение'!A5:C5</f>
        <v>Год раскрытия информации: 2022 год</v>
      </c>
      <c r="B5" s="394"/>
      <c r="C5" s="394"/>
      <c r="D5" s="394"/>
      <c r="E5" s="394"/>
      <c r="F5" s="394"/>
      <c r="G5" s="394"/>
      <c r="H5" s="394"/>
      <c r="I5" s="394"/>
      <c r="J5" s="394"/>
      <c r="K5" s="394"/>
      <c r="L5" s="394"/>
      <c r="M5" s="394"/>
      <c r="N5" s="394"/>
      <c r="O5" s="394"/>
      <c r="P5" s="105"/>
      <c r="Q5" s="105"/>
      <c r="R5" s="105"/>
      <c r="S5" s="105"/>
      <c r="T5" s="105"/>
      <c r="U5" s="105"/>
      <c r="V5" s="105"/>
      <c r="W5" s="105"/>
      <c r="X5" s="105"/>
      <c r="Y5" s="105"/>
      <c r="Z5" s="105"/>
      <c r="AA5" s="105"/>
      <c r="AB5" s="105"/>
    </row>
    <row r="6" spans="1:28" s="17" customFormat="1" ht="18.75" x14ac:dyDescent="0.3">
      <c r="A6" s="135"/>
      <c r="B6" s="135"/>
      <c r="L6" s="14"/>
    </row>
    <row r="7" spans="1:28" s="17" customFormat="1" ht="18.75" x14ac:dyDescent="0.2">
      <c r="A7" s="403" t="s">
        <v>7</v>
      </c>
      <c r="B7" s="403"/>
      <c r="C7" s="403"/>
      <c r="D7" s="403"/>
      <c r="E7" s="403"/>
      <c r="F7" s="403"/>
      <c r="G7" s="403"/>
      <c r="H7" s="403"/>
      <c r="I7" s="403"/>
      <c r="J7" s="403"/>
      <c r="K7" s="403"/>
      <c r="L7" s="403"/>
      <c r="M7" s="403"/>
      <c r="N7" s="403"/>
      <c r="O7" s="403"/>
      <c r="P7" s="138"/>
      <c r="Q7" s="138"/>
      <c r="R7" s="138"/>
      <c r="S7" s="138"/>
      <c r="T7" s="138"/>
      <c r="U7" s="138"/>
      <c r="V7" s="138"/>
      <c r="W7" s="138"/>
      <c r="X7" s="138"/>
      <c r="Y7" s="138"/>
      <c r="Z7" s="138"/>
    </row>
    <row r="8" spans="1:28" s="17" customFormat="1" ht="18.75" x14ac:dyDescent="0.2">
      <c r="A8" s="403"/>
      <c r="B8" s="403"/>
      <c r="C8" s="403"/>
      <c r="D8" s="403"/>
      <c r="E8" s="403"/>
      <c r="F8" s="403"/>
      <c r="G8" s="403"/>
      <c r="H8" s="403"/>
      <c r="I8" s="403"/>
      <c r="J8" s="403"/>
      <c r="K8" s="403"/>
      <c r="L8" s="403"/>
      <c r="M8" s="403"/>
      <c r="N8" s="403"/>
      <c r="O8" s="403"/>
      <c r="P8" s="138"/>
      <c r="Q8" s="138"/>
      <c r="R8" s="138"/>
      <c r="S8" s="138"/>
      <c r="T8" s="138"/>
      <c r="U8" s="138"/>
      <c r="V8" s="138"/>
      <c r="W8" s="138"/>
      <c r="X8" s="138"/>
      <c r="Y8" s="138"/>
      <c r="Z8" s="138"/>
    </row>
    <row r="9" spans="1:28" s="17" customFormat="1" ht="18.75" x14ac:dyDescent="0.2">
      <c r="A9" s="401" t="str">
        <f>'1. паспорт местоположение'!A9:C9</f>
        <v xml:space="preserve">Акционерное общество "Западная энергетическая компания" </v>
      </c>
      <c r="B9" s="401"/>
      <c r="C9" s="401"/>
      <c r="D9" s="401"/>
      <c r="E9" s="401"/>
      <c r="F9" s="401"/>
      <c r="G9" s="401"/>
      <c r="H9" s="401"/>
      <c r="I9" s="401"/>
      <c r="J9" s="401"/>
      <c r="K9" s="401"/>
      <c r="L9" s="401"/>
      <c r="M9" s="401"/>
      <c r="N9" s="401"/>
      <c r="O9" s="401"/>
      <c r="P9" s="138"/>
      <c r="Q9" s="138"/>
      <c r="R9" s="138"/>
      <c r="S9" s="138"/>
      <c r="T9" s="138"/>
      <c r="U9" s="138"/>
      <c r="V9" s="138"/>
      <c r="W9" s="138"/>
      <c r="X9" s="138"/>
      <c r="Y9" s="138"/>
      <c r="Z9" s="138"/>
    </row>
    <row r="10" spans="1:28" s="17" customFormat="1" ht="18.75" x14ac:dyDescent="0.2">
      <c r="A10" s="407" t="s">
        <v>6</v>
      </c>
      <c r="B10" s="407"/>
      <c r="C10" s="407"/>
      <c r="D10" s="407"/>
      <c r="E10" s="407"/>
      <c r="F10" s="407"/>
      <c r="G10" s="407"/>
      <c r="H10" s="407"/>
      <c r="I10" s="407"/>
      <c r="J10" s="407"/>
      <c r="K10" s="407"/>
      <c r="L10" s="407"/>
      <c r="M10" s="407"/>
      <c r="N10" s="407"/>
      <c r="O10" s="407"/>
      <c r="P10" s="138"/>
      <c r="Q10" s="138"/>
      <c r="R10" s="138"/>
      <c r="S10" s="138"/>
      <c r="T10" s="138"/>
      <c r="U10" s="138"/>
      <c r="V10" s="138"/>
      <c r="W10" s="138"/>
      <c r="X10" s="138"/>
      <c r="Y10" s="138"/>
      <c r="Z10" s="138"/>
    </row>
    <row r="11" spans="1:28" s="17" customFormat="1" ht="18.75" x14ac:dyDescent="0.2">
      <c r="A11" s="403"/>
      <c r="B11" s="403"/>
      <c r="C11" s="403"/>
      <c r="D11" s="403"/>
      <c r="E11" s="403"/>
      <c r="F11" s="403"/>
      <c r="G11" s="403"/>
      <c r="H11" s="403"/>
      <c r="I11" s="403"/>
      <c r="J11" s="403"/>
      <c r="K11" s="403"/>
      <c r="L11" s="403"/>
      <c r="M11" s="403"/>
      <c r="N11" s="403"/>
      <c r="O11" s="403"/>
      <c r="P11" s="138"/>
      <c r="Q11" s="138"/>
      <c r="R11" s="138"/>
      <c r="S11" s="138"/>
      <c r="T11" s="138"/>
      <c r="U11" s="138"/>
      <c r="V11" s="138"/>
      <c r="W11" s="138"/>
      <c r="X11" s="138"/>
      <c r="Y11" s="138"/>
      <c r="Z11" s="138"/>
    </row>
    <row r="12" spans="1:28" s="17" customFormat="1" ht="18.75" x14ac:dyDescent="0.2">
      <c r="A12" s="401" t="str">
        <f>'1. паспорт местоположение'!A12:C12</f>
        <v>M 22-01</v>
      </c>
      <c r="B12" s="401"/>
      <c r="C12" s="401"/>
      <c r="D12" s="401"/>
      <c r="E12" s="401"/>
      <c r="F12" s="401"/>
      <c r="G12" s="401"/>
      <c r="H12" s="401"/>
      <c r="I12" s="401"/>
      <c r="J12" s="401"/>
      <c r="K12" s="401"/>
      <c r="L12" s="401"/>
      <c r="M12" s="401"/>
      <c r="N12" s="401"/>
      <c r="O12" s="401"/>
      <c r="P12" s="138"/>
      <c r="Q12" s="138"/>
      <c r="R12" s="138"/>
      <c r="S12" s="138"/>
      <c r="T12" s="138"/>
      <c r="U12" s="138"/>
      <c r="V12" s="138"/>
      <c r="W12" s="138"/>
      <c r="X12" s="138"/>
      <c r="Y12" s="138"/>
      <c r="Z12" s="138"/>
    </row>
    <row r="13" spans="1:28" s="17" customFormat="1" ht="18.75" x14ac:dyDescent="0.2">
      <c r="A13" s="407" t="s">
        <v>5</v>
      </c>
      <c r="B13" s="407"/>
      <c r="C13" s="407"/>
      <c r="D13" s="407"/>
      <c r="E13" s="407"/>
      <c r="F13" s="407"/>
      <c r="G13" s="407"/>
      <c r="H13" s="407"/>
      <c r="I13" s="407"/>
      <c r="J13" s="407"/>
      <c r="K13" s="407"/>
      <c r="L13" s="407"/>
      <c r="M13" s="407"/>
      <c r="N13" s="407"/>
      <c r="O13" s="407"/>
      <c r="P13" s="138"/>
      <c r="Q13" s="138"/>
      <c r="R13" s="138"/>
      <c r="S13" s="138"/>
      <c r="T13" s="138"/>
      <c r="U13" s="138"/>
      <c r="V13" s="138"/>
      <c r="W13" s="138"/>
      <c r="X13" s="138"/>
      <c r="Y13" s="138"/>
      <c r="Z13" s="138"/>
    </row>
    <row r="14" spans="1:28" s="136" customFormat="1" ht="15.75" customHeight="1" x14ac:dyDescent="0.2">
      <c r="A14" s="408"/>
      <c r="B14" s="408"/>
      <c r="C14" s="408"/>
      <c r="D14" s="408"/>
      <c r="E14" s="408"/>
      <c r="F14" s="408"/>
      <c r="G14" s="408"/>
      <c r="H14" s="408"/>
      <c r="I14" s="408"/>
      <c r="J14" s="408"/>
      <c r="K14" s="408"/>
      <c r="L14" s="408"/>
      <c r="M14" s="408"/>
      <c r="N14" s="408"/>
      <c r="O14" s="408"/>
      <c r="P14" s="139"/>
      <c r="Q14" s="139"/>
      <c r="R14" s="139"/>
      <c r="S14" s="139"/>
      <c r="T14" s="139"/>
      <c r="U14" s="139"/>
      <c r="V14" s="139"/>
      <c r="W14" s="139"/>
      <c r="X14" s="139"/>
      <c r="Y14" s="139"/>
      <c r="Z14" s="139"/>
    </row>
    <row r="15" spans="1:28" s="137" customFormat="1" ht="15.75" x14ac:dyDescent="0.2">
      <c r="A15" s="401"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01"/>
      <c r="C15" s="401"/>
      <c r="D15" s="401"/>
      <c r="E15" s="401"/>
      <c r="F15" s="401"/>
      <c r="G15" s="401"/>
      <c r="H15" s="401"/>
      <c r="I15" s="401"/>
      <c r="J15" s="401"/>
      <c r="K15" s="401"/>
      <c r="L15" s="401"/>
      <c r="M15" s="401"/>
      <c r="N15" s="401"/>
      <c r="O15" s="401"/>
      <c r="P15" s="140"/>
      <c r="Q15" s="140"/>
      <c r="R15" s="140"/>
      <c r="S15" s="140"/>
      <c r="T15" s="140"/>
      <c r="U15" s="140"/>
      <c r="V15" s="140"/>
      <c r="W15" s="140"/>
      <c r="X15" s="140"/>
      <c r="Y15" s="140"/>
      <c r="Z15" s="140"/>
    </row>
    <row r="16" spans="1:28" s="137" customFormat="1" ht="15" customHeight="1" x14ac:dyDescent="0.2">
      <c r="A16" s="407" t="s">
        <v>4</v>
      </c>
      <c r="B16" s="407"/>
      <c r="C16" s="407"/>
      <c r="D16" s="407"/>
      <c r="E16" s="407"/>
      <c r="F16" s="407"/>
      <c r="G16" s="407"/>
      <c r="H16" s="407"/>
      <c r="I16" s="407"/>
      <c r="J16" s="407"/>
      <c r="K16" s="407"/>
      <c r="L16" s="407"/>
      <c r="M16" s="407"/>
      <c r="N16" s="407"/>
      <c r="O16" s="407"/>
      <c r="P16" s="141"/>
      <c r="Q16" s="141"/>
      <c r="R16" s="141"/>
      <c r="S16" s="141"/>
      <c r="T16" s="141"/>
      <c r="U16" s="141"/>
      <c r="V16" s="141"/>
      <c r="W16" s="141"/>
      <c r="X16" s="141"/>
      <c r="Y16" s="141"/>
      <c r="Z16" s="141"/>
    </row>
    <row r="17" spans="1:26" s="137" customFormat="1" ht="15" customHeight="1" x14ac:dyDescent="0.2">
      <c r="A17" s="409"/>
      <c r="B17" s="409"/>
      <c r="C17" s="409"/>
      <c r="D17" s="409"/>
      <c r="E17" s="409"/>
      <c r="F17" s="409"/>
      <c r="G17" s="409"/>
      <c r="H17" s="409"/>
      <c r="I17" s="409"/>
      <c r="J17" s="409"/>
      <c r="K17" s="409"/>
      <c r="L17" s="409"/>
      <c r="M17" s="409"/>
      <c r="N17" s="409"/>
      <c r="O17" s="409"/>
      <c r="P17" s="142"/>
      <c r="Q17" s="142"/>
      <c r="R17" s="142"/>
      <c r="S17" s="142"/>
      <c r="T17" s="142"/>
      <c r="U17" s="142"/>
      <c r="V17" s="142"/>
      <c r="W17" s="142"/>
    </row>
    <row r="18" spans="1:26" s="137" customFormat="1" ht="91.5" customHeight="1" x14ac:dyDescent="0.2">
      <c r="A18" s="446" t="s">
        <v>390</v>
      </c>
      <c r="B18" s="446"/>
      <c r="C18" s="446"/>
      <c r="D18" s="446"/>
      <c r="E18" s="446"/>
      <c r="F18" s="446"/>
      <c r="G18" s="446"/>
      <c r="H18" s="446"/>
      <c r="I18" s="446"/>
      <c r="J18" s="446"/>
      <c r="K18" s="446"/>
      <c r="L18" s="446"/>
      <c r="M18" s="446"/>
      <c r="N18" s="446"/>
      <c r="O18" s="446"/>
      <c r="P18" s="143"/>
      <c r="Q18" s="143"/>
      <c r="R18" s="143"/>
      <c r="S18" s="143"/>
      <c r="T18" s="143"/>
      <c r="U18" s="143"/>
      <c r="V18" s="143"/>
      <c r="W18" s="143"/>
      <c r="X18" s="143"/>
      <c r="Y18" s="143"/>
      <c r="Z18" s="143"/>
    </row>
    <row r="19" spans="1:26" s="137" customFormat="1" ht="78" customHeight="1" x14ac:dyDescent="0.2">
      <c r="A19" s="447" t="s">
        <v>3</v>
      </c>
      <c r="B19" s="447" t="s">
        <v>82</v>
      </c>
      <c r="C19" s="447" t="s">
        <v>81</v>
      </c>
      <c r="D19" s="447" t="s">
        <v>73</v>
      </c>
      <c r="E19" s="448" t="s">
        <v>80</v>
      </c>
      <c r="F19" s="449"/>
      <c r="G19" s="449"/>
      <c r="H19" s="449"/>
      <c r="I19" s="450"/>
      <c r="J19" s="447" t="s">
        <v>79</v>
      </c>
      <c r="K19" s="447"/>
      <c r="L19" s="447"/>
      <c r="M19" s="447"/>
      <c r="N19" s="447"/>
      <c r="O19" s="447"/>
      <c r="P19" s="142"/>
      <c r="Q19" s="142"/>
      <c r="R19" s="142"/>
      <c r="S19" s="142"/>
      <c r="T19" s="142"/>
      <c r="U19" s="142"/>
      <c r="V19" s="142"/>
      <c r="W19" s="142"/>
    </row>
    <row r="20" spans="1:26" s="137" customFormat="1" ht="51" customHeight="1" x14ac:dyDescent="0.2">
      <c r="A20" s="447"/>
      <c r="B20" s="447"/>
      <c r="C20" s="447"/>
      <c r="D20" s="447"/>
      <c r="E20" s="219" t="s">
        <v>78</v>
      </c>
      <c r="F20" s="219" t="s">
        <v>77</v>
      </c>
      <c r="G20" s="219" t="s">
        <v>76</v>
      </c>
      <c r="H20" s="219" t="s">
        <v>75</v>
      </c>
      <c r="I20" s="219" t="s">
        <v>74</v>
      </c>
      <c r="J20" s="219">
        <v>2018</v>
      </c>
      <c r="K20" s="219">
        <v>2019</v>
      </c>
      <c r="L20" s="219">
        <v>2020</v>
      </c>
      <c r="M20" s="219">
        <v>2021</v>
      </c>
      <c r="N20" s="219">
        <v>2022</v>
      </c>
      <c r="O20" s="219">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0" t="s">
        <v>62</v>
      </c>
      <c r="B22" s="221" t="s">
        <v>549</v>
      </c>
      <c r="C22" s="222">
        <v>0</v>
      </c>
      <c r="D22" s="222">
        <v>0</v>
      </c>
      <c r="E22" s="222">
        <v>0</v>
      </c>
      <c r="F22" s="222">
        <v>0</v>
      </c>
      <c r="G22" s="222">
        <v>0</v>
      </c>
      <c r="H22" s="222">
        <v>0</v>
      </c>
      <c r="I22" s="222">
        <v>0</v>
      </c>
      <c r="J22" s="223">
        <v>0</v>
      </c>
      <c r="K22" s="223">
        <v>0</v>
      </c>
      <c r="L22" s="224">
        <v>0</v>
      </c>
      <c r="M22" s="224">
        <v>0</v>
      </c>
      <c r="N22" s="224">
        <v>0</v>
      </c>
      <c r="O22" s="224">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Y208"/>
  <sheetViews>
    <sheetView topLeftCell="A50" workbookViewId="0">
      <selection activeCell="C57" sqref="C57"/>
    </sheetView>
  </sheetViews>
  <sheetFormatPr defaultColWidth="9.140625" defaultRowHeight="15.75" x14ac:dyDescent="0.2"/>
  <cols>
    <col min="1" max="1" width="61.7109375" style="283" customWidth="1"/>
    <col min="2" max="2" width="18.5703125" style="271" customWidth="1"/>
    <col min="3" max="12" width="16.85546875" style="271" customWidth="1"/>
    <col min="13" max="42" width="16.85546875" style="271" hidden="1" customWidth="1"/>
    <col min="43" max="49" width="16.85546875" style="272" hidden="1" customWidth="1"/>
    <col min="50" max="51" width="16.85546875" style="272" customWidth="1"/>
    <col min="52" max="256" width="9.140625" style="272"/>
    <col min="257" max="257" width="61.7109375" style="272" customWidth="1"/>
    <col min="258" max="258" width="18.5703125" style="272" customWidth="1"/>
    <col min="259" max="298" width="16.85546875" style="272" customWidth="1"/>
    <col min="299" max="300" width="18.5703125" style="272" customWidth="1"/>
    <col min="301" max="301" width="21.7109375" style="272" customWidth="1"/>
    <col min="302" max="512" width="9.140625" style="272"/>
    <col min="513" max="513" width="61.7109375" style="272" customWidth="1"/>
    <col min="514" max="514" width="18.5703125" style="272" customWidth="1"/>
    <col min="515" max="554" width="16.85546875" style="272" customWidth="1"/>
    <col min="555" max="556" width="18.5703125" style="272" customWidth="1"/>
    <col min="557" max="557" width="21.7109375" style="272" customWidth="1"/>
    <col min="558" max="768" width="9.140625" style="272"/>
    <col min="769" max="769" width="61.7109375" style="272" customWidth="1"/>
    <col min="770" max="770" width="18.5703125" style="272" customWidth="1"/>
    <col min="771" max="810" width="16.85546875" style="272" customWidth="1"/>
    <col min="811" max="812" width="18.5703125" style="272" customWidth="1"/>
    <col min="813" max="813" width="21.7109375" style="272" customWidth="1"/>
    <col min="814" max="1024" width="9.140625" style="272"/>
    <col min="1025" max="1025" width="61.7109375" style="272" customWidth="1"/>
    <col min="1026" max="1026" width="18.5703125" style="272" customWidth="1"/>
    <col min="1027" max="1066" width="16.85546875" style="272" customWidth="1"/>
    <col min="1067" max="1068" width="18.5703125" style="272" customWidth="1"/>
    <col min="1069" max="1069" width="21.7109375" style="272" customWidth="1"/>
    <col min="1070" max="1280" width="9.140625" style="272"/>
    <col min="1281" max="1281" width="61.7109375" style="272" customWidth="1"/>
    <col min="1282" max="1282" width="18.5703125" style="272" customWidth="1"/>
    <col min="1283" max="1322" width="16.85546875" style="272" customWidth="1"/>
    <col min="1323" max="1324" width="18.5703125" style="272" customWidth="1"/>
    <col min="1325" max="1325" width="21.7109375" style="272" customWidth="1"/>
    <col min="1326" max="1536" width="9.140625" style="272"/>
    <col min="1537" max="1537" width="61.7109375" style="272" customWidth="1"/>
    <col min="1538" max="1538" width="18.5703125" style="272" customWidth="1"/>
    <col min="1539" max="1578" width="16.85546875" style="272" customWidth="1"/>
    <col min="1579" max="1580" width="18.5703125" style="272" customWidth="1"/>
    <col min="1581" max="1581" width="21.7109375" style="272" customWidth="1"/>
    <col min="1582" max="1792" width="9.140625" style="272"/>
    <col min="1793" max="1793" width="61.7109375" style="272" customWidth="1"/>
    <col min="1794" max="1794" width="18.5703125" style="272" customWidth="1"/>
    <col min="1795" max="1834" width="16.85546875" style="272" customWidth="1"/>
    <col min="1835" max="1836" width="18.5703125" style="272" customWidth="1"/>
    <col min="1837" max="1837" width="21.7109375" style="272" customWidth="1"/>
    <col min="1838" max="2048" width="9.140625" style="272"/>
    <col min="2049" max="2049" width="61.7109375" style="272" customWidth="1"/>
    <col min="2050" max="2050" width="18.5703125" style="272" customWidth="1"/>
    <col min="2051" max="2090" width="16.85546875" style="272" customWidth="1"/>
    <col min="2091" max="2092" width="18.5703125" style="272" customWidth="1"/>
    <col min="2093" max="2093" width="21.7109375" style="272" customWidth="1"/>
    <col min="2094" max="2304" width="9.140625" style="272"/>
    <col min="2305" max="2305" width="61.7109375" style="272" customWidth="1"/>
    <col min="2306" max="2306" width="18.5703125" style="272" customWidth="1"/>
    <col min="2307" max="2346" width="16.85546875" style="272" customWidth="1"/>
    <col min="2347" max="2348" width="18.5703125" style="272" customWidth="1"/>
    <col min="2349" max="2349" width="21.7109375" style="272" customWidth="1"/>
    <col min="2350" max="2560" width="9.140625" style="272"/>
    <col min="2561" max="2561" width="61.7109375" style="272" customWidth="1"/>
    <col min="2562" max="2562" width="18.5703125" style="272" customWidth="1"/>
    <col min="2563" max="2602" width="16.85546875" style="272" customWidth="1"/>
    <col min="2603" max="2604" width="18.5703125" style="272" customWidth="1"/>
    <col min="2605" max="2605" width="21.7109375" style="272" customWidth="1"/>
    <col min="2606" max="2816" width="9.140625" style="272"/>
    <col min="2817" max="2817" width="61.7109375" style="272" customWidth="1"/>
    <col min="2818" max="2818" width="18.5703125" style="272" customWidth="1"/>
    <col min="2819" max="2858" width="16.85546875" style="272" customWidth="1"/>
    <col min="2859" max="2860" width="18.5703125" style="272" customWidth="1"/>
    <col min="2861" max="2861" width="21.7109375" style="272" customWidth="1"/>
    <col min="2862" max="3072" width="9.140625" style="272"/>
    <col min="3073" max="3073" width="61.7109375" style="272" customWidth="1"/>
    <col min="3074" max="3074" width="18.5703125" style="272" customWidth="1"/>
    <col min="3075" max="3114" width="16.85546875" style="272" customWidth="1"/>
    <col min="3115" max="3116" width="18.5703125" style="272" customWidth="1"/>
    <col min="3117" max="3117" width="21.7109375" style="272" customWidth="1"/>
    <col min="3118" max="3328" width="9.140625" style="272"/>
    <col min="3329" max="3329" width="61.7109375" style="272" customWidth="1"/>
    <col min="3330" max="3330" width="18.5703125" style="272" customWidth="1"/>
    <col min="3331" max="3370" width="16.85546875" style="272" customWidth="1"/>
    <col min="3371" max="3372" width="18.5703125" style="272" customWidth="1"/>
    <col min="3373" max="3373" width="21.7109375" style="272" customWidth="1"/>
    <col min="3374" max="3584" width="9.140625" style="272"/>
    <col min="3585" max="3585" width="61.7109375" style="272" customWidth="1"/>
    <col min="3586" max="3586" width="18.5703125" style="272" customWidth="1"/>
    <col min="3587" max="3626" width="16.85546875" style="272" customWidth="1"/>
    <col min="3627" max="3628" width="18.5703125" style="272" customWidth="1"/>
    <col min="3629" max="3629" width="21.7109375" style="272" customWidth="1"/>
    <col min="3630" max="3840" width="9.140625" style="272"/>
    <col min="3841" max="3841" width="61.7109375" style="272" customWidth="1"/>
    <col min="3842" max="3842" width="18.5703125" style="272" customWidth="1"/>
    <col min="3843" max="3882" width="16.85546875" style="272" customWidth="1"/>
    <col min="3883" max="3884" width="18.5703125" style="272" customWidth="1"/>
    <col min="3885" max="3885" width="21.7109375" style="272" customWidth="1"/>
    <col min="3886" max="4096" width="9.140625" style="272"/>
    <col min="4097" max="4097" width="61.7109375" style="272" customWidth="1"/>
    <col min="4098" max="4098" width="18.5703125" style="272" customWidth="1"/>
    <col min="4099" max="4138" width="16.85546875" style="272" customWidth="1"/>
    <col min="4139" max="4140" width="18.5703125" style="272" customWidth="1"/>
    <col min="4141" max="4141" width="21.7109375" style="272" customWidth="1"/>
    <col min="4142" max="4352" width="9.140625" style="272"/>
    <col min="4353" max="4353" width="61.7109375" style="272" customWidth="1"/>
    <col min="4354" max="4354" width="18.5703125" style="272" customWidth="1"/>
    <col min="4355" max="4394" width="16.85546875" style="272" customWidth="1"/>
    <col min="4395" max="4396" width="18.5703125" style="272" customWidth="1"/>
    <col min="4397" max="4397" width="21.7109375" style="272" customWidth="1"/>
    <col min="4398" max="4608" width="9.140625" style="272"/>
    <col min="4609" max="4609" width="61.7109375" style="272" customWidth="1"/>
    <col min="4610" max="4610" width="18.5703125" style="272" customWidth="1"/>
    <col min="4611" max="4650" width="16.85546875" style="272" customWidth="1"/>
    <col min="4651" max="4652" width="18.5703125" style="272" customWidth="1"/>
    <col min="4653" max="4653" width="21.7109375" style="272" customWidth="1"/>
    <col min="4654" max="4864" width="9.140625" style="272"/>
    <col min="4865" max="4865" width="61.7109375" style="272" customWidth="1"/>
    <col min="4866" max="4866" width="18.5703125" style="272" customWidth="1"/>
    <col min="4867" max="4906" width="16.85546875" style="272" customWidth="1"/>
    <col min="4907" max="4908" width="18.5703125" style="272" customWidth="1"/>
    <col min="4909" max="4909" width="21.7109375" style="272" customWidth="1"/>
    <col min="4910" max="5120" width="9.140625" style="272"/>
    <col min="5121" max="5121" width="61.7109375" style="272" customWidth="1"/>
    <col min="5122" max="5122" width="18.5703125" style="272" customWidth="1"/>
    <col min="5123" max="5162" width="16.85546875" style="272" customWidth="1"/>
    <col min="5163" max="5164" width="18.5703125" style="272" customWidth="1"/>
    <col min="5165" max="5165" width="21.7109375" style="272" customWidth="1"/>
    <col min="5166" max="5376" width="9.140625" style="272"/>
    <col min="5377" max="5377" width="61.7109375" style="272" customWidth="1"/>
    <col min="5378" max="5378" width="18.5703125" style="272" customWidth="1"/>
    <col min="5379" max="5418" width="16.85546875" style="272" customWidth="1"/>
    <col min="5419" max="5420" width="18.5703125" style="272" customWidth="1"/>
    <col min="5421" max="5421" width="21.7109375" style="272" customWidth="1"/>
    <col min="5422" max="5632" width="9.140625" style="272"/>
    <col min="5633" max="5633" width="61.7109375" style="272" customWidth="1"/>
    <col min="5634" max="5634" width="18.5703125" style="272" customWidth="1"/>
    <col min="5635" max="5674" width="16.85546875" style="272" customWidth="1"/>
    <col min="5675" max="5676" width="18.5703125" style="272" customWidth="1"/>
    <col min="5677" max="5677" width="21.7109375" style="272" customWidth="1"/>
    <col min="5678" max="5888" width="9.140625" style="272"/>
    <col min="5889" max="5889" width="61.7109375" style="272" customWidth="1"/>
    <col min="5890" max="5890" width="18.5703125" style="272" customWidth="1"/>
    <col min="5891" max="5930" width="16.85546875" style="272" customWidth="1"/>
    <col min="5931" max="5932" width="18.5703125" style="272" customWidth="1"/>
    <col min="5933" max="5933" width="21.7109375" style="272" customWidth="1"/>
    <col min="5934" max="6144" width="9.140625" style="272"/>
    <col min="6145" max="6145" width="61.7109375" style="272" customWidth="1"/>
    <col min="6146" max="6146" width="18.5703125" style="272" customWidth="1"/>
    <col min="6147" max="6186" width="16.85546875" style="272" customWidth="1"/>
    <col min="6187" max="6188" width="18.5703125" style="272" customWidth="1"/>
    <col min="6189" max="6189" width="21.7109375" style="272" customWidth="1"/>
    <col min="6190" max="6400" width="9.140625" style="272"/>
    <col min="6401" max="6401" width="61.7109375" style="272" customWidth="1"/>
    <col min="6402" max="6402" width="18.5703125" style="272" customWidth="1"/>
    <col min="6403" max="6442" width="16.85546875" style="272" customWidth="1"/>
    <col min="6443" max="6444" width="18.5703125" style="272" customWidth="1"/>
    <col min="6445" max="6445" width="21.7109375" style="272" customWidth="1"/>
    <col min="6446" max="6656" width="9.140625" style="272"/>
    <col min="6657" max="6657" width="61.7109375" style="272" customWidth="1"/>
    <col min="6658" max="6658" width="18.5703125" style="272" customWidth="1"/>
    <col min="6659" max="6698" width="16.85546875" style="272" customWidth="1"/>
    <col min="6699" max="6700" width="18.5703125" style="272" customWidth="1"/>
    <col min="6701" max="6701" width="21.7109375" style="272" customWidth="1"/>
    <col min="6702" max="6912" width="9.140625" style="272"/>
    <col min="6913" max="6913" width="61.7109375" style="272" customWidth="1"/>
    <col min="6914" max="6914" width="18.5703125" style="272" customWidth="1"/>
    <col min="6915" max="6954" width="16.85546875" style="272" customWidth="1"/>
    <col min="6955" max="6956" width="18.5703125" style="272" customWidth="1"/>
    <col min="6957" max="6957" width="21.7109375" style="272" customWidth="1"/>
    <col min="6958" max="7168" width="9.140625" style="272"/>
    <col min="7169" max="7169" width="61.7109375" style="272" customWidth="1"/>
    <col min="7170" max="7170" width="18.5703125" style="272" customWidth="1"/>
    <col min="7171" max="7210" width="16.85546875" style="272" customWidth="1"/>
    <col min="7211" max="7212" width="18.5703125" style="272" customWidth="1"/>
    <col min="7213" max="7213" width="21.7109375" style="272" customWidth="1"/>
    <col min="7214" max="7424" width="9.140625" style="272"/>
    <col min="7425" max="7425" width="61.7109375" style="272" customWidth="1"/>
    <col min="7426" max="7426" width="18.5703125" style="272" customWidth="1"/>
    <col min="7427" max="7466" width="16.85546875" style="272" customWidth="1"/>
    <col min="7467" max="7468" width="18.5703125" style="272" customWidth="1"/>
    <col min="7469" max="7469" width="21.7109375" style="272" customWidth="1"/>
    <col min="7470" max="7680" width="9.140625" style="272"/>
    <col min="7681" max="7681" width="61.7109375" style="272" customWidth="1"/>
    <col min="7682" max="7682" width="18.5703125" style="272" customWidth="1"/>
    <col min="7683" max="7722" width="16.85546875" style="272" customWidth="1"/>
    <col min="7723" max="7724" width="18.5703125" style="272" customWidth="1"/>
    <col min="7725" max="7725" width="21.7109375" style="272" customWidth="1"/>
    <col min="7726" max="7936" width="9.140625" style="272"/>
    <col min="7937" max="7937" width="61.7109375" style="272" customWidth="1"/>
    <col min="7938" max="7938" width="18.5703125" style="272" customWidth="1"/>
    <col min="7939" max="7978" width="16.85546875" style="272" customWidth="1"/>
    <col min="7979" max="7980" width="18.5703125" style="272" customWidth="1"/>
    <col min="7981" max="7981" width="21.7109375" style="272" customWidth="1"/>
    <col min="7982" max="8192" width="9.140625" style="272"/>
    <col min="8193" max="8193" width="61.7109375" style="272" customWidth="1"/>
    <col min="8194" max="8194" width="18.5703125" style="272" customWidth="1"/>
    <col min="8195" max="8234" width="16.85546875" style="272" customWidth="1"/>
    <col min="8235" max="8236" width="18.5703125" style="272" customWidth="1"/>
    <col min="8237" max="8237" width="21.7109375" style="272" customWidth="1"/>
    <col min="8238" max="8448" width="9.140625" style="272"/>
    <col min="8449" max="8449" width="61.7109375" style="272" customWidth="1"/>
    <col min="8450" max="8450" width="18.5703125" style="272" customWidth="1"/>
    <col min="8451" max="8490" width="16.85546875" style="272" customWidth="1"/>
    <col min="8491" max="8492" width="18.5703125" style="272" customWidth="1"/>
    <col min="8493" max="8493" width="21.7109375" style="272" customWidth="1"/>
    <col min="8494" max="8704" width="9.140625" style="272"/>
    <col min="8705" max="8705" width="61.7109375" style="272" customWidth="1"/>
    <col min="8706" max="8706" width="18.5703125" style="272" customWidth="1"/>
    <col min="8707" max="8746" width="16.85546875" style="272" customWidth="1"/>
    <col min="8747" max="8748" width="18.5703125" style="272" customWidth="1"/>
    <col min="8749" max="8749" width="21.7109375" style="272" customWidth="1"/>
    <col min="8750" max="8960" width="9.140625" style="272"/>
    <col min="8961" max="8961" width="61.7109375" style="272" customWidth="1"/>
    <col min="8962" max="8962" width="18.5703125" style="272" customWidth="1"/>
    <col min="8963" max="9002" width="16.85546875" style="272" customWidth="1"/>
    <col min="9003" max="9004" width="18.5703125" style="272" customWidth="1"/>
    <col min="9005" max="9005" width="21.7109375" style="272" customWidth="1"/>
    <col min="9006" max="9216" width="9.140625" style="272"/>
    <col min="9217" max="9217" width="61.7109375" style="272" customWidth="1"/>
    <col min="9218" max="9218" width="18.5703125" style="272" customWidth="1"/>
    <col min="9219" max="9258" width="16.85546875" style="272" customWidth="1"/>
    <col min="9259" max="9260" width="18.5703125" style="272" customWidth="1"/>
    <col min="9261" max="9261" width="21.7109375" style="272" customWidth="1"/>
    <col min="9262" max="9472" width="9.140625" style="272"/>
    <col min="9473" max="9473" width="61.7109375" style="272" customWidth="1"/>
    <col min="9474" max="9474" width="18.5703125" style="272" customWidth="1"/>
    <col min="9475" max="9514" width="16.85546875" style="272" customWidth="1"/>
    <col min="9515" max="9516" width="18.5703125" style="272" customWidth="1"/>
    <col min="9517" max="9517" width="21.7109375" style="272" customWidth="1"/>
    <col min="9518" max="9728" width="9.140625" style="272"/>
    <col min="9729" max="9729" width="61.7109375" style="272" customWidth="1"/>
    <col min="9730" max="9730" width="18.5703125" style="272" customWidth="1"/>
    <col min="9731" max="9770" width="16.85546875" style="272" customWidth="1"/>
    <col min="9771" max="9772" width="18.5703125" style="272" customWidth="1"/>
    <col min="9773" max="9773" width="21.7109375" style="272" customWidth="1"/>
    <col min="9774" max="9984" width="9.140625" style="272"/>
    <col min="9985" max="9985" width="61.7109375" style="272" customWidth="1"/>
    <col min="9986" max="9986" width="18.5703125" style="272" customWidth="1"/>
    <col min="9987" max="10026" width="16.85546875" style="272" customWidth="1"/>
    <col min="10027" max="10028" width="18.5703125" style="272" customWidth="1"/>
    <col min="10029" max="10029" width="21.7109375" style="272" customWidth="1"/>
    <col min="10030" max="10240" width="9.140625" style="272"/>
    <col min="10241" max="10241" width="61.7109375" style="272" customWidth="1"/>
    <col min="10242" max="10242" width="18.5703125" style="272" customWidth="1"/>
    <col min="10243" max="10282" width="16.85546875" style="272" customWidth="1"/>
    <col min="10283" max="10284" width="18.5703125" style="272" customWidth="1"/>
    <col min="10285" max="10285" width="21.7109375" style="272" customWidth="1"/>
    <col min="10286" max="10496" width="9.140625" style="272"/>
    <col min="10497" max="10497" width="61.7109375" style="272" customWidth="1"/>
    <col min="10498" max="10498" width="18.5703125" style="272" customWidth="1"/>
    <col min="10499" max="10538" width="16.85546875" style="272" customWidth="1"/>
    <col min="10539" max="10540" width="18.5703125" style="272" customWidth="1"/>
    <col min="10541" max="10541" width="21.7109375" style="272" customWidth="1"/>
    <col min="10542" max="10752" width="9.140625" style="272"/>
    <col min="10753" max="10753" width="61.7109375" style="272" customWidth="1"/>
    <col min="10754" max="10754" width="18.5703125" style="272" customWidth="1"/>
    <col min="10755" max="10794" width="16.85546875" style="272" customWidth="1"/>
    <col min="10795" max="10796" width="18.5703125" style="272" customWidth="1"/>
    <col min="10797" max="10797" width="21.7109375" style="272" customWidth="1"/>
    <col min="10798" max="11008" width="9.140625" style="272"/>
    <col min="11009" max="11009" width="61.7109375" style="272" customWidth="1"/>
    <col min="11010" max="11010" width="18.5703125" style="272" customWidth="1"/>
    <col min="11011" max="11050" width="16.85546875" style="272" customWidth="1"/>
    <col min="11051" max="11052" width="18.5703125" style="272" customWidth="1"/>
    <col min="11053" max="11053" width="21.7109375" style="272" customWidth="1"/>
    <col min="11054" max="11264" width="9.140625" style="272"/>
    <col min="11265" max="11265" width="61.7109375" style="272" customWidth="1"/>
    <col min="11266" max="11266" width="18.5703125" style="272" customWidth="1"/>
    <col min="11267" max="11306" width="16.85546875" style="272" customWidth="1"/>
    <col min="11307" max="11308" width="18.5703125" style="272" customWidth="1"/>
    <col min="11309" max="11309" width="21.7109375" style="272" customWidth="1"/>
    <col min="11310" max="11520" width="9.140625" style="272"/>
    <col min="11521" max="11521" width="61.7109375" style="272" customWidth="1"/>
    <col min="11522" max="11522" width="18.5703125" style="272" customWidth="1"/>
    <col min="11523" max="11562" width="16.85546875" style="272" customWidth="1"/>
    <col min="11563" max="11564" width="18.5703125" style="272" customWidth="1"/>
    <col min="11565" max="11565" width="21.7109375" style="272" customWidth="1"/>
    <col min="11566" max="11776" width="9.140625" style="272"/>
    <col min="11777" max="11777" width="61.7109375" style="272" customWidth="1"/>
    <col min="11778" max="11778" width="18.5703125" style="272" customWidth="1"/>
    <col min="11779" max="11818" width="16.85546875" style="272" customWidth="1"/>
    <col min="11819" max="11820" width="18.5703125" style="272" customWidth="1"/>
    <col min="11821" max="11821" width="21.7109375" style="272" customWidth="1"/>
    <col min="11822" max="12032" width="9.140625" style="272"/>
    <col min="12033" max="12033" width="61.7109375" style="272" customWidth="1"/>
    <col min="12034" max="12034" width="18.5703125" style="272" customWidth="1"/>
    <col min="12035" max="12074" width="16.85546875" style="272" customWidth="1"/>
    <col min="12075" max="12076" width="18.5703125" style="272" customWidth="1"/>
    <col min="12077" max="12077" width="21.7109375" style="272" customWidth="1"/>
    <col min="12078" max="12288" width="9.140625" style="272"/>
    <col min="12289" max="12289" width="61.7109375" style="272" customWidth="1"/>
    <col min="12290" max="12290" width="18.5703125" style="272" customWidth="1"/>
    <col min="12291" max="12330" width="16.85546875" style="272" customWidth="1"/>
    <col min="12331" max="12332" width="18.5703125" style="272" customWidth="1"/>
    <col min="12333" max="12333" width="21.7109375" style="272" customWidth="1"/>
    <col min="12334" max="12544" width="9.140625" style="272"/>
    <col min="12545" max="12545" width="61.7109375" style="272" customWidth="1"/>
    <col min="12546" max="12546" width="18.5703125" style="272" customWidth="1"/>
    <col min="12547" max="12586" width="16.85546875" style="272" customWidth="1"/>
    <col min="12587" max="12588" width="18.5703125" style="272" customWidth="1"/>
    <col min="12589" max="12589" width="21.7109375" style="272" customWidth="1"/>
    <col min="12590" max="12800" width="9.140625" style="272"/>
    <col min="12801" max="12801" width="61.7109375" style="272" customWidth="1"/>
    <col min="12802" max="12802" width="18.5703125" style="272" customWidth="1"/>
    <col min="12803" max="12842" width="16.85546875" style="272" customWidth="1"/>
    <col min="12843" max="12844" width="18.5703125" style="272" customWidth="1"/>
    <col min="12845" max="12845" width="21.7109375" style="272" customWidth="1"/>
    <col min="12846" max="13056" width="9.140625" style="272"/>
    <col min="13057" max="13057" width="61.7109375" style="272" customWidth="1"/>
    <col min="13058" max="13058" width="18.5703125" style="272" customWidth="1"/>
    <col min="13059" max="13098" width="16.85546875" style="272" customWidth="1"/>
    <col min="13099" max="13100" width="18.5703125" style="272" customWidth="1"/>
    <col min="13101" max="13101" width="21.7109375" style="272" customWidth="1"/>
    <col min="13102" max="13312" width="9.140625" style="272"/>
    <col min="13313" max="13313" width="61.7109375" style="272" customWidth="1"/>
    <col min="13314" max="13314" width="18.5703125" style="272" customWidth="1"/>
    <col min="13315" max="13354" width="16.85546875" style="272" customWidth="1"/>
    <col min="13355" max="13356" width="18.5703125" style="272" customWidth="1"/>
    <col min="13357" max="13357" width="21.7109375" style="272" customWidth="1"/>
    <col min="13358" max="13568" width="9.140625" style="272"/>
    <col min="13569" max="13569" width="61.7109375" style="272" customWidth="1"/>
    <col min="13570" max="13570" width="18.5703125" style="272" customWidth="1"/>
    <col min="13571" max="13610" width="16.85546875" style="272" customWidth="1"/>
    <col min="13611" max="13612" width="18.5703125" style="272" customWidth="1"/>
    <col min="13613" max="13613" width="21.7109375" style="272" customWidth="1"/>
    <col min="13614" max="13824" width="9.140625" style="272"/>
    <col min="13825" max="13825" width="61.7109375" style="272" customWidth="1"/>
    <col min="13826" max="13826" width="18.5703125" style="272" customWidth="1"/>
    <col min="13827" max="13866" width="16.85546875" style="272" customWidth="1"/>
    <col min="13867" max="13868" width="18.5703125" style="272" customWidth="1"/>
    <col min="13869" max="13869" width="21.7109375" style="272" customWidth="1"/>
    <col min="13870" max="14080" width="9.140625" style="272"/>
    <col min="14081" max="14081" width="61.7109375" style="272" customWidth="1"/>
    <col min="14082" max="14082" width="18.5703125" style="272" customWidth="1"/>
    <col min="14083" max="14122" width="16.85546875" style="272" customWidth="1"/>
    <col min="14123" max="14124" width="18.5703125" style="272" customWidth="1"/>
    <col min="14125" max="14125" width="21.7109375" style="272" customWidth="1"/>
    <col min="14126" max="14336" width="9.140625" style="272"/>
    <col min="14337" max="14337" width="61.7109375" style="272" customWidth="1"/>
    <col min="14338" max="14338" width="18.5703125" style="272" customWidth="1"/>
    <col min="14339" max="14378" width="16.85546875" style="272" customWidth="1"/>
    <col min="14379" max="14380" width="18.5703125" style="272" customWidth="1"/>
    <col min="14381" max="14381" width="21.7109375" style="272" customWidth="1"/>
    <col min="14382" max="14592" width="9.140625" style="272"/>
    <col min="14593" max="14593" width="61.7109375" style="272" customWidth="1"/>
    <col min="14594" max="14594" width="18.5703125" style="272" customWidth="1"/>
    <col min="14595" max="14634" width="16.85546875" style="272" customWidth="1"/>
    <col min="14635" max="14636" width="18.5703125" style="272" customWidth="1"/>
    <col min="14637" max="14637" width="21.7109375" style="272" customWidth="1"/>
    <col min="14638" max="14848" width="9.140625" style="272"/>
    <col min="14849" max="14849" width="61.7109375" style="272" customWidth="1"/>
    <col min="14850" max="14850" width="18.5703125" style="272" customWidth="1"/>
    <col min="14851" max="14890" width="16.85546875" style="272" customWidth="1"/>
    <col min="14891" max="14892" width="18.5703125" style="272" customWidth="1"/>
    <col min="14893" max="14893" width="21.7109375" style="272" customWidth="1"/>
    <col min="14894" max="15104" width="9.140625" style="272"/>
    <col min="15105" max="15105" width="61.7109375" style="272" customWidth="1"/>
    <col min="15106" max="15106" width="18.5703125" style="272" customWidth="1"/>
    <col min="15107" max="15146" width="16.85546875" style="272" customWidth="1"/>
    <col min="15147" max="15148" width="18.5703125" style="272" customWidth="1"/>
    <col min="15149" max="15149" width="21.7109375" style="272" customWidth="1"/>
    <col min="15150" max="15360" width="9.140625" style="272"/>
    <col min="15361" max="15361" width="61.7109375" style="272" customWidth="1"/>
    <col min="15362" max="15362" width="18.5703125" style="272" customWidth="1"/>
    <col min="15363" max="15402" width="16.85546875" style="272" customWidth="1"/>
    <col min="15403" max="15404" width="18.5703125" style="272" customWidth="1"/>
    <col min="15405" max="15405" width="21.7109375" style="272" customWidth="1"/>
    <col min="15406" max="15616" width="9.140625" style="272"/>
    <col min="15617" max="15617" width="61.7109375" style="272" customWidth="1"/>
    <col min="15618" max="15618" width="18.5703125" style="272" customWidth="1"/>
    <col min="15619" max="15658" width="16.85546875" style="272" customWidth="1"/>
    <col min="15659" max="15660" width="18.5703125" style="272" customWidth="1"/>
    <col min="15661" max="15661" width="21.7109375" style="272" customWidth="1"/>
    <col min="15662" max="15872" width="9.140625" style="272"/>
    <col min="15873" max="15873" width="61.7109375" style="272" customWidth="1"/>
    <col min="15874" max="15874" width="18.5703125" style="272" customWidth="1"/>
    <col min="15875" max="15914" width="16.85546875" style="272" customWidth="1"/>
    <col min="15915" max="15916" width="18.5703125" style="272" customWidth="1"/>
    <col min="15917" max="15917" width="21.7109375" style="272" customWidth="1"/>
    <col min="15918" max="16128" width="9.140625" style="272"/>
    <col min="16129" max="16129" width="61.7109375" style="272" customWidth="1"/>
    <col min="16130" max="16130" width="18.5703125" style="272" customWidth="1"/>
    <col min="16131" max="16170" width="16.85546875" style="272" customWidth="1"/>
    <col min="16171" max="16172" width="18.5703125" style="272" customWidth="1"/>
    <col min="16173" max="16173" width="21.7109375" style="272" customWidth="1"/>
    <col min="16174" max="16384" width="9.140625" style="272"/>
  </cols>
  <sheetData>
    <row r="1" spans="1:44" ht="18.75" x14ac:dyDescent="0.2">
      <c r="A1" s="134"/>
      <c r="B1" s="134"/>
      <c r="C1" s="134"/>
      <c r="D1" s="134"/>
      <c r="G1" s="134"/>
      <c r="H1" s="249" t="s">
        <v>66</v>
      </c>
      <c r="I1" s="134"/>
      <c r="J1" s="134"/>
      <c r="K1" s="249"/>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row>
    <row r="2" spans="1:44" ht="18.75" x14ac:dyDescent="0.3">
      <c r="A2" s="134"/>
      <c r="B2" s="134"/>
      <c r="C2" s="134"/>
      <c r="D2" s="134"/>
      <c r="E2" s="272"/>
      <c r="F2" s="272"/>
      <c r="G2" s="134"/>
      <c r="H2" s="250" t="s">
        <v>8</v>
      </c>
      <c r="I2" s="134"/>
      <c r="J2" s="134"/>
      <c r="K2" s="250"/>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row>
    <row r="3" spans="1:44" ht="18.75" x14ac:dyDescent="0.3">
      <c r="A3" s="273"/>
      <c r="B3" s="134"/>
      <c r="C3" s="134"/>
      <c r="D3" s="134"/>
      <c r="E3" s="272"/>
      <c r="F3" s="272"/>
      <c r="G3" s="134"/>
      <c r="H3" s="250" t="s">
        <v>444</v>
      </c>
      <c r="I3" s="134"/>
      <c r="J3" s="134"/>
      <c r="K3" s="250"/>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row>
    <row r="4" spans="1:44" ht="18.75" x14ac:dyDescent="0.3">
      <c r="A4" s="273"/>
      <c r="B4" s="134"/>
      <c r="C4" s="134"/>
      <c r="D4" s="134"/>
      <c r="E4" s="134"/>
      <c r="F4" s="134"/>
      <c r="G4" s="134"/>
      <c r="H4" s="134"/>
      <c r="I4" s="134"/>
      <c r="J4" s="134"/>
      <c r="K4" s="250"/>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row>
    <row r="5" spans="1:44" x14ac:dyDescent="0.2">
      <c r="A5" s="466" t="str">
        <f>'1. паспорт местоположение'!A5:C5</f>
        <v>Год раскрытия информации: 2022 год</v>
      </c>
      <c r="B5" s="466"/>
      <c r="C5" s="466"/>
      <c r="D5" s="466"/>
      <c r="E5" s="466"/>
      <c r="F5" s="466"/>
      <c r="G5" s="466"/>
      <c r="H5" s="466"/>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ht="18.75" x14ac:dyDescent="0.3">
      <c r="A6" s="273"/>
      <c r="B6" s="134"/>
      <c r="C6" s="134"/>
      <c r="D6" s="134"/>
      <c r="E6" s="134"/>
      <c r="F6" s="134"/>
      <c r="G6" s="134"/>
      <c r="H6" s="134"/>
      <c r="I6" s="134"/>
      <c r="J6" s="134"/>
      <c r="K6" s="250"/>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row>
    <row r="7" spans="1:44" ht="18.75" x14ac:dyDescent="0.2">
      <c r="A7" s="467" t="s">
        <v>7</v>
      </c>
      <c r="B7" s="467"/>
      <c r="C7" s="467"/>
      <c r="D7" s="467"/>
      <c r="E7" s="467"/>
      <c r="F7" s="467"/>
      <c r="G7" s="467"/>
      <c r="H7" s="467"/>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ht="18.75" x14ac:dyDescent="0.2">
      <c r="A8" s="275"/>
      <c r="B8" s="275"/>
      <c r="C8" s="275"/>
      <c r="D8" s="275"/>
      <c r="E8" s="275"/>
      <c r="F8" s="275"/>
      <c r="G8" s="275"/>
      <c r="H8" s="275"/>
      <c r="I8" s="275"/>
      <c r="J8" s="275"/>
      <c r="K8" s="275"/>
      <c r="L8" s="274"/>
      <c r="M8" s="274"/>
      <c r="N8" s="274"/>
      <c r="O8" s="274"/>
      <c r="P8" s="274"/>
      <c r="Q8" s="274"/>
      <c r="R8" s="274"/>
      <c r="S8" s="274"/>
      <c r="T8" s="274"/>
      <c r="U8" s="274"/>
      <c r="V8" s="274"/>
      <c r="W8" s="274"/>
      <c r="X8" s="274"/>
      <c r="Y8" s="274"/>
      <c r="Z8" s="134"/>
      <c r="AA8" s="134"/>
      <c r="AB8" s="134"/>
      <c r="AC8" s="134"/>
      <c r="AD8" s="134"/>
      <c r="AE8" s="134"/>
      <c r="AF8" s="134"/>
      <c r="AG8" s="134"/>
      <c r="AH8" s="134"/>
      <c r="AI8" s="134"/>
      <c r="AJ8" s="134"/>
      <c r="AK8" s="134"/>
      <c r="AL8" s="134"/>
      <c r="AM8" s="134"/>
      <c r="AN8" s="134"/>
      <c r="AO8" s="134"/>
      <c r="AP8" s="134"/>
      <c r="AQ8" s="134"/>
      <c r="AR8" s="134"/>
    </row>
    <row r="9" spans="1:44" ht="18.75" x14ac:dyDescent="0.2">
      <c r="A9" s="468" t="s">
        <v>576</v>
      </c>
      <c r="B9" s="468"/>
      <c r="C9" s="468"/>
      <c r="D9" s="468"/>
      <c r="E9" s="468"/>
      <c r="F9" s="468"/>
      <c r="G9" s="468"/>
      <c r="H9" s="468"/>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row>
    <row r="10" spans="1:44" x14ac:dyDescent="0.2">
      <c r="A10" s="469" t="s">
        <v>6</v>
      </c>
      <c r="B10" s="469"/>
      <c r="C10" s="469"/>
      <c r="D10" s="469"/>
      <c r="E10" s="469"/>
      <c r="F10" s="469"/>
      <c r="G10" s="469"/>
      <c r="H10" s="469"/>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row>
    <row r="11" spans="1:44" ht="18.75" x14ac:dyDescent="0.2">
      <c r="A11" s="275"/>
      <c r="B11" s="275"/>
      <c r="C11" s="275"/>
      <c r="D11" s="275"/>
      <c r="E11" s="275"/>
      <c r="F11" s="275"/>
      <c r="G11" s="275"/>
      <c r="H11" s="275"/>
      <c r="I11" s="275"/>
      <c r="J11" s="275"/>
      <c r="K11" s="275"/>
      <c r="L11" s="274"/>
      <c r="M11" s="274"/>
      <c r="N11" s="274"/>
      <c r="O11" s="274"/>
      <c r="P11" s="274"/>
      <c r="Q11" s="274"/>
      <c r="R11" s="274"/>
      <c r="S11" s="274"/>
      <c r="T11" s="274"/>
      <c r="U11" s="274"/>
      <c r="V11" s="274"/>
      <c r="W11" s="274"/>
      <c r="X11" s="274"/>
      <c r="Y11" s="274"/>
      <c r="Z11" s="134"/>
      <c r="AA11" s="134"/>
      <c r="AB11" s="134"/>
      <c r="AC11" s="134"/>
      <c r="AD11" s="134"/>
      <c r="AE11" s="134"/>
      <c r="AF11" s="134"/>
      <c r="AG11" s="134"/>
      <c r="AH11" s="134"/>
      <c r="AI11" s="134"/>
      <c r="AJ11" s="134"/>
      <c r="AK11" s="134"/>
      <c r="AL11" s="134"/>
      <c r="AM11" s="134"/>
      <c r="AN11" s="134"/>
      <c r="AO11" s="134"/>
      <c r="AP11" s="134"/>
      <c r="AQ11" s="134"/>
      <c r="AR11" s="134"/>
    </row>
    <row r="12" spans="1:44" ht="18.75" x14ac:dyDescent="0.2">
      <c r="A12" s="468" t="s">
        <v>656</v>
      </c>
      <c r="B12" s="468"/>
      <c r="C12" s="468"/>
      <c r="D12" s="468"/>
      <c r="E12" s="468"/>
      <c r="F12" s="468"/>
      <c r="G12" s="468"/>
      <c r="H12" s="468"/>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row>
    <row r="13" spans="1:44" x14ac:dyDescent="0.2">
      <c r="A13" s="469" t="s">
        <v>5</v>
      </c>
      <c r="B13" s="469"/>
      <c r="C13" s="469"/>
      <c r="D13" s="469"/>
      <c r="E13" s="469"/>
      <c r="F13" s="469"/>
      <c r="G13" s="469"/>
      <c r="H13" s="469"/>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row>
    <row r="14" spans="1:44" ht="18.75"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134"/>
      <c r="AA14" s="134"/>
      <c r="AB14" s="134"/>
      <c r="AC14" s="134"/>
      <c r="AD14" s="134"/>
      <c r="AE14" s="134"/>
      <c r="AF14" s="134"/>
      <c r="AG14" s="134"/>
      <c r="AH14" s="134"/>
      <c r="AI14" s="134"/>
      <c r="AJ14" s="134"/>
      <c r="AK14" s="134"/>
      <c r="AL14" s="134"/>
      <c r="AM14" s="134"/>
      <c r="AN14" s="134"/>
      <c r="AO14" s="134"/>
      <c r="AP14" s="134"/>
      <c r="AQ14" s="134"/>
      <c r="AR14" s="134"/>
    </row>
    <row r="15" spans="1:44" ht="18.75" x14ac:dyDescent="0.2">
      <c r="A15" s="470"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70"/>
      <c r="C15" s="470"/>
      <c r="D15" s="470"/>
      <c r="E15" s="470"/>
      <c r="F15" s="470"/>
      <c r="G15" s="470"/>
      <c r="H15" s="470"/>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row>
    <row r="16" spans="1:44" x14ac:dyDescent="0.2">
      <c r="A16" s="469" t="s">
        <v>4</v>
      </c>
      <c r="B16" s="469"/>
      <c r="C16" s="469"/>
      <c r="D16" s="469"/>
      <c r="E16" s="469"/>
      <c r="F16" s="469"/>
      <c r="G16" s="469"/>
      <c r="H16" s="469"/>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row>
    <row r="17" spans="1:44" ht="18.75" x14ac:dyDescent="0.2">
      <c r="A17" s="278"/>
      <c r="B17" s="278"/>
      <c r="C17" s="278"/>
      <c r="D17" s="278"/>
      <c r="E17" s="278"/>
      <c r="F17" s="278"/>
      <c r="G17" s="278"/>
      <c r="H17" s="278"/>
      <c r="I17" s="278"/>
      <c r="J17" s="278"/>
      <c r="K17" s="278"/>
      <c r="L17" s="278"/>
      <c r="M17" s="278"/>
      <c r="N17" s="278"/>
      <c r="O17" s="278"/>
      <c r="P17" s="278"/>
      <c r="Q17" s="278"/>
      <c r="R17" s="278"/>
      <c r="S17" s="278"/>
      <c r="T17" s="278"/>
      <c r="U17" s="278"/>
      <c r="V17" s="278"/>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row>
    <row r="18" spans="1:44" ht="18.75" x14ac:dyDescent="0.2">
      <c r="A18" s="468" t="s">
        <v>391</v>
      </c>
      <c r="B18" s="468"/>
      <c r="C18" s="468"/>
      <c r="D18" s="468"/>
      <c r="E18" s="468"/>
      <c r="F18" s="468"/>
      <c r="G18" s="468"/>
      <c r="H18" s="468"/>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row>
    <row r="19" spans="1:44" x14ac:dyDescent="0.2">
      <c r="A19" s="281"/>
      <c r="Q19" s="282"/>
    </row>
    <row r="20" spans="1:44" x14ac:dyDescent="0.2">
      <c r="A20" s="281"/>
      <c r="Q20" s="282"/>
    </row>
    <row r="21" spans="1:44" x14ac:dyDescent="0.2">
      <c r="A21" s="281"/>
      <c r="Q21" s="282"/>
    </row>
    <row r="22" spans="1:44" x14ac:dyDescent="0.2">
      <c r="A22" s="281"/>
      <c r="Q22" s="282"/>
    </row>
    <row r="23" spans="1:44" x14ac:dyDescent="0.2">
      <c r="D23" s="284"/>
      <c r="Q23" s="282"/>
    </row>
    <row r="24" spans="1:44" ht="16.5" thickBot="1" x14ac:dyDescent="0.25">
      <c r="A24" s="285" t="s">
        <v>288</v>
      </c>
      <c r="B24" s="286" t="s">
        <v>1</v>
      </c>
      <c r="D24" s="287"/>
      <c r="E24" s="288"/>
      <c r="F24" s="288"/>
      <c r="G24" s="288"/>
      <c r="H24" s="288"/>
    </row>
    <row r="25" spans="1:44" x14ac:dyDescent="0.2">
      <c r="A25" s="289" t="s">
        <v>428</v>
      </c>
      <c r="B25" s="381">
        <f>'6.2. Паспорт фин осв ввод'!D30*1000000</f>
        <v>185571826.06593999</v>
      </c>
    </row>
    <row r="26" spans="1:44" x14ac:dyDescent="0.2">
      <c r="A26" s="299" t="s">
        <v>286</v>
      </c>
      <c r="B26" s="382">
        <v>0</v>
      </c>
    </row>
    <row r="27" spans="1:44" x14ac:dyDescent="0.2">
      <c r="A27" s="299" t="s">
        <v>284</v>
      </c>
      <c r="B27" s="382">
        <f>$B$123</f>
        <v>30</v>
      </c>
      <c r="D27" s="284" t="s">
        <v>287</v>
      </c>
    </row>
    <row r="28" spans="1:44" ht="16.5" thickBot="1" x14ac:dyDescent="0.25">
      <c r="A28" s="380" t="s">
        <v>282</v>
      </c>
      <c r="B28" s="383">
        <v>1</v>
      </c>
      <c r="D28" s="453" t="s">
        <v>285</v>
      </c>
      <c r="E28" s="454"/>
      <c r="F28" s="455"/>
      <c r="G28" s="464" t="str">
        <f>IF(SUM(B89:L89)=0,"не окупается",SUM(B89:L89))</f>
        <v>не окупается</v>
      </c>
      <c r="H28" s="465"/>
    </row>
    <row r="29" spans="1:44" ht="16.5" thickBot="1" x14ac:dyDescent="0.25">
      <c r="A29" s="378" t="s">
        <v>281</v>
      </c>
      <c r="B29" s="379">
        <f>$B$126*$B$127/1.2</f>
        <v>0</v>
      </c>
      <c r="D29" s="453" t="s">
        <v>283</v>
      </c>
      <c r="E29" s="454"/>
      <c r="F29" s="455"/>
      <c r="G29" s="464" t="str">
        <f>IF(SUM(B90:L90)=0,"не окупается",SUM(B90:L90))</f>
        <v>не окупается</v>
      </c>
      <c r="H29" s="465"/>
    </row>
    <row r="30" spans="1:44" ht="33.75" customHeight="1" x14ac:dyDescent="0.2">
      <c r="A30" s="376" t="s">
        <v>429</v>
      </c>
      <c r="B30" s="377">
        <v>6</v>
      </c>
      <c r="D30" s="453" t="s">
        <v>584</v>
      </c>
      <c r="E30" s="454"/>
      <c r="F30" s="455"/>
      <c r="G30" s="456">
        <f>L87</f>
        <v>-154999857.3296586</v>
      </c>
      <c r="H30" s="457"/>
    </row>
    <row r="31" spans="1:44" x14ac:dyDescent="0.2">
      <c r="A31" s="290" t="s">
        <v>280</v>
      </c>
      <c r="B31" s="291">
        <v>6</v>
      </c>
      <c r="D31" s="458"/>
      <c r="E31" s="459"/>
      <c r="F31" s="460"/>
      <c r="G31" s="458"/>
      <c r="H31" s="460"/>
    </row>
    <row r="32" spans="1:44" x14ac:dyDescent="0.2">
      <c r="A32" s="290" t="s">
        <v>259</v>
      </c>
      <c r="B32" s="291"/>
    </row>
    <row r="33" spans="1:42" x14ac:dyDescent="0.2">
      <c r="A33" s="290" t="s">
        <v>279</v>
      </c>
      <c r="B33" s="291"/>
    </row>
    <row r="34" spans="1:42" x14ac:dyDescent="0.2">
      <c r="A34" s="290" t="s">
        <v>278</v>
      </c>
      <c r="B34" s="291"/>
    </row>
    <row r="35" spans="1:42" x14ac:dyDescent="0.2">
      <c r="A35" s="295"/>
      <c r="B35" s="291"/>
    </row>
    <row r="36" spans="1:42" ht="16.5" thickBot="1" x14ac:dyDescent="0.25">
      <c r="A36" s="292" t="s">
        <v>253</v>
      </c>
      <c r="B36" s="296">
        <v>0.2</v>
      </c>
    </row>
    <row r="37" spans="1:42" x14ac:dyDescent="0.2">
      <c r="A37" s="293" t="s">
        <v>430</v>
      </c>
      <c r="B37" s="294">
        <v>0</v>
      </c>
    </row>
    <row r="38" spans="1:42" x14ac:dyDescent="0.2">
      <c r="A38" s="290" t="s">
        <v>277</v>
      </c>
      <c r="B38" s="291"/>
    </row>
    <row r="39" spans="1:42" ht="16.5" thickBot="1" x14ac:dyDescent="0.25">
      <c r="A39" s="295" t="s">
        <v>276</v>
      </c>
      <c r="B39" s="297"/>
    </row>
    <row r="40" spans="1:42" x14ac:dyDescent="0.2">
      <c r="A40" s="289" t="s">
        <v>431</v>
      </c>
      <c r="B40" s="298">
        <v>1</v>
      </c>
    </row>
    <row r="41" spans="1:42" x14ac:dyDescent="0.2">
      <c r="A41" s="299" t="s">
        <v>275</v>
      </c>
      <c r="B41" s="300"/>
    </row>
    <row r="42" spans="1:42" x14ac:dyDescent="0.2">
      <c r="A42" s="299" t="s">
        <v>274</v>
      </c>
      <c r="B42" s="301"/>
    </row>
    <row r="43" spans="1:42" x14ac:dyDescent="0.2">
      <c r="A43" s="299" t="s">
        <v>273</v>
      </c>
      <c r="B43" s="301">
        <v>0</v>
      </c>
    </row>
    <row r="44" spans="1:42" x14ac:dyDescent="0.2">
      <c r="A44" s="299" t="s">
        <v>272</v>
      </c>
      <c r="B44" s="301">
        <f>B129</f>
        <v>9.8699999999999996E-2</v>
      </c>
    </row>
    <row r="45" spans="1:42" x14ac:dyDescent="0.2">
      <c r="A45" s="299" t="s">
        <v>271</v>
      </c>
      <c r="B45" s="301">
        <f>1-B43</f>
        <v>1</v>
      </c>
    </row>
    <row r="46" spans="1:42" ht="16.5" thickBot="1" x14ac:dyDescent="0.25">
      <c r="A46" s="302" t="s">
        <v>585</v>
      </c>
      <c r="B46" s="303">
        <f>B45*B44+B43*B42*(1-B36)</f>
        <v>9.8699999999999996E-2</v>
      </c>
    </row>
    <row r="47" spans="1:42" x14ac:dyDescent="0.2">
      <c r="A47" s="304" t="s">
        <v>270</v>
      </c>
      <c r="B47" s="305">
        <f>B58</f>
        <v>1</v>
      </c>
      <c r="C47" s="305">
        <f t="shared" ref="C47:AO47" si="0">C58</f>
        <v>2</v>
      </c>
      <c r="D47" s="305">
        <f t="shared" si="0"/>
        <v>3</v>
      </c>
      <c r="E47" s="305">
        <f t="shared" si="0"/>
        <v>4</v>
      </c>
      <c r="F47" s="305">
        <f t="shared" si="0"/>
        <v>5</v>
      </c>
      <c r="G47" s="305">
        <f t="shared" si="0"/>
        <v>6</v>
      </c>
      <c r="H47" s="305">
        <f t="shared" si="0"/>
        <v>7</v>
      </c>
      <c r="I47" s="305">
        <f t="shared" si="0"/>
        <v>8</v>
      </c>
      <c r="J47" s="305">
        <f t="shared" si="0"/>
        <v>9</v>
      </c>
      <c r="K47" s="305">
        <f t="shared" si="0"/>
        <v>10</v>
      </c>
      <c r="L47" s="305">
        <f t="shared" si="0"/>
        <v>11</v>
      </c>
      <c r="M47" s="305">
        <f t="shared" si="0"/>
        <v>12</v>
      </c>
      <c r="N47" s="305">
        <f t="shared" si="0"/>
        <v>13</v>
      </c>
      <c r="O47" s="305">
        <f t="shared" si="0"/>
        <v>14</v>
      </c>
      <c r="P47" s="305">
        <f t="shared" si="0"/>
        <v>15</v>
      </c>
      <c r="Q47" s="305">
        <f t="shared" si="0"/>
        <v>16</v>
      </c>
      <c r="R47" s="305">
        <f t="shared" si="0"/>
        <v>17</v>
      </c>
      <c r="S47" s="305">
        <f t="shared" si="0"/>
        <v>18</v>
      </c>
      <c r="T47" s="305">
        <f t="shared" si="0"/>
        <v>19</v>
      </c>
      <c r="U47" s="305">
        <f t="shared" si="0"/>
        <v>20</v>
      </c>
      <c r="V47" s="305">
        <f t="shared" si="0"/>
        <v>21</v>
      </c>
      <c r="W47" s="305">
        <f t="shared" si="0"/>
        <v>22</v>
      </c>
      <c r="X47" s="305">
        <f t="shared" si="0"/>
        <v>23</v>
      </c>
      <c r="Y47" s="305">
        <f t="shared" si="0"/>
        <v>24</v>
      </c>
      <c r="Z47" s="305">
        <f t="shared" si="0"/>
        <v>25</v>
      </c>
      <c r="AA47" s="305">
        <f t="shared" si="0"/>
        <v>26</v>
      </c>
      <c r="AB47" s="305">
        <f t="shared" si="0"/>
        <v>27</v>
      </c>
      <c r="AC47" s="305">
        <f t="shared" si="0"/>
        <v>28</v>
      </c>
      <c r="AD47" s="305">
        <f t="shared" si="0"/>
        <v>29</v>
      </c>
      <c r="AE47" s="305">
        <f t="shared" si="0"/>
        <v>30</v>
      </c>
      <c r="AF47" s="305">
        <f t="shared" si="0"/>
        <v>31</v>
      </c>
      <c r="AG47" s="305">
        <f t="shared" si="0"/>
        <v>32</v>
      </c>
      <c r="AH47" s="305">
        <f t="shared" si="0"/>
        <v>33</v>
      </c>
      <c r="AI47" s="305">
        <f t="shared" si="0"/>
        <v>34</v>
      </c>
      <c r="AJ47" s="305">
        <f t="shared" si="0"/>
        <v>35</v>
      </c>
      <c r="AK47" s="305">
        <f t="shared" si="0"/>
        <v>36</v>
      </c>
      <c r="AL47" s="305">
        <f t="shared" si="0"/>
        <v>37</v>
      </c>
      <c r="AM47" s="305">
        <f t="shared" si="0"/>
        <v>38</v>
      </c>
      <c r="AN47" s="305">
        <f t="shared" si="0"/>
        <v>39</v>
      </c>
      <c r="AO47" s="305">
        <f t="shared" si="0"/>
        <v>40</v>
      </c>
      <c r="AP47" s="305">
        <f>AP58</f>
        <v>41</v>
      </c>
    </row>
    <row r="48" spans="1:42" x14ac:dyDescent="0.2">
      <c r="A48" s="306" t="s">
        <v>269</v>
      </c>
      <c r="B48" s="307">
        <f>H136</f>
        <v>5.0999999999999997E-2</v>
      </c>
      <c r="C48" s="307">
        <f>I136</f>
        <v>4.9000000000000002E-2</v>
      </c>
      <c r="D48" s="307">
        <f>J136</f>
        <v>4.7E-2</v>
      </c>
      <c r="E48" s="307">
        <v>4.7E-2</v>
      </c>
      <c r="F48" s="308">
        <v>4.7E-2</v>
      </c>
      <c r="G48" s="308">
        <v>4.7E-2</v>
      </c>
      <c r="H48" s="308">
        <v>4.7E-2</v>
      </c>
      <c r="I48" s="308">
        <v>4.7E-2</v>
      </c>
      <c r="J48" s="308">
        <v>4.7E-2</v>
      </c>
      <c r="K48" s="308">
        <v>4.7E-2</v>
      </c>
      <c r="L48" s="308">
        <v>4.7E-2</v>
      </c>
      <c r="M48" s="308">
        <v>4.7E-2</v>
      </c>
      <c r="N48" s="308">
        <v>4.7E-2</v>
      </c>
      <c r="O48" s="308">
        <v>4.7E-2</v>
      </c>
      <c r="P48" s="308">
        <v>4.7E-2</v>
      </c>
      <c r="Q48" s="308">
        <v>4.7E-2</v>
      </c>
      <c r="R48" s="308">
        <v>4.7E-2</v>
      </c>
      <c r="S48" s="308">
        <v>4.7E-2</v>
      </c>
      <c r="T48" s="308">
        <v>4.7E-2</v>
      </c>
      <c r="U48" s="308">
        <v>4.7E-2</v>
      </c>
      <c r="V48" s="308">
        <v>4.7E-2</v>
      </c>
      <c r="W48" s="308">
        <v>4.7E-2</v>
      </c>
      <c r="X48" s="308">
        <v>4.7E-2</v>
      </c>
      <c r="Y48" s="308">
        <v>4.7E-2</v>
      </c>
      <c r="Z48" s="308">
        <v>4.7E-2</v>
      </c>
      <c r="AA48" s="308">
        <v>4.7E-2</v>
      </c>
      <c r="AB48" s="308">
        <v>4.7E-2</v>
      </c>
      <c r="AC48" s="308">
        <v>4.7E-2</v>
      </c>
      <c r="AD48" s="308">
        <v>4.7E-2</v>
      </c>
      <c r="AE48" s="308">
        <v>4.7E-2</v>
      </c>
      <c r="AF48" s="309">
        <f t="shared" ref="AF48:AH48" si="1">AH136</f>
        <v>4.7E-2</v>
      </c>
      <c r="AG48" s="309">
        <f t="shared" si="1"/>
        <v>4.7E-2</v>
      </c>
      <c r="AH48" s="309">
        <f t="shared" si="1"/>
        <v>4.2000000000000003E-2</v>
      </c>
      <c r="AI48" s="309">
        <f t="shared" ref="AI48:AP48" si="2">AK136</f>
        <v>4.2000000000000003E-2</v>
      </c>
      <c r="AJ48" s="309">
        <f t="shared" si="2"/>
        <v>4.2000000000000003E-2</v>
      </c>
      <c r="AK48" s="309">
        <f t="shared" si="2"/>
        <v>4.2000000000000003E-2</v>
      </c>
      <c r="AL48" s="309">
        <f t="shared" si="2"/>
        <v>4.2000000000000003E-2</v>
      </c>
      <c r="AM48" s="309">
        <f t="shared" si="2"/>
        <v>4.2000000000000003E-2</v>
      </c>
      <c r="AN48" s="309">
        <f t="shared" si="2"/>
        <v>4.2000000000000003E-2</v>
      </c>
      <c r="AO48" s="309">
        <f t="shared" si="2"/>
        <v>4.2000000000000003E-2</v>
      </c>
      <c r="AP48" s="309">
        <f t="shared" si="2"/>
        <v>4.2000000000000003E-2</v>
      </c>
    </row>
    <row r="49" spans="1:42" x14ac:dyDescent="0.2">
      <c r="A49" s="306" t="s">
        <v>268</v>
      </c>
      <c r="B49" s="309">
        <f>H137</f>
        <v>0.16978822399999993</v>
      </c>
      <c r="C49" s="309">
        <f t="shared" ref="C49:F49" si="3">I137</f>
        <v>0.22710784697599995</v>
      </c>
      <c r="D49" s="309">
        <f t="shared" si="3"/>
        <v>0.2847819157838718</v>
      </c>
      <c r="E49" s="309">
        <f t="shared" si="3"/>
        <v>0.34516666582571376</v>
      </c>
      <c r="F49" s="309">
        <f t="shared" si="3"/>
        <v>0.40838949911952227</v>
      </c>
      <c r="G49" s="309">
        <f t="shared" ref="G49" si="4">M137</f>
        <v>0.47458380557813973</v>
      </c>
      <c r="H49" s="309">
        <f t="shared" ref="H49" si="5">N137</f>
        <v>0.54388924444031228</v>
      </c>
      <c r="I49" s="309">
        <f t="shared" ref="I49" si="6">O137</f>
        <v>0.61645203892900691</v>
      </c>
      <c r="J49" s="309">
        <f t="shared" ref="J49" si="7">P137</f>
        <v>0.69242528475867005</v>
      </c>
      <c r="K49" s="309">
        <f t="shared" ref="K49" si="8">Q137</f>
        <v>0.77196927314232733</v>
      </c>
      <c r="L49" s="309">
        <f t="shared" ref="L49" si="9">R137</f>
        <v>0.85525182898001662</v>
      </c>
      <c r="M49" s="309">
        <f t="shared" ref="M49:N49" si="10">Q137</f>
        <v>0.77196927314232733</v>
      </c>
      <c r="N49" s="309">
        <f t="shared" si="10"/>
        <v>0.85525182898001662</v>
      </c>
      <c r="O49" s="309">
        <f t="shared" ref="O49" si="11">S137</f>
        <v>0.94244866494207735</v>
      </c>
      <c r="P49" s="309">
        <f t="shared" ref="P49" si="12">T137</f>
        <v>1.0337437521943547</v>
      </c>
      <c r="Q49" s="309">
        <f t="shared" ref="Q49:R49" si="13">U137</f>
        <v>1.1293297085474894</v>
      </c>
      <c r="R49" s="309">
        <f t="shared" si="13"/>
        <v>1.2294082048492214</v>
      </c>
      <c r="S49" s="309">
        <f t="shared" ref="S49" si="14">W137</f>
        <v>1.3341903904771346</v>
      </c>
      <c r="T49" s="309">
        <f t="shared" ref="T49" si="15">X137</f>
        <v>1.4438973388295597</v>
      </c>
      <c r="U49" s="309">
        <f t="shared" ref="U49:V49" si="16">Y137</f>
        <v>1.558760513754549</v>
      </c>
      <c r="V49" s="309">
        <f t="shared" si="16"/>
        <v>1.6790222579010128</v>
      </c>
      <c r="W49" s="309">
        <f t="shared" ref="W49" si="17">AA137</f>
        <v>1.8049363040223603</v>
      </c>
      <c r="X49" s="309">
        <f t="shared" ref="X49" si="18">AB137</f>
        <v>1.9367683103114111</v>
      </c>
      <c r="Y49" s="309">
        <f t="shared" ref="Y49:Z49" si="19">AC137</f>
        <v>2.074796420896047</v>
      </c>
      <c r="Z49" s="309">
        <f t="shared" si="19"/>
        <v>2.2193118526781608</v>
      </c>
      <c r="AA49" s="309">
        <f t="shared" ref="AA49" si="20">AE137</f>
        <v>2.3706195097540341</v>
      </c>
      <c r="AB49" s="309">
        <f t="shared" ref="AB49" si="21">AF137</f>
        <v>2.5290386267124734</v>
      </c>
      <c r="AC49" s="309">
        <f t="shared" ref="AC49:AD49" si="22">AG137</f>
        <v>2.6949034421679592</v>
      </c>
      <c r="AD49" s="309">
        <f t="shared" si="22"/>
        <v>2.8685639039498532</v>
      </c>
      <c r="AE49" s="309">
        <f t="shared" ref="AE49" si="23">AI137</f>
        <v>3.0503864074354956</v>
      </c>
      <c r="AF49" s="309">
        <f t="shared" ref="AF49" si="24">AJ137</f>
        <v>3.2205026365477867</v>
      </c>
      <c r="AG49" s="309">
        <f t="shared" ref="AG49:AH49" si="25">AK137</f>
        <v>3.3977637472827942</v>
      </c>
      <c r="AH49" s="309">
        <f t="shared" si="25"/>
        <v>3.5824698246686717</v>
      </c>
      <c r="AI49" s="309">
        <f t="shared" ref="AI49" si="26">AM137</f>
        <v>3.774933557304756</v>
      </c>
      <c r="AJ49" s="309">
        <f t="shared" ref="AJ49" si="27">AN137</f>
        <v>3.9754807667115557</v>
      </c>
      <c r="AK49" s="309">
        <f t="shared" ref="AK49:AL49" si="28">AO137</f>
        <v>4.1844509589134411</v>
      </c>
      <c r="AL49" s="309">
        <f t="shared" si="28"/>
        <v>4.4021978991878061</v>
      </c>
      <c r="AM49" s="309">
        <f t="shared" ref="AM49" si="29">AQ137</f>
        <v>4.6290902109536942</v>
      </c>
      <c r="AN49" s="309">
        <f t="shared" ref="AN49" si="30">AR137</f>
        <v>4.8655119998137497</v>
      </c>
      <c r="AO49" s="309">
        <f t="shared" ref="AO49:AP49" si="31">AS137</f>
        <v>5.1118635038059272</v>
      </c>
      <c r="AP49" s="309">
        <f t="shared" si="31"/>
        <v>5.3685617709657762</v>
      </c>
    </row>
    <row r="50" spans="1:42" ht="16.5" thickBot="1" x14ac:dyDescent="0.25">
      <c r="A50" s="310" t="s">
        <v>432</v>
      </c>
      <c r="B50" s="254">
        <f>IF($B$124="да",($B$126*0+'2. паспорт  ТП'!S22*1.2*1000000),0)*0</f>
        <v>0</v>
      </c>
      <c r="C50" s="254">
        <f>G108*(1+C49)</f>
        <v>0</v>
      </c>
      <c r="D50" s="254">
        <f>H108*(1+H49)</f>
        <v>0</v>
      </c>
      <c r="E50" s="254">
        <f t="shared" ref="E50:M50" si="32">I108*(1+E49)</f>
        <v>12234463.348690426</v>
      </c>
      <c r="F50" s="254">
        <f t="shared" si="32"/>
        <v>14944396.980425354</v>
      </c>
      <c r="G50" s="254">
        <f t="shared" si="32"/>
        <v>16987936.5218058</v>
      </c>
      <c r="H50" s="254">
        <f t="shared" si="32"/>
        <v>18722494.250874393</v>
      </c>
      <c r="I50" s="254">
        <f t="shared" si="32"/>
        <v>19602451.48066549</v>
      </c>
      <c r="J50" s="254">
        <f t="shared" si="32"/>
        <v>20523766.700256765</v>
      </c>
      <c r="K50" s="254">
        <f t="shared" si="32"/>
        <v>21488383.73516883</v>
      </c>
      <c r="L50" s="254">
        <f t="shared" si="32"/>
        <v>22498337.770721763</v>
      </c>
      <c r="M50" s="254">
        <f t="shared" si="32"/>
        <v>21488383.73516883</v>
      </c>
      <c r="N50" s="254">
        <f t="shared" ref="N50:AP50" si="33">N108*(1+N49)</f>
        <v>22498337.770721763</v>
      </c>
      <c r="O50" s="254">
        <f t="shared" si="33"/>
        <v>23555759.645945687</v>
      </c>
      <c r="P50" s="254">
        <f t="shared" si="33"/>
        <v>24662880.349305131</v>
      </c>
      <c r="Q50" s="254">
        <f t="shared" si="33"/>
        <v>25822035.725722469</v>
      </c>
      <c r="R50" s="254">
        <f t="shared" si="33"/>
        <v>27035671.404831428</v>
      </c>
      <c r="S50" s="254">
        <f t="shared" si="33"/>
        <v>28306347.960858501</v>
      </c>
      <c r="T50" s="254">
        <f t="shared" si="33"/>
        <v>29636746.315018848</v>
      </c>
      <c r="U50" s="254">
        <f t="shared" si="33"/>
        <v>31029673.391824737</v>
      </c>
      <c r="V50" s="254">
        <f t="shared" si="33"/>
        <v>32488068.041240498</v>
      </c>
      <c r="W50" s="254">
        <f t="shared" si="33"/>
        <v>34015007.239178799</v>
      </c>
      <c r="X50" s="254">
        <f t="shared" si="33"/>
        <v>35613712.579420201</v>
      </c>
      <c r="Y50" s="254">
        <f t="shared" si="33"/>
        <v>37287557.070652947</v>
      </c>
      <c r="Z50" s="254">
        <f t="shared" si="33"/>
        <v>39040072.252973631</v>
      </c>
      <c r="AA50" s="254">
        <f t="shared" si="33"/>
        <v>40874955.64886339</v>
      </c>
      <c r="AB50" s="254">
        <f t="shared" si="33"/>
        <v>42796078.564359963</v>
      </c>
      <c r="AC50" s="254">
        <f t="shared" si="33"/>
        <v>44807494.256884873</v>
      </c>
      <c r="AD50" s="254">
        <f t="shared" si="33"/>
        <v>46913446.486958466</v>
      </c>
      <c r="AE50" s="254">
        <f t="shared" si="33"/>
        <v>49118378.4718455</v>
      </c>
      <c r="AF50" s="254">
        <f t="shared" si="33"/>
        <v>51181350.367663018</v>
      </c>
      <c r="AG50" s="254">
        <f t="shared" si="33"/>
        <v>53330967.083104871</v>
      </c>
      <c r="AH50" s="254">
        <f t="shared" si="33"/>
        <v>55570867.700595275</v>
      </c>
      <c r="AI50" s="254">
        <f t="shared" si="33"/>
        <v>57904844.144020282</v>
      </c>
      <c r="AJ50" s="254">
        <f t="shared" si="33"/>
        <v>60336847.598069131</v>
      </c>
      <c r="AK50" s="254">
        <f t="shared" si="33"/>
        <v>62870995.197188035</v>
      </c>
      <c r="AL50" s="254">
        <f t="shared" si="33"/>
        <v>65511576.995469935</v>
      </c>
      <c r="AM50" s="254">
        <f t="shared" si="33"/>
        <v>68263063.229279682</v>
      </c>
      <c r="AN50" s="254">
        <f t="shared" si="33"/>
        <v>71130111.884909421</v>
      </c>
      <c r="AO50" s="254">
        <f t="shared" si="33"/>
        <v>74117576.58407563</v>
      </c>
      <c r="AP50" s="254">
        <f t="shared" si="33"/>
        <v>77230514.800606802</v>
      </c>
    </row>
    <row r="51" spans="1:42" ht="16.5" thickBot="1" x14ac:dyDescent="0.25">
      <c r="B51" s="271">
        <v>2022</v>
      </c>
      <c r="C51" s="271">
        <f>B51+1</f>
        <v>2023</v>
      </c>
      <c r="D51" s="271">
        <f t="shared" ref="D51:AP51" si="34">C51+1</f>
        <v>2024</v>
      </c>
      <c r="E51" s="271">
        <f t="shared" si="34"/>
        <v>2025</v>
      </c>
      <c r="F51" s="271">
        <f t="shared" si="34"/>
        <v>2026</v>
      </c>
      <c r="G51" s="271">
        <f t="shared" si="34"/>
        <v>2027</v>
      </c>
      <c r="H51" s="271">
        <f t="shared" si="34"/>
        <v>2028</v>
      </c>
      <c r="I51" s="271">
        <f t="shared" si="34"/>
        <v>2029</v>
      </c>
      <c r="J51" s="271">
        <f t="shared" si="34"/>
        <v>2030</v>
      </c>
      <c r="K51" s="271">
        <f t="shared" si="34"/>
        <v>2031</v>
      </c>
      <c r="L51" s="271">
        <f t="shared" si="34"/>
        <v>2032</v>
      </c>
      <c r="M51" s="271">
        <f t="shared" si="34"/>
        <v>2033</v>
      </c>
      <c r="N51" s="271">
        <f t="shared" si="34"/>
        <v>2034</v>
      </c>
      <c r="O51" s="271">
        <f t="shared" si="34"/>
        <v>2035</v>
      </c>
      <c r="P51" s="271">
        <f t="shared" si="34"/>
        <v>2036</v>
      </c>
      <c r="Q51" s="271">
        <f t="shared" si="34"/>
        <v>2037</v>
      </c>
      <c r="R51" s="271">
        <f t="shared" si="34"/>
        <v>2038</v>
      </c>
      <c r="S51" s="271">
        <f t="shared" si="34"/>
        <v>2039</v>
      </c>
      <c r="T51" s="271">
        <f t="shared" si="34"/>
        <v>2040</v>
      </c>
      <c r="U51" s="271">
        <f t="shared" si="34"/>
        <v>2041</v>
      </c>
      <c r="V51" s="271">
        <f t="shared" si="34"/>
        <v>2042</v>
      </c>
      <c r="W51" s="271">
        <f t="shared" si="34"/>
        <v>2043</v>
      </c>
      <c r="X51" s="271">
        <f t="shared" si="34"/>
        <v>2044</v>
      </c>
      <c r="Y51" s="271">
        <f t="shared" si="34"/>
        <v>2045</v>
      </c>
      <c r="Z51" s="271">
        <f t="shared" si="34"/>
        <v>2046</v>
      </c>
      <c r="AA51" s="271">
        <f t="shared" si="34"/>
        <v>2047</v>
      </c>
      <c r="AB51" s="271">
        <f t="shared" si="34"/>
        <v>2048</v>
      </c>
      <c r="AC51" s="271">
        <f t="shared" si="34"/>
        <v>2049</v>
      </c>
      <c r="AD51" s="271">
        <f t="shared" si="34"/>
        <v>2050</v>
      </c>
      <c r="AE51" s="271">
        <f t="shared" si="34"/>
        <v>2051</v>
      </c>
      <c r="AF51" s="271">
        <f t="shared" si="34"/>
        <v>2052</v>
      </c>
      <c r="AG51" s="271">
        <f t="shared" si="34"/>
        <v>2053</v>
      </c>
      <c r="AH51" s="271">
        <f t="shared" si="34"/>
        <v>2054</v>
      </c>
      <c r="AI51" s="271">
        <f t="shared" si="34"/>
        <v>2055</v>
      </c>
      <c r="AJ51" s="271">
        <f t="shared" si="34"/>
        <v>2056</v>
      </c>
      <c r="AK51" s="271">
        <f t="shared" si="34"/>
        <v>2057</v>
      </c>
      <c r="AL51" s="271">
        <f t="shared" si="34"/>
        <v>2058</v>
      </c>
      <c r="AM51" s="271">
        <f t="shared" si="34"/>
        <v>2059</v>
      </c>
      <c r="AN51" s="271">
        <f t="shared" si="34"/>
        <v>2060</v>
      </c>
      <c r="AO51" s="271">
        <f t="shared" si="34"/>
        <v>2061</v>
      </c>
      <c r="AP51" s="271">
        <f t="shared" si="34"/>
        <v>2062</v>
      </c>
    </row>
    <row r="52" spans="1:42" x14ac:dyDescent="0.2">
      <c r="A52" s="252" t="s">
        <v>267</v>
      </c>
      <c r="B52" s="305">
        <f>B58</f>
        <v>1</v>
      </c>
      <c r="C52" s="305">
        <f t="shared" ref="C52:AO52" si="35">C58</f>
        <v>2</v>
      </c>
      <c r="D52" s="305">
        <f t="shared" si="35"/>
        <v>3</v>
      </c>
      <c r="E52" s="305">
        <f t="shared" si="35"/>
        <v>4</v>
      </c>
      <c r="F52" s="305">
        <f t="shared" si="35"/>
        <v>5</v>
      </c>
      <c r="G52" s="305">
        <f t="shared" si="35"/>
        <v>6</v>
      </c>
      <c r="H52" s="305">
        <f t="shared" si="35"/>
        <v>7</v>
      </c>
      <c r="I52" s="305">
        <f t="shared" si="35"/>
        <v>8</v>
      </c>
      <c r="J52" s="305">
        <f t="shared" si="35"/>
        <v>9</v>
      </c>
      <c r="K52" s="305">
        <f t="shared" si="35"/>
        <v>10</v>
      </c>
      <c r="L52" s="305">
        <f t="shared" si="35"/>
        <v>11</v>
      </c>
      <c r="M52" s="305">
        <f t="shared" si="35"/>
        <v>12</v>
      </c>
      <c r="N52" s="305">
        <f t="shared" si="35"/>
        <v>13</v>
      </c>
      <c r="O52" s="305">
        <f t="shared" si="35"/>
        <v>14</v>
      </c>
      <c r="P52" s="305">
        <f t="shared" si="35"/>
        <v>15</v>
      </c>
      <c r="Q52" s="305">
        <f t="shared" si="35"/>
        <v>16</v>
      </c>
      <c r="R52" s="305">
        <f t="shared" si="35"/>
        <v>17</v>
      </c>
      <c r="S52" s="305">
        <f t="shared" si="35"/>
        <v>18</v>
      </c>
      <c r="T52" s="305">
        <f t="shared" si="35"/>
        <v>19</v>
      </c>
      <c r="U52" s="305">
        <f t="shared" si="35"/>
        <v>20</v>
      </c>
      <c r="V52" s="305">
        <f t="shared" si="35"/>
        <v>21</v>
      </c>
      <c r="W52" s="305">
        <f t="shared" si="35"/>
        <v>22</v>
      </c>
      <c r="X52" s="305">
        <f t="shared" si="35"/>
        <v>23</v>
      </c>
      <c r="Y52" s="305">
        <f t="shared" si="35"/>
        <v>24</v>
      </c>
      <c r="Z52" s="305">
        <f t="shared" si="35"/>
        <v>25</v>
      </c>
      <c r="AA52" s="305">
        <f t="shared" si="35"/>
        <v>26</v>
      </c>
      <c r="AB52" s="305">
        <f t="shared" si="35"/>
        <v>27</v>
      </c>
      <c r="AC52" s="305">
        <f t="shared" si="35"/>
        <v>28</v>
      </c>
      <c r="AD52" s="305">
        <f t="shared" si="35"/>
        <v>29</v>
      </c>
      <c r="AE52" s="305">
        <f t="shared" si="35"/>
        <v>30</v>
      </c>
      <c r="AF52" s="305">
        <f t="shared" si="35"/>
        <v>31</v>
      </c>
      <c r="AG52" s="305">
        <f t="shared" si="35"/>
        <v>32</v>
      </c>
      <c r="AH52" s="305">
        <f t="shared" si="35"/>
        <v>33</v>
      </c>
      <c r="AI52" s="305">
        <f t="shared" si="35"/>
        <v>34</v>
      </c>
      <c r="AJ52" s="305">
        <f t="shared" si="35"/>
        <v>35</v>
      </c>
      <c r="AK52" s="305">
        <f t="shared" si="35"/>
        <v>36</v>
      </c>
      <c r="AL52" s="305">
        <f t="shared" si="35"/>
        <v>37</v>
      </c>
      <c r="AM52" s="305">
        <f t="shared" si="35"/>
        <v>38</v>
      </c>
      <c r="AN52" s="305">
        <f t="shared" si="35"/>
        <v>39</v>
      </c>
      <c r="AO52" s="305">
        <f t="shared" si="35"/>
        <v>40</v>
      </c>
      <c r="AP52" s="305">
        <f>AP58</f>
        <v>41</v>
      </c>
    </row>
    <row r="53" spans="1:42" x14ac:dyDescent="0.2">
      <c r="A53" s="306" t="s">
        <v>266</v>
      </c>
      <c r="B53" s="253">
        <v>0</v>
      </c>
      <c r="C53" s="253">
        <f t="shared" ref="C53:AP53" si="36">B53+B54-B55</f>
        <v>0</v>
      </c>
      <c r="D53" s="253">
        <f t="shared" si="36"/>
        <v>0</v>
      </c>
      <c r="E53" s="253">
        <f t="shared" si="36"/>
        <v>0</v>
      </c>
      <c r="F53" s="253">
        <f t="shared" si="36"/>
        <v>0</v>
      </c>
      <c r="G53" s="253">
        <f t="shared" si="36"/>
        <v>0</v>
      </c>
      <c r="H53" s="253">
        <f t="shared" si="36"/>
        <v>0</v>
      </c>
      <c r="I53" s="253">
        <f t="shared" si="36"/>
        <v>0</v>
      </c>
      <c r="J53" s="253">
        <f t="shared" si="36"/>
        <v>0</v>
      </c>
      <c r="K53" s="253">
        <f t="shared" si="36"/>
        <v>0</v>
      </c>
      <c r="L53" s="253">
        <f t="shared" si="36"/>
        <v>0</v>
      </c>
      <c r="M53" s="253">
        <f t="shared" si="36"/>
        <v>0</v>
      </c>
      <c r="N53" s="253">
        <f t="shared" si="36"/>
        <v>0</v>
      </c>
      <c r="O53" s="253">
        <f t="shared" si="36"/>
        <v>0</v>
      </c>
      <c r="P53" s="253">
        <f t="shared" si="36"/>
        <v>0</v>
      </c>
      <c r="Q53" s="253">
        <f t="shared" si="36"/>
        <v>0</v>
      </c>
      <c r="R53" s="253">
        <f t="shared" si="36"/>
        <v>0</v>
      </c>
      <c r="S53" s="253">
        <f t="shared" si="36"/>
        <v>0</v>
      </c>
      <c r="T53" s="253">
        <f t="shared" si="36"/>
        <v>0</v>
      </c>
      <c r="U53" s="253">
        <f t="shared" si="36"/>
        <v>0</v>
      </c>
      <c r="V53" s="253">
        <f t="shared" si="36"/>
        <v>0</v>
      </c>
      <c r="W53" s="253">
        <f t="shared" si="36"/>
        <v>0</v>
      </c>
      <c r="X53" s="253">
        <f t="shared" si="36"/>
        <v>0</v>
      </c>
      <c r="Y53" s="253">
        <f t="shared" si="36"/>
        <v>0</v>
      </c>
      <c r="Z53" s="253">
        <f t="shared" si="36"/>
        <v>0</v>
      </c>
      <c r="AA53" s="253">
        <f t="shared" si="36"/>
        <v>0</v>
      </c>
      <c r="AB53" s="253">
        <f t="shared" si="36"/>
        <v>0</v>
      </c>
      <c r="AC53" s="253">
        <f t="shared" si="36"/>
        <v>0</v>
      </c>
      <c r="AD53" s="253">
        <f t="shared" si="36"/>
        <v>0</v>
      </c>
      <c r="AE53" s="253">
        <f t="shared" si="36"/>
        <v>0</v>
      </c>
      <c r="AF53" s="253">
        <f t="shared" si="36"/>
        <v>0</v>
      </c>
      <c r="AG53" s="253">
        <f t="shared" si="36"/>
        <v>0</v>
      </c>
      <c r="AH53" s="253">
        <f t="shared" si="36"/>
        <v>0</v>
      </c>
      <c r="AI53" s="253">
        <f t="shared" si="36"/>
        <v>0</v>
      </c>
      <c r="AJ53" s="253">
        <f t="shared" si="36"/>
        <v>0</v>
      </c>
      <c r="AK53" s="253">
        <f t="shared" si="36"/>
        <v>0</v>
      </c>
      <c r="AL53" s="253">
        <f t="shared" si="36"/>
        <v>0</v>
      </c>
      <c r="AM53" s="253">
        <f t="shared" si="36"/>
        <v>0</v>
      </c>
      <c r="AN53" s="253">
        <f t="shared" si="36"/>
        <v>0</v>
      </c>
      <c r="AO53" s="253">
        <f t="shared" si="36"/>
        <v>0</v>
      </c>
      <c r="AP53" s="253">
        <f t="shared" si="36"/>
        <v>0</v>
      </c>
    </row>
    <row r="54" spans="1:42" x14ac:dyDescent="0.2">
      <c r="A54" s="306" t="s">
        <v>265</v>
      </c>
      <c r="B54" s="253">
        <f>B25*B28*B43*1.18</f>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3">
        <v>0</v>
      </c>
      <c r="AD54" s="253">
        <v>0</v>
      </c>
      <c r="AE54" s="253">
        <v>0</v>
      </c>
      <c r="AF54" s="253">
        <v>0</v>
      </c>
      <c r="AG54" s="253">
        <v>0</v>
      </c>
      <c r="AH54" s="253">
        <v>0</v>
      </c>
      <c r="AI54" s="253">
        <v>0</v>
      </c>
      <c r="AJ54" s="253">
        <v>0</v>
      </c>
      <c r="AK54" s="253">
        <v>0</v>
      </c>
      <c r="AL54" s="253">
        <v>0</v>
      </c>
      <c r="AM54" s="253">
        <v>0</v>
      </c>
      <c r="AN54" s="253">
        <v>0</v>
      </c>
      <c r="AO54" s="253">
        <v>0</v>
      </c>
      <c r="AP54" s="253">
        <v>0</v>
      </c>
    </row>
    <row r="55" spans="1:42" x14ac:dyDescent="0.2">
      <c r="A55" s="306" t="s">
        <v>264</v>
      </c>
      <c r="B55" s="253">
        <f>$B$54/$B$40</f>
        <v>0</v>
      </c>
      <c r="C55" s="253">
        <f t="shared" ref="C55:AP55" si="37">IF(ROUND(C53,1)=0,0,B55+C54/$B$40)</f>
        <v>0</v>
      </c>
      <c r="D55" s="253">
        <f t="shared" si="37"/>
        <v>0</v>
      </c>
      <c r="E55" s="253">
        <f t="shared" si="37"/>
        <v>0</v>
      </c>
      <c r="F55" s="253">
        <f t="shared" si="37"/>
        <v>0</v>
      </c>
      <c r="G55" s="253">
        <f t="shared" si="37"/>
        <v>0</v>
      </c>
      <c r="H55" s="253">
        <f t="shared" si="37"/>
        <v>0</v>
      </c>
      <c r="I55" s="253">
        <f t="shared" si="37"/>
        <v>0</v>
      </c>
      <c r="J55" s="253">
        <f t="shared" si="37"/>
        <v>0</v>
      </c>
      <c r="K55" s="253">
        <f t="shared" si="37"/>
        <v>0</v>
      </c>
      <c r="L55" s="253">
        <f t="shared" si="37"/>
        <v>0</v>
      </c>
      <c r="M55" s="253">
        <f t="shared" si="37"/>
        <v>0</v>
      </c>
      <c r="N55" s="253">
        <f t="shared" si="37"/>
        <v>0</v>
      </c>
      <c r="O55" s="253">
        <f t="shared" si="37"/>
        <v>0</v>
      </c>
      <c r="P55" s="253">
        <f t="shared" si="37"/>
        <v>0</v>
      </c>
      <c r="Q55" s="253">
        <f t="shared" si="37"/>
        <v>0</v>
      </c>
      <c r="R55" s="253">
        <f t="shared" si="37"/>
        <v>0</v>
      </c>
      <c r="S55" s="253">
        <f t="shared" si="37"/>
        <v>0</v>
      </c>
      <c r="T55" s="253">
        <f t="shared" si="37"/>
        <v>0</v>
      </c>
      <c r="U55" s="253">
        <f t="shared" si="37"/>
        <v>0</v>
      </c>
      <c r="V55" s="253">
        <f t="shared" si="37"/>
        <v>0</v>
      </c>
      <c r="W55" s="253">
        <f t="shared" si="37"/>
        <v>0</v>
      </c>
      <c r="X55" s="253">
        <f t="shared" si="37"/>
        <v>0</v>
      </c>
      <c r="Y55" s="253">
        <f t="shared" si="37"/>
        <v>0</v>
      </c>
      <c r="Z55" s="253">
        <f t="shared" si="37"/>
        <v>0</v>
      </c>
      <c r="AA55" s="253">
        <f t="shared" si="37"/>
        <v>0</v>
      </c>
      <c r="AB55" s="253">
        <f t="shared" si="37"/>
        <v>0</v>
      </c>
      <c r="AC55" s="253">
        <f t="shared" si="37"/>
        <v>0</v>
      </c>
      <c r="AD55" s="253">
        <f t="shared" si="37"/>
        <v>0</v>
      </c>
      <c r="AE55" s="253">
        <f t="shared" si="37"/>
        <v>0</v>
      </c>
      <c r="AF55" s="253">
        <f t="shared" si="37"/>
        <v>0</v>
      </c>
      <c r="AG55" s="253">
        <f t="shared" si="37"/>
        <v>0</v>
      </c>
      <c r="AH55" s="253">
        <f t="shared" si="37"/>
        <v>0</v>
      </c>
      <c r="AI55" s="253">
        <f t="shared" si="37"/>
        <v>0</v>
      </c>
      <c r="AJ55" s="253">
        <f t="shared" si="37"/>
        <v>0</v>
      </c>
      <c r="AK55" s="253">
        <f t="shared" si="37"/>
        <v>0</v>
      </c>
      <c r="AL55" s="253">
        <f t="shared" si="37"/>
        <v>0</v>
      </c>
      <c r="AM55" s="253">
        <f t="shared" si="37"/>
        <v>0</v>
      </c>
      <c r="AN55" s="253">
        <f t="shared" si="37"/>
        <v>0</v>
      </c>
      <c r="AO55" s="253">
        <f t="shared" si="37"/>
        <v>0</v>
      </c>
      <c r="AP55" s="253">
        <f t="shared" si="37"/>
        <v>0</v>
      </c>
    </row>
    <row r="56" spans="1:42" ht="16.5" thickBot="1" x14ac:dyDescent="0.25">
      <c r="A56" s="310" t="s">
        <v>263</v>
      </c>
      <c r="B56" s="254">
        <f t="shared" ref="B56:AP56" si="38">AVERAGE(SUM(B53:B54),(SUM(B53:B54)-B55))*$B$42</f>
        <v>0</v>
      </c>
      <c r="C56" s="254">
        <f t="shared" si="38"/>
        <v>0</v>
      </c>
      <c r="D56" s="254">
        <f t="shared" si="38"/>
        <v>0</v>
      </c>
      <c r="E56" s="254">
        <f t="shared" si="38"/>
        <v>0</v>
      </c>
      <c r="F56" s="254">
        <f t="shared" si="38"/>
        <v>0</v>
      </c>
      <c r="G56" s="254">
        <f t="shared" si="38"/>
        <v>0</v>
      </c>
      <c r="H56" s="254">
        <f t="shared" si="38"/>
        <v>0</v>
      </c>
      <c r="I56" s="254">
        <f t="shared" si="38"/>
        <v>0</v>
      </c>
      <c r="J56" s="254">
        <f t="shared" si="38"/>
        <v>0</v>
      </c>
      <c r="K56" s="254">
        <f t="shared" si="38"/>
        <v>0</v>
      </c>
      <c r="L56" s="254">
        <f t="shared" si="38"/>
        <v>0</v>
      </c>
      <c r="M56" s="254">
        <f t="shared" si="38"/>
        <v>0</v>
      </c>
      <c r="N56" s="254">
        <f t="shared" si="38"/>
        <v>0</v>
      </c>
      <c r="O56" s="254">
        <f t="shared" si="38"/>
        <v>0</v>
      </c>
      <c r="P56" s="254">
        <f t="shared" si="38"/>
        <v>0</v>
      </c>
      <c r="Q56" s="254">
        <f t="shared" si="38"/>
        <v>0</v>
      </c>
      <c r="R56" s="254">
        <f t="shared" si="38"/>
        <v>0</v>
      </c>
      <c r="S56" s="254">
        <f t="shared" si="38"/>
        <v>0</v>
      </c>
      <c r="T56" s="254">
        <f t="shared" si="38"/>
        <v>0</v>
      </c>
      <c r="U56" s="254">
        <f t="shared" si="38"/>
        <v>0</v>
      </c>
      <c r="V56" s="254">
        <f t="shared" si="38"/>
        <v>0</v>
      </c>
      <c r="W56" s="254">
        <f t="shared" si="38"/>
        <v>0</v>
      </c>
      <c r="X56" s="254">
        <f t="shared" si="38"/>
        <v>0</v>
      </c>
      <c r="Y56" s="254">
        <f t="shared" si="38"/>
        <v>0</v>
      </c>
      <c r="Z56" s="254">
        <f t="shared" si="38"/>
        <v>0</v>
      </c>
      <c r="AA56" s="254">
        <f t="shared" si="38"/>
        <v>0</v>
      </c>
      <c r="AB56" s="254">
        <f t="shared" si="38"/>
        <v>0</v>
      </c>
      <c r="AC56" s="254">
        <f t="shared" si="38"/>
        <v>0</v>
      </c>
      <c r="AD56" s="254">
        <f t="shared" si="38"/>
        <v>0</v>
      </c>
      <c r="AE56" s="254">
        <f t="shared" si="38"/>
        <v>0</v>
      </c>
      <c r="AF56" s="254">
        <f t="shared" si="38"/>
        <v>0</v>
      </c>
      <c r="AG56" s="254">
        <f t="shared" si="38"/>
        <v>0</v>
      </c>
      <c r="AH56" s="254">
        <f t="shared" si="38"/>
        <v>0</v>
      </c>
      <c r="AI56" s="254">
        <f t="shared" si="38"/>
        <v>0</v>
      </c>
      <c r="AJ56" s="254">
        <f t="shared" si="38"/>
        <v>0</v>
      </c>
      <c r="AK56" s="254">
        <f t="shared" si="38"/>
        <v>0</v>
      </c>
      <c r="AL56" s="254">
        <f t="shared" si="38"/>
        <v>0</v>
      </c>
      <c r="AM56" s="254">
        <f t="shared" si="38"/>
        <v>0</v>
      </c>
      <c r="AN56" s="254">
        <f t="shared" si="38"/>
        <v>0</v>
      </c>
      <c r="AO56" s="254">
        <f t="shared" si="38"/>
        <v>0</v>
      </c>
      <c r="AP56" s="254">
        <f t="shared" si="38"/>
        <v>0</v>
      </c>
    </row>
    <row r="57" spans="1:42" ht="16.5" thickBot="1" x14ac:dyDescent="0.25">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row>
    <row r="58" spans="1:42" x14ac:dyDescent="0.2">
      <c r="A58" s="252" t="s">
        <v>433</v>
      </c>
      <c r="B58" s="305">
        <v>1</v>
      </c>
      <c r="C58" s="305">
        <f>B58+1</f>
        <v>2</v>
      </c>
      <c r="D58" s="305">
        <f t="shared" ref="D58:AP58" si="39">C58+1</f>
        <v>3</v>
      </c>
      <c r="E58" s="305">
        <f t="shared" si="39"/>
        <v>4</v>
      </c>
      <c r="F58" s="305">
        <f t="shared" si="39"/>
        <v>5</v>
      </c>
      <c r="G58" s="305">
        <f t="shared" si="39"/>
        <v>6</v>
      </c>
      <c r="H58" s="305">
        <f t="shared" si="39"/>
        <v>7</v>
      </c>
      <c r="I58" s="305">
        <f t="shared" si="39"/>
        <v>8</v>
      </c>
      <c r="J58" s="305">
        <f t="shared" si="39"/>
        <v>9</v>
      </c>
      <c r="K58" s="305">
        <f t="shared" si="39"/>
        <v>10</v>
      </c>
      <c r="L58" s="305">
        <f t="shared" si="39"/>
        <v>11</v>
      </c>
      <c r="M58" s="305">
        <f t="shared" si="39"/>
        <v>12</v>
      </c>
      <c r="N58" s="305">
        <f t="shared" si="39"/>
        <v>13</v>
      </c>
      <c r="O58" s="305">
        <f t="shared" si="39"/>
        <v>14</v>
      </c>
      <c r="P58" s="305">
        <f t="shared" si="39"/>
        <v>15</v>
      </c>
      <c r="Q58" s="305">
        <f t="shared" si="39"/>
        <v>16</v>
      </c>
      <c r="R58" s="305">
        <f t="shared" si="39"/>
        <v>17</v>
      </c>
      <c r="S58" s="305">
        <f t="shared" si="39"/>
        <v>18</v>
      </c>
      <c r="T58" s="305">
        <f t="shared" si="39"/>
        <v>19</v>
      </c>
      <c r="U58" s="305">
        <f t="shared" si="39"/>
        <v>20</v>
      </c>
      <c r="V58" s="305">
        <f t="shared" si="39"/>
        <v>21</v>
      </c>
      <c r="W58" s="305">
        <f t="shared" si="39"/>
        <v>22</v>
      </c>
      <c r="X58" s="305">
        <f t="shared" si="39"/>
        <v>23</v>
      </c>
      <c r="Y58" s="305">
        <f t="shared" si="39"/>
        <v>24</v>
      </c>
      <c r="Z58" s="305">
        <f t="shared" si="39"/>
        <v>25</v>
      </c>
      <c r="AA58" s="305">
        <f t="shared" si="39"/>
        <v>26</v>
      </c>
      <c r="AB58" s="305">
        <f t="shared" si="39"/>
        <v>27</v>
      </c>
      <c r="AC58" s="305">
        <f t="shared" si="39"/>
        <v>28</v>
      </c>
      <c r="AD58" s="305">
        <f t="shared" si="39"/>
        <v>29</v>
      </c>
      <c r="AE58" s="305">
        <f t="shared" si="39"/>
        <v>30</v>
      </c>
      <c r="AF58" s="305">
        <f t="shared" si="39"/>
        <v>31</v>
      </c>
      <c r="AG58" s="305">
        <f t="shared" si="39"/>
        <v>32</v>
      </c>
      <c r="AH58" s="305">
        <f t="shared" si="39"/>
        <v>33</v>
      </c>
      <c r="AI58" s="305">
        <f t="shared" si="39"/>
        <v>34</v>
      </c>
      <c r="AJ58" s="305">
        <f t="shared" si="39"/>
        <v>35</v>
      </c>
      <c r="AK58" s="305">
        <f t="shared" si="39"/>
        <v>36</v>
      </c>
      <c r="AL58" s="305">
        <f t="shared" si="39"/>
        <v>37</v>
      </c>
      <c r="AM58" s="305">
        <f t="shared" si="39"/>
        <v>38</v>
      </c>
      <c r="AN58" s="305">
        <f t="shared" si="39"/>
        <v>39</v>
      </c>
      <c r="AO58" s="305">
        <f t="shared" si="39"/>
        <v>40</v>
      </c>
      <c r="AP58" s="305">
        <f t="shared" si="39"/>
        <v>41</v>
      </c>
    </row>
    <row r="59" spans="1:42" ht="14.25" x14ac:dyDescent="0.2">
      <c r="A59" s="255" t="s">
        <v>262</v>
      </c>
      <c r="B59" s="256">
        <f>B50*$B$28</f>
        <v>0</v>
      </c>
      <c r="C59" s="256">
        <f>C50*$B$28</f>
        <v>0</v>
      </c>
      <c r="D59" s="256">
        <f>D50*$B$28</f>
        <v>0</v>
      </c>
      <c r="E59" s="256">
        <f t="shared" ref="E59:AP59" si="40">E50*$B$28</f>
        <v>12234463.348690426</v>
      </c>
      <c r="F59" s="256">
        <f t="shared" si="40"/>
        <v>14944396.980425354</v>
      </c>
      <c r="G59" s="256">
        <f>G50*$B$28</f>
        <v>16987936.5218058</v>
      </c>
      <c r="H59" s="256">
        <f t="shared" si="40"/>
        <v>18722494.250874393</v>
      </c>
      <c r="I59" s="256">
        <f t="shared" si="40"/>
        <v>19602451.48066549</v>
      </c>
      <c r="J59" s="256">
        <f t="shared" si="40"/>
        <v>20523766.700256765</v>
      </c>
      <c r="K59" s="256">
        <f t="shared" si="40"/>
        <v>21488383.73516883</v>
      </c>
      <c r="L59" s="256">
        <f t="shared" si="40"/>
        <v>22498337.770721763</v>
      </c>
      <c r="M59" s="256">
        <f t="shared" si="40"/>
        <v>21488383.73516883</v>
      </c>
      <c r="N59" s="256">
        <f t="shared" si="40"/>
        <v>22498337.770721763</v>
      </c>
      <c r="O59" s="256">
        <f t="shared" si="40"/>
        <v>23555759.645945687</v>
      </c>
      <c r="P59" s="256">
        <f t="shared" si="40"/>
        <v>24662880.349305131</v>
      </c>
      <c r="Q59" s="256">
        <f t="shared" si="40"/>
        <v>25822035.725722469</v>
      </c>
      <c r="R59" s="256">
        <f t="shared" si="40"/>
        <v>27035671.404831428</v>
      </c>
      <c r="S59" s="256">
        <f t="shared" si="40"/>
        <v>28306347.960858501</v>
      </c>
      <c r="T59" s="256">
        <f t="shared" si="40"/>
        <v>29636746.315018848</v>
      </c>
      <c r="U59" s="256">
        <f t="shared" si="40"/>
        <v>31029673.391824737</v>
      </c>
      <c r="V59" s="256">
        <f t="shared" si="40"/>
        <v>32488068.041240498</v>
      </c>
      <c r="W59" s="256">
        <f t="shared" si="40"/>
        <v>34015007.239178799</v>
      </c>
      <c r="X59" s="256">
        <f t="shared" si="40"/>
        <v>35613712.579420201</v>
      </c>
      <c r="Y59" s="256">
        <f t="shared" si="40"/>
        <v>37287557.070652947</v>
      </c>
      <c r="Z59" s="256">
        <f t="shared" si="40"/>
        <v>39040072.252973631</v>
      </c>
      <c r="AA59" s="256">
        <f t="shared" si="40"/>
        <v>40874955.64886339</v>
      </c>
      <c r="AB59" s="256">
        <f t="shared" si="40"/>
        <v>42796078.564359963</v>
      </c>
      <c r="AC59" s="256">
        <f t="shared" si="40"/>
        <v>44807494.256884873</v>
      </c>
      <c r="AD59" s="256">
        <f t="shared" si="40"/>
        <v>46913446.486958466</v>
      </c>
      <c r="AE59" s="256">
        <f t="shared" si="40"/>
        <v>49118378.4718455</v>
      </c>
      <c r="AF59" s="256">
        <f t="shared" si="40"/>
        <v>51181350.367663018</v>
      </c>
      <c r="AG59" s="256">
        <f t="shared" si="40"/>
        <v>53330967.083104871</v>
      </c>
      <c r="AH59" s="256">
        <f t="shared" si="40"/>
        <v>55570867.700595275</v>
      </c>
      <c r="AI59" s="256">
        <f t="shared" si="40"/>
        <v>57904844.144020282</v>
      </c>
      <c r="AJ59" s="256">
        <f t="shared" si="40"/>
        <v>60336847.598069131</v>
      </c>
      <c r="AK59" s="256">
        <f t="shared" si="40"/>
        <v>62870995.197188035</v>
      </c>
      <c r="AL59" s="256">
        <f t="shared" si="40"/>
        <v>65511576.995469935</v>
      </c>
      <c r="AM59" s="256">
        <f t="shared" si="40"/>
        <v>68263063.229279682</v>
      </c>
      <c r="AN59" s="256">
        <f t="shared" si="40"/>
        <v>71130111.884909421</v>
      </c>
      <c r="AO59" s="256">
        <f t="shared" si="40"/>
        <v>74117576.58407563</v>
      </c>
      <c r="AP59" s="256">
        <f t="shared" si="40"/>
        <v>77230514.800606802</v>
      </c>
    </row>
    <row r="60" spans="1:42" x14ac:dyDescent="0.2">
      <c r="A60" s="306" t="s">
        <v>261</v>
      </c>
      <c r="B60" s="253">
        <f t="shared" ref="B60:AP60" si="41">SUM(B61:B65)</f>
        <v>0</v>
      </c>
      <c r="C60" s="253">
        <f t="shared" si="41"/>
        <v>0</v>
      </c>
      <c r="D60" s="253">
        <f>SUM(D61:D65)</f>
        <v>0</v>
      </c>
      <c r="E60" s="253">
        <f t="shared" si="41"/>
        <v>0</v>
      </c>
      <c r="F60" s="253">
        <f t="shared" si="41"/>
        <v>0</v>
      </c>
      <c r="G60" s="253">
        <f t="shared" si="41"/>
        <v>0</v>
      </c>
      <c r="H60" s="253">
        <f>SUM(H61:H65)</f>
        <v>0</v>
      </c>
      <c r="I60" s="253">
        <f t="shared" si="41"/>
        <v>0</v>
      </c>
      <c r="J60" s="253">
        <f t="shared" si="41"/>
        <v>0</v>
      </c>
      <c r="K60" s="253">
        <f t="shared" si="41"/>
        <v>0</v>
      </c>
      <c r="L60" s="253">
        <f t="shared" si="41"/>
        <v>0</v>
      </c>
      <c r="M60" s="253">
        <f t="shared" si="41"/>
        <v>0</v>
      </c>
      <c r="N60" s="253">
        <f t="shared" si="41"/>
        <v>0</v>
      </c>
      <c r="O60" s="253">
        <f t="shared" si="41"/>
        <v>0</v>
      </c>
      <c r="P60" s="253">
        <f t="shared" si="41"/>
        <v>0</v>
      </c>
      <c r="Q60" s="253">
        <f t="shared" si="41"/>
        <v>0</v>
      </c>
      <c r="R60" s="253">
        <f t="shared" si="41"/>
        <v>0</v>
      </c>
      <c r="S60" s="253">
        <f t="shared" si="41"/>
        <v>0</v>
      </c>
      <c r="T60" s="253">
        <f t="shared" si="41"/>
        <v>0</v>
      </c>
      <c r="U60" s="253">
        <f t="shared" si="41"/>
        <v>0</v>
      </c>
      <c r="V60" s="253">
        <f t="shared" si="41"/>
        <v>0</v>
      </c>
      <c r="W60" s="253">
        <f t="shared" si="41"/>
        <v>0</v>
      </c>
      <c r="X60" s="253">
        <f t="shared" si="41"/>
        <v>0</v>
      </c>
      <c r="Y60" s="253">
        <f t="shared" si="41"/>
        <v>0</v>
      </c>
      <c r="Z60" s="253">
        <f t="shared" si="41"/>
        <v>0</v>
      </c>
      <c r="AA60" s="253">
        <f t="shared" si="41"/>
        <v>0</v>
      </c>
      <c r="AB60" s="253">
        <f t="shared" si="41"/>
        <v>0</v>
      </c>
      <c r="AC60" s="253">
        <f t="shared" si="41"/>
        <v>0</v>
      </c>
      <c r="AD60" s="253">
        <f t="shared" si="41"/>
        <v>0</v>
      </c>
      <c r="AE60" s="253">
        <f t="shared" si="41"/>
        <v>0</v>
      </c>
      <c r="AF60" s="253">
        <f t="shared" si="41"/>
        <v>0</v>
      </c>
      <c r="AG60" s="253">
        <f t="shared" si="41"/>
        <v>0</v>
      </c>
      <c r="AH60" s="253">
        <f t="shared" si="41"/>
        <v>0</v>
      </c>
      <c r="AI60" s="253">
        <f t="shared" si="41"/>
        <v>0</v>
      </c>
      <c r="AJ60" s="253">
        <f t="shared" si="41"/>
        <v>0</v>
      </c>
      <c r="AK60" s="253">
        <f t="shared" si="41"/>
        <v>0</v>
      </c>
      <c r="AL60" s="253">
        <f t="shared" si="41"/>
        <v>0</v>
      </c>
      <c r="AM60" s="253">
        <f t="shared" si="41"/>
        <v>0</v>
      </c>
      <c r="AN60" s="253">
        <f t="shared" si="41"/>
        <v>0</v>
      </c>
      <c r="AO60" s="253">
        <f t="shared" si="41"/>
        <v>0</v>
      </c>
      <c r="AP60" s="253">
        <f t="shared" si="41"/>
        <v>0</v>
      </c>
    </row>
    <row r="61" spans="1:42" x14ac:dyDescent="0.2">
      <c r="A61" s="312" t="s">
        <v>260</v>
      </c>
      <c r="B61" s="253"/>
      <c r="C61" s="253">
        <f>-IF(C$47&lt;=$B$30,0,$B$29*(1+C$49)*$B$28)</f>
        <v>0</v>
      </c>
      <c r="D61" s="253">
        <f>-IF(D$47&lt;=$B$30,0,$B$29*(1+D$49)*$B$28)</f>
        <v>0</v>
      </c>
      <c r="E61" s="253">
        <f>-IF(E$47&lt;=$B$30,0,$B$29*(1+E$49)*$B$28)</f>
        <v>0</v>
      </c>
      <c r="F61" s="253">
        <f t="shared" ref="F61:AJ61" si="42">-IF(F$47&lt;=$B$30,0,$B$29*(1+F$49)*$B$28)</f>
        <v>0</v>
      </c>
      <c r="G61" s="253">
        <f t="shared" si="42"/>
        <v>0</v>
      </c>
      <c r="H61" s="253">
        <f>-IF(H$47&lt;=$B$30,0,$B$29*(1+H$49)*$B$28)</f>
        <v>0</v>
      </c>
      <c r="I61" s="253">
        <f t="shared" ref="I61:N61" si="43">-IF(I$47&lt;=$B$30,0,$B$29*(1+I$49)*$B$28)*0</f>
        <v>0</v>
      </c>
      <c r="J61" s="253">
        <f t="shared" si="43"/>
        <v>0</v>
      </c>
      <c r="K61" s="253">
        <f t="shared" si="43"/>
        <v>0</v>
      </c>
      <c r="L61" s="253">
        <f t="shared" si="43"/>
        <v>0</v>
      </c>
      <c r="M61" s="253">
        <f t="shared" si="43"/>
        <v>0</v>
      </c>
      <c r="N61" s="253">
        <f t="shared" si="43"/>
        <v>0</v>
      </c>
      <c r="O61" s="253">
        <f>-IF(O$47&lt;=$B$30,0,$B$29*(1+O$49)*$B$28)</f>
        <v>0</v>
      </c>
      <c r="P61" s="253">
        <f t="shared" ref="P61:U61" si="44">-IF(P$47&lt;=$B$30,0,$B$29*(1+P$49)*$B$28)*0</f>
        <v>0</v>
      </c>
      <c r="Q61" s="253">
        <f t="shared" si="44"/>
        <v>0</v>
      </c>
      <c r="R61" s="253">
        <f t="shared" si="44"/>
        <v>0</v>
      </c>
      <c r="S61" s="253">
        <f t="shared" si="44"/>
        <v>0</v>
      </c>
      <c r="T61" s="253">
        <f t="shared" si="44"/>
        <v>0</v>
      </c>
      <c r="U61" s="253">
        <f t="shared" si="44"/>
        <v>0</v>
      </c>
      <c r="V61" s="253">
        <f>-IF(V$47&lt;=$B$30,0,$B$29*(1+V$49)*$B$28)</f>
        <v>0</v>
      </c>
      <c r="W61" s="253">
        <f t="shared" ref="W61:AB61" si="45">-IF(W$47&lt;=$B$30,0,$B$29*(1+W$49)*$B$28)*0</f>
        <v>0</v>
      </c>
      <c r="X61" s="253">
        <f t="shared" si="45"/>
        <v>0</v>
      </c>
      <c r="Y61" s="253">
        <f t="shared" si="45"/>
        <v>0</v>
      </c>
      <c r="Z61" s="253">
        <f t="shared" si="45"/>
        <v>0</v>
      </c>
      <c r="AA61" s="253">
        <f t="shared" si="45"/>
        <v>0</v>
      </c>
      <c r="AB61" s="253">
        <f t="shared" si="45"/>
        <v>0</v>
      </c>
      <c r="AC61" s="253">
        <f t="shared" si="42"/>
        <v>0</v>
      </c>
      <c r="AD61" s="253">
        <f t="shared" ref="AD61:AI61" si="46">-IF(AD$47&lt;=$B$30,0,$B$29*(1+AD$49)*$B$28)*0</f>
        <v>0</v>
      </c>
      <c r="AE61" s="253">
        <f t="shared" si="46"/>
        <v>0</v>
      </c>
      <c r="AF61" s="253">
        <f t="shared" si="46"/>
        <v>0</v>
      </c>
      <c r="AG61" s="253">
        <f t="shared" si="46"/>
        <v>0</v>
      </c>
      <c r="AH61" s="253">
        <f t="shared" si="46"/>
        <v>0</v>
      </c>
      <c r="AI61" s="253">
        <f t="shared" si="46"/>
        <v>0</v>
      </c>
      <c r="AJ61" s="253">
        <f t="shared" si="42"/>
        <v>0</v>
      </c>
      <c r="AK61" s="253">
        <f t="shared" ref="AK61:AP61" si="47">-IF(AK$47&lt;=$B$30,0,$B$29*(1+AK$49)*$B$28)*0</f>
        <v>0</v>
      </c>
      <c r="AL61" s="253">
        <f t="shared" si="47"/>
        <v>0</v>
      </c>
      <c r="AM61" s="253">
        <f t="shared" si="47"/>
        <v>0</v>
      </c>
      <c r="AN61" s="253">
        <f t="shared" si="47"/>
        <v>0</v>
      </c>
      <c r="AO61" s="253">
        <f t="shared" si="47"/>
        <v>0</v>
      </c>
      <c r="AP61" s="253">
        <f t="shared" si="47"/>
        <v>0</v>
      </c>
    </row>
    <row r="62" spans="1:42" x14ac:dyDescent="0.2">
      <c r="A62" s="312" t="str">
        <f>A32</f>
        <v>Прочие расходы при эксплуатации объекта, руб. без НДС</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53"/>
      <c r="AL62" s="253"/>
      <c r="AM62" s="253"/>
      <c r="AN62" s="253"/>
      <c r="AO62" s="253"/>
      <c r="AP62" s="253"/>
    </row>
    <row r="63" spans="1:42" x14ac:dyDescent="0.2">
      <c r="A63" s="312" t="s">
        <v>430</v>
      </c>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53"/>
      <c r="AL63" s="253"/>
      <c r="AM63" s="253"/>
      <c r="AN63" s="253"/>
      <c r="AO63" s="253"/>
      <c r="AP63" s="253"/>
    </row>
    <row r="64" spans="1:42" x14ac:dyDescent="0.2">
      <c r="A64" s="312" t="s">
        <v>430</v>
      </c>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53"/>
      <c r="AL64" s="253"/>
      <c r="AM64" s="253"/>
      <c r="AN64" s="253"/>
      <c r="AO64" s="253"/>
      <c r="AP64" s="253"/>
    </row>
    <row r="65" spans="1:45" ht="31.5" x14ac:dyDescent="0.2">
      <c r="A65" s="312" t="s">
        <v>586</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53"/>
      <c r="AL65" s="253"/>
      <c r="AM65" s="253"/>
      <c r="AN65" s="253"/>
      <c r="AO65" s="253"/>
      <c r="AP65" s="253"/>
    </row>
    <row r="66" spans="1:45" ht="28.5" x14ac:dyDescent="0.2">
      <c r="A66" s="257" t="s">
        <v>587</v>
      </c>
      <c r="B66" s="256">
        <f>B59+B60</f>
        <v>0</v>
      </c>
      <c r="C66" s="256">
        <f t="shared" ref="C66:AO66" si="48">C59+C60</f>
        <v>0</v>
      </c>
      <c r="D66" s="256">
        <f t="shared" si="48"/>
        <v>0</v>
      </c>
      <c r="E66" s="256">
        <f t="shared" si="48"/>
        <v>12234463.348690426</v>
      </c>
      <c r="F66" s="256">
        <f t="shared" si="48"/>
        <v>14944396.980425354</v>
      </c>
      <c r="G66" s="256">
        <f t="shared" si="48"/>
        <v>16987936.5218058</v>
      </c>
      <c r="H66" s="256">
        <f t="shared" si="48"/>
        <v>18722494.250874393</v>
      </c>
      <c r="I66" s="256">
        <f t="shared" si="48"/>
        <v>19602451.48066549</v>
      </c>
      <c r="J66" s="256">
        <f t="shared" si="48"/>
        <v>20523766.700256765</v>
      </c>
      <c r="K66" s="256">
        <f t="shared" si="48"/>
        <v>21488383.73516883</v>
      </c>
      <c r="L66" s="256">
        <f t="shared" si="48"/>
        <v>22498337.770721763</v>
      </c>
      <c r="M66" s="256">
        <f t="shared" si="48"/>
        <v>21488383.73516883</v>
      </c>
      <c r="N66" s="256">
        <f t="shared" si="48"/>
        <v>22498337.770721763</v>
      </c>
      <c r="O66" s="256">
        <f t="shared" si="48"/>
        <v>23555759.645945687</v>
      </c>
      <c r="P66" s="256">
        <f t="shared" si="48"/>
        <v>24662880.349305131</v>
      </c>
      <c r="Q66" s="256">
        <f t="shared" si="48"/>
        <v>25822035.725722469</v>
      </c>
      <c r="R66" s="256">
        <f t="shared" si="48"/>
        <v>27035671.404831428</v>
      </c>
      <c r="S66" s="256">
        <f t="shared" si="48"/>
        <v>28306347.960858501</v>
      </c>
      <c r="T66" s="256">
        <f t="shared" si="48"/>
        <v>29636746.315018848</v>
      </c>
      <c r="U66" s="256">
        <f t="shared" si="48"/>
        <v>31029673.391824737</v>
      </c>
      <c r="V66" s="256">
        <f t="shared" si="48"/>
        <v>32488068.041240498</v>
      </c>
      <c r="W66" s="256">
        <f t="shared" si="48"/>
        <v>34015007.239178799</v>
      </c>
      <c r="X66" s="256">
        <f t="shared" si="48"/>
        <v>35613712.579420201</v>
      </c>
      <c r="Y66" s="256">
        <f t="shared" si="48"/>
        <v>37287557.070652947</v>
      </c>
      <c r="Z66" s="256">
        <f t="shared" si="48"/>
        <v>39040072.252973631</v>
      </c>
      <c r="AA66" s="256">
        <f t="shared" si="48"/>
        <v>40874955.64886339</v>
      </c>
      <c r="AB66" s="256">
        <f t="shared" si="48"/>
        <v>42796078.564359963</v>
      </c>
      <c r="AC66" s="256">
        <f t="shared" si="48"/>
        <v>44807494.256884873</v>
      </c>
      <c r="AD66" s="256">
        <f t="shared" si="48"/>
        <v>46913446.486958466</v>
      </c>
      <c r="AE66" s="256">
        <f t="shared" si="48"/>
        <v>49118378.4718455</v>
      </c>
      <c r="AF66" s="256">
        <f t="shared" si="48"/>
        <v>51181350.367663018</v>
      </c>
      <c r="AG66" s="256">
        <f t="shared" si="48"/>
        <v>53330967.083104871</v>
      </c>
      <c r="AH66" s="256">
        <f t="shared" si="48"/>
        <v>55570867.700595275</v>
      </c>
      <c r="AI66" s="256">
        <f t="shared" si="48"/>
        <v>57904844.144020282</v>
      </c>
      <c r="AJ66" s="256">
        <f t="shared" si="48"/>
        <v>60336847.598069131</v>
      </c>
      <c r="AK66" s="256">
        <f t="shared" si="48"/>
        <v>62870995.197188035</v>
      </c>
      <c r="AL66" s="256">
        <f t="shared" si="48"/>
        <v>65511576.995469935</v>
      </c>
      <c r="AM66" s="256">
        <f t="shared" si="48"/>
        <v>68263063.229279682</v>
      </c>
      <c r="AN66" s="256">
        <f t="shared" si="48"/>
        <v>71130111.884909421</v>
      </c>
      <c r="AO66" s="256">
        <f t="shared" si="48"/>
        <v>74117576.58407563</v>
      </c>
      <c r="AP66" s="256">
        <f>AP59+AP60</f>
        <v>77230514.800606802</v>
      </c>
    </row>
    <row r="67" spans="1:45" x14ac:dyDescent="0.2">
      <c r="A67" s="312" t="s">
        <v>255</v>
      </c>
      <c r="C67" s="253">
        <v>0</v>
      </c>
      <c r="D67" s="253">
        <f>-($B$25)*$B$28/$B$27</f>
        <v>-6185727.5355313327</v>
      </c>
      <c r="E67" s="253">
        <f t="shared" ref="E67:AP67" si="49">D67</f>
        <v>-6185727.5355313327</v>
      </c>
      <c r="F67" s="253">
        <f t="shared" si="49"/>
        <v>-6185727.5355313327</v>
      </c>
      <c r="G67" s="253">
        <f t="shared" si="49"/>
        <v>-6185727.5355313327</v>
      </c>
      <c r="H67" s="253">
        <f t="shared" si="49"/>
        <v>-6185727.5355313327</v>
      </c>
      <c r="I67" s="253">
        <f t="shared" si="49"/>
        <v>-6185727.5355313327</v>
      </c>
      <c r="J67" s="253">
        <f t="shared" si="49"/>
        <v>-6185727.5355313327</v>
      </c>
      <c r="K67" s="253">
        <f t="shared" si="49"/>
        <v>-6185727.5355313327</v>
      </c>
      <c r="L67" s="253">
        <f t="shared" si="49"/>
        <v>-6185727.5355313327</v>
      </c>
      <c r="M67" s="253">
        <f t="shared" si="49"/>
        <v>-6185727.5355313327</v>
      </c>
      <c r="N67" s="253">
        <f t="shared" si="49"/>
        <v>-6185727.5355313327</v>
      </c>
      <c r="O67" s="253">
        <f t="shared" si="49"/>
        <v>-6185727.5355313327</v>
      </c>
      <c r="P67" s="253">
        <f t="shared" si="49"/>
        <v>-6185727.5355313327</v>
      </c>
      <c r="Q67" s="253">
        <f t="shared" si="49"/>
        <v>-6185727.5355313327</v>
      </c>
      <c r="R67" s="253">
        <f t="shared" si="49"/>
        <v>-6185727.5355313327</v>
      </c>
      <c r="S67" s="253">
        <f t="shared" si="49"/>
        <v>-6185727.5355313327</v>
      </c>
      <c r="T67" s="253">
        <f t="shared" si="49"/>
        <v>-6185727.5355313327</v>
      </c>
      <c r="U67" s="253">
        <f t="shared" si="49"/>
        <v>-6185727.5355313327</v>
      </c>
      <c r="V67" s="253">
        <f t="shared" si="49"/>
        <v>-6185727.5355313327</v>
      </c>
      <c r="W67" s="253">
        <f t="shared" si="49"/>
        <v>-6185727.5355313327</v>
      </c>
      <c r="X67" s="253">
        <f t="shared" si="49"/>
        <v>-6185727.5355313327</v>
      </c>
      <c r="Y67" s="253">
        <f t="shared" si="49"/>
        <v>-6185727.5355313327</v>
      </c>
      <c r="Z67" s="253">
        <f t="shared" si="49"/>
        <v>-6185727.5355313327</v>
      </c>
      <c r="AA67" s="253">
        <f t="shared" si="49"/>
        <v>-6185727.5355313327</v>
      </c>
      <c r="AB67" s="253">
        <f t="shared" si="49"/>
        <v>-6185727.5355313327</v>
      </c>
      <c r="AC67" s="253">
        <f t="shared" si="49"/>
        <v>-6185727.5355313327</v>
      </c>
      <c r="AD67" s="253">
        <f t="shared" si="49"/>
        <v>-6185727.5355313327</v>
      </c>
      <c r="AE67" s="253">
        <f t="shared" si="49"/>
        <v>-6185727.5355313327</v>
      </c>
      <c r="AF67" s="253">
        <f t="shared" si="49"/>
        <v>-6185727.5355313327</v>
      </c>
      <c r="AG67" s="253">
        <f t="shared" si="49"/>
        <v>-6185727.5355313327</v>
      </c>
      <c r="AH67" s="253">
        <f t="shared" si="49"/>
        <v>-6185727.5355313327</v>
      </c>
      <c r="AI67" s="253">
        <f t="shared" si="49"/>
        <v>-6185727.5355313327</v>
      </c>
      <c r="AJ67" s="253">
        <f t="shared" si="49"/>
        <v>-6185727.5355313327</v>
      </c>
      <c r="AK67" s="253">
        <f t="shared" si="49"/>
        <v>-6185727.5355313327</v>
      </c>
      <c r="AL67" s="253">
        <f t="shared" si="49"/>
        <v>-6185727.5355313327</v>
      </c>
      <c r="AM67" s="253">
        <f t="shared" si="49"/>
        <v>-6185727.5355313327</v>
      </c>
      <c r="AN67" s="253">
        <f t="shared" si="49"/>
        <v>-6185727.5355313327</v>
      </c>
      <c r="AO67" s="253">
        <f t="shared" si="49"/>
        <v>-6185727.5355313327</v>
      </c>
      <c r="AP67" s="253">
        <f t="shared" si="49"/>
        <v>-6185727.5355313327</v>
      </c>
      <c r="AQ67" s="313">
        <f>SUM(B67:AA67)/1.18</f>
        <v>-125811407.50233218</v>
      </c>
      <c r="AR67" s="314">
        <f>SUM(B67:AF67)/1.18</f>
        <v>-152022117.39865142</v>
      </c>
      <c r="AS67" s="314">
        <f>SUM(B67:AP67)/1.18</f>
        <v>-204443537.19128993</v>
      </c>
    </row>
    <row r="68" spans="1:45" ht="28.5" x14ac:dyDescent="0.2">
      <c r="A68" s="257" t="s">
        <v>588</v>
      </c>
      <c r="B68" s="256">
        <f>B66+B67</f>
        <v>0</v>
      </c>
      <c r="C68" s="256">
        <f>C66+C67</f>
        <v>0</v>
      </c>
      <c r="D68" s="256">
        <f>D66+D67</f>
        <v>-6185727.5355313327</v>
      </c>
      <c r="E68" s="256">
        <f t="shared" ref="E68:J68" si="50">E66+E67</f>
        <v>6048735.8131590933</v>
      </c>
      <c r="F68" s="256">
        <f>F66+C67</f>
        <v>14944396.980425354</v>
      </c>
      <c r="G68" s="256">
        <f t="shared" si="50"/>
        <v>10802208.986274468</v>
      </c>
      <c r="H68" s="256">
        <f t="shared" si="50"/>
        <v>12536766.71534306</v>
      </c>
      <c r="I68" s="256">
        <f t="shared" si="50"/>
        <v>13416723.945134157</v>
      </c>
      <c r="J68" s="256">
        <f t="shared" si="50"/>
        <v>14338039.164725432</v>
      </c>
      <c r="K68" s="256">
        <f>K66+K67</f>
        <v>15302656.199637497</v>
      </c>
      <c r="L68" s="256">
        <f>L66+L67</f>
        <v>16312610.235190431</v>
      </c>
      <c r="M68" s="256">
        <f t="shared" ref="M68:AO68" si="51">M66+M67</f>
        <v>15302656.199637497</v>
      </c>
      <c r="N68" s="256">
        <f t="shared" si="51"/>
        <v>16312610.235190431</v>
      </c>
      <c r="O68" s="256">
        <f t="shared" si="51"/>
        <v>17370032.110414356</v>
      </c>
      <c r="P68" s="256">
        <f t="shared" si="51"/>
        <v>18477152.813773796</v>
      </c>
      <c r="Q68" s="256">
        <f t="shared" si="51"/>
        <v>19636308.190191135</v>
      </c>
      <c r="R68" s="256">
        <f t="shared" si="51"/>
        <v>20849943.869300097</v>
      </c>
      <c r="S68" s="256">
        <f t="shared" si="51"/>
        <v>22120620.425327167</v>
      </c>
      <c r="T68" s="256">
        <f t="shared" si="51"/>
        <v>23451018.779487513</v>
      </c>
      <c r="U68" s="256">
        <f t="shared" si="51"/>
        <v>24843945.856293403</v>
      </c>
      <c r="V68" s="256">
        <f t="shared" si="51"/>
        <v>26302340.505709164</v>
      </c>
      <c r="W68" s="256">
        <f t="shared" si="51"/>
        <v>27829279.703647465</v>
      </c>
      <c r="X68" s="256">
        <f t="shared" si="51"/>
        <v>29427985.043888867</v>
      </c>
      <c r="Y68" s="256">
        <f t="shared" si="51"/>
        <v>31101829.535121612</v>
      </c>
      <c r="Z68" s="256">
        <f t="shared" si="51"/>
        <v>32854344.717442296</v>
      </c>
      <c r="AA68" s="256">
        <f t="shared" si="51"/>
        <v>34689228.113332056</v>
      </c>
      <c r="AB68" s="256">
        <f t="shared" si="51"/>
        <v>36610351.028828628</v>
      </c>
      <c r="AC68" s="256">
        <f t="shared" si="51"/>
        <v>38621766.721353538</v>
      </c>
      <c r="AD68" s="256">
        <f t="shared" si="51"/>
        <v>40727718.951427132</v>
      </c>
      <c r="AE68" s="256">
        <f t="shared" si="51"/>
        <v>42932650.936314166</v>
      </c>
      <c r="AF68" s="256">
        <f t="shared" si="51"/>
        <v>44995622.832131684</v>
      </c>
      <c r="AG68" s="256">
        <f t="shared" si="51"/>
        <v>47145239.547573537</v>
      </c>
      <c r="AH68" s="256">
        <f t="shared" si="51"/>
        <v>49385140.16506394</v>
      </c>
      <c r="AI68" s="256">
        <f t="shared" si="51"/>
        <v>51719116.608488947</v>
      </c>
      <c r="AJ68" s="256">
        <f t="shared" si="51"/>
        <v>54151120.062537797</v>
      </c>
      <c r="AK68" s="256">
        <f t="shared" si="51"/>
        <v>56685267.6616567</v>
      </c>
      <c r="AL68" s="256">
        <f t="shared" si="51"/>
        <v>59325849.459938601</v>
      </c>
      <c r="AM68" s="256">
        <f t="shared" si="51"/>
        <v>62077335.693748347</v>
      </c>
      <c r="AN68" s="256">
        <f t="shared" si="51"/>
        <v>64944384.349378087</v>
      </c>
      <c r="AO68" s="256">
        <f t="shared" si="51"/>
        <v>67931849.048544303</v>
      </c>
      <c r="AP68" s="256">
        <f>AP66+AP67</f>
        <v>71044787.265075475</v>
      </c>
      <c r="AQ68" s="272">
        <v>25</v>
      </c>
      <c r="AR68" s="272">
        <v>30</v>
      </c>
      <c r="AS68" s="272">
        <v>40</v>
      </c>
    </row>
    <row r="69" spans="1:45" x14ac:dyDescent="0.2">
      <c r="A69" s="312" t="s">
        <v>254</v>
      </c>
      <c r="B69" s="253">
        <f t="shared" ref="B69:AO69" si="52">-B56</f>
        <v>0</v>
      </c>
      <c r="C69" s="253">
        <f t="shared" si="52"/>
        <v>0</v>
      </c>
      <c r="D69" s="253">
        <f t="shared" si="52"/>
        <v>0</v>
      </c>
      <c r="E69" s="253">
        <f t="shared" si="52"/>
        <v>0</v>
      </c>
      <c r="F69" s="253">
        <f t="shared" si="52"/>
        <v>0</v>
      </c>
      <c r="G69" s="253">
        <f t="shared" si="52"/>
        <v>0</v>
      </c>
      <c r="H69" s="253">
        <f t="shared" si="52"/>
        <v>0</v>
      </c>
      <c r="I69" s="253">
        <f t="shared" si="52"/>
        <v>0</v>
      </c>
      <c r="J69" s="253">
        <f t="shared" si="52"/>
        <v>0</v>
      </c>
      <c r="K69" s="253">
        <f t="shared" si="52"/>
        <v>0</v>
      </c>
      <c r="L69" s="253">
        <f t="shared" si="52"/>
        <v>0</v>
      </c>
      <c r="M69" s="253">
        <f t="shared" si="52"/>
        <v>0</v>
      </c>
      <c r="N69" s="253">
        <f t="shared" si="52"/>
        <v>0</v>
      </c>
      <c r="O69" s="253">
        <f t="shared" si="52"/>
        <v>0</v>
      </c>
      <c r="P69" s="253">
        <f t="shared" si="52"/>
        <v>0</v>
      </c>
      <c r="Q69" s="253">
        <f t="shared" si="52"/>
        <v>0</v>
      </c>
      <c r="R69" s="253">
        <f t="shared" si="52"/>
        <v>0</v>
      </c>
      <c r="S69" s="253">
        <f t="shared" si="52"/>
        <v>0</v>
      </c>
      <c r="T69" s="253">
        <f t="shared" si="52"/>
        <v>0</v>
      </c>
      <c r="U69" s="253">
        <f t="shared" si="52"/>
        <v>0</v>
      </c>
      <c r="V69" s="253">
        <f t="shared" si="52"/>
        <v>0</v>
      </c>
      <c r="W69" s="253">
        <f t="shared" si="52"/>
        <v>0</v>
      </c>
      <c r="X69" s="253">
        <f t="shared" si="52"/>
        <v>0</v>
      </c>
      <c r="Y69" s="253">
        <f t="shared" si="52"/>
        <v>0</v>
      </c>
      <c r="Z69" s="253">
        <f t="shared" si="52"/>
        <v>0</v>
      </c>
      <c r="AA69" s="253">
        <f t="shared" si="52"/>
        <v>0</v>
      </c>
      <c r="AB69" s="253">
        <f t="shared" si="52"/>
        <v>0</v>
      </c>
      <c r="AC69" s="253">
        <f t="shared" si="52"/>
        <v>0</v>
      </c>
      <c r="AD69" s="253">
        <f t="shared" si="52"/>
        <v>0</v>
      </c>
      <c r="AE69" s="253">
        <f t="shared" si="52"/>
        <v>0</v>
      </c>
      <c r="AF69" s="253">
        <f t="shared" si="52"/>
        <v>0</v>
      </c>
      <c r="AG69" s="253">
        <f t="shared" si="52"/>
        <v>0</v>
      </c>
      <c r="AH69" s="253">
        <f t="shared" si="52"/>
        <v>0</v>
      </c>
      <c r="AI69" s="253">
        <f t="shared" si="52"/>
        <v>0</v>
      </c>
      <c r="AJ69" s="253">
        <f t="shared" si="52"/>
        <v>0</v>
      </c>
      <c r="AK69" s="253">
        <f t="shared" si="52"/>
        <v>0</v>
      </c>
      <c r="AL69" s="253">
        <f t="shared" si="52"/>
        <v>0</v>
      </c>
      <c r="AM69" s="253">
        <f t="shared" si="52"/>
        <v>0</v>
      </c>
      <c r="AN69" s="253">
        <f t="shared" si="52"/>
        <v>0</v>
      </c>
      <c r="AO69" s="253">
        <f t="shared" si="52"/>
        <v>0</v>
      </c>
      <c r="AP69" s="253">
        <f>-AP56</f>
        <v>0</v>
      </c>
    </row>
    <row r="70" spans="1:45" ht="14.25" x14ac:dyDescent="0.2">
      <c r="A70" s="257" t="s">
        <v>258</v>
      </c>
      <c r="B70" s="256">
        <f t="shared" ref="B70:AO70" si="53">B68+B69</f>
        <v>0</v>
      </c>
      <c r="C70" s="256">
        <f t="shared" si="53"/>
        <v>0</v>
      </c>
      <c r="D70" s="256">
        <f t="shared" si="53"/>
        <v>-6185727.5355313327</v>
      </c>
      <c r="E70" s="256">
        <f t="shared" si="53"/>
        <v>6048735.8131590933</v>
      </c>
      <c r="F70" s="256">
        <f t="shared" si="53"/>
        <v>14944396.980425354</v>
      </c>
      <c r="G70" s="256">
        <f t="shared" si="53"/>
        <v>10802208.986274468</v>
      </c>
      <c r="H70" s="256">
        <f t="shared" si="53"/>
        <v>12536766.71534306</v>
      </c>
      <c r="I70" s="256">
        <f t="shared" si="53"/>
        <v>13416723.945134157</v>
      </c>
      <c r="J70" s="256">
        <f t="shared" si="53"/>
        <v>14338039.164725432</v>
      </c>
      <c r="K70" s="256">
        <f t="shared" si="53"/>
        <v>15302656.199637497</v>
      </c>
      <c r="L70" s="256">
        <f t="shared" si="53"/>
        <v>16312610.235190431</v>
      </c>
      <c r="M70" s="256">
        <f t="shared" si="53"/>
        <v>15302656.199637497</v>
      </c>
      <c r="N70" s="256">
        <f t="shared" si="53"/>
        <v>16312610.235190431</v>
      </c>
      <c r="O70" s="256">
        <f t="shared" si="53"/>
        <v>17370032.110414356</v>
      </c>
      <c r="P70" s="256">
        <f t="shared" si="53"/>
        <v>18477152.813773796</v>
      </c>
      <c r="Q70" s="256">
        <f t="shared" si="53"/>
        <v>19636308.190191135</v>
      </c>
      <c r="R70" s="256">
        <f t="shared" si="53"/>
        <v>20849943.869300097</v>
      </c>
      <c r="S70" s="256">
        <f t="shared" si="53"/>
        <v>22120620.425327167</v>
      </c>
      <c r="T70" s="256">
        <f t="shared" si="53"/>
        <v>23451018.779487513</v>
      </c>
      <c r="U70" s="256">
        <f t="shared" si="53"/>
        <v>24843945.856293403</v>
      </c>
      <c r="V70" s="256">
        <f t="shared" si="53"/>
        <v>26302340.505709164</v>
      </c>
      <c r="W70" s="256">
        <f t="shared" si="53"/>
        <v>27829279.703647465</v>
      </c>
      <c r="X70" s="256">
        <f t="shared" si="53"/>
        <v>29427985.043888867</v>
      </c>
      <c r="Y70" s="256">
        <f t="shared" si="53"/>
        <v>31101829.535121612</v>
      </c>
      <c r="Z70" s="256">
        <f t="shared" si="53"/>
        <v>32854344.717442296</v>
      </c>
      <c r="AA70" s="256">
        <f t="shared" si="53"/>
        <v>34689228.113332056</v>
      </c>
      <c r="AB70" s="256">
        <f t="shared" si="53"/>
        <v>36610351.028828628</v>
      </c>
      <c r="AC70" s="256">
        <f t="shared" si="53"/>
        <v>38621766.721353538</v>
      </c>
      <c r="AD70" s="256">
        <f t="shared" si="53"/>
        <v>40727718.951427132</v>
      </c>
      <c r="AE70" s="256">
        <f t="shared" si="53"/>
        <v>42932650.936314166</v>
      </c>
      <c r="AF70" s="256">
        <f t="shared" si="53"/>
        <v>44995622.832131684</v>
      </c>
      <c r="AG70" s="256">
        <f t="shared" si="53"/>
        <v>47145239.547573537</v>
      </c>
      <c r="AH70" s="256">
        <f t="shared" si="53"/>
        <v>49385140.16506394</v>
      </c>
      <c r="AI70" s="256">
        <f t="shared" si="53"/>
        <v>51719116.608488947</v>
      </c>
      <c r="AJ70" s="256">
        <f t="shared" si="53"/>
        <v>54151120.062537797</v>
      </c>
      <c r="AK70" s="256">
        <f t="shared" si="53"/>
        <v>56685267.6616567</v>
      </c>
      <c r="AL70" s="256">
        <f t="shared" si="53"/>
        <v>59325849.459938601</v>
      </c>
      <c r="AM70" s="256">
        <f t="shared" si="53"/>
        <v>62077335.693748347</v>
      </c>
      <c r="AN70" s="256">
        <f t="shared" si="53"/>
        <v>64944384.349378087</v>
      </c>
      <c r="AO70" s="256">
        <f t="shared" si="53"/>
        <v>67931849.048544303</v>
      </c>
      <c r="AP70" s="256">
        <f>AP68+AP69</f>
        <v>71044787.265075475</v>
      </c>
    </row>
    <row r="71" spans="1:45" x14ac:dyDescent="0.2">
      <c r="A71" s="312" t="s">
        <v>253</v>
      </c>
      <c r="B71" s="253">
        <f>-B70*$B$36*0</f>
        <v>0</v>
      </c>
      <c r="C71" s="253">
        <f>-C70*$B$36*0</f>
        <v>0</v>
      </c>
      <c r="D71" s="253">
        <f t="shared" ref="D71:AP71" si="54">-D70*$B$36</f>
        <v>1237145.5071062667</v>
      </c>
      <c r="E71" s="253">
        <f t="shared" si="54"/>
        <v>-1209747.1626318188</v>
      </c>
      <c r="F71" s="253">
        <f t="shared" si="54"/>
        <v>-2988879.3960850709</v>
      </c>
      <c r="G71" s="253">
        <f t="shared" si="54"/>
        <v>-2160441.7972548935</v>
      </c>
      <c r="H71" s="253">
        <f t="shared" si="54"/>
        <v>-2507353.3430686123</v>
      </c>
      <c r="I71" s="253">
        <f t="shared" si="54"/>
        <v>-2683344.7890268317</v>
      </c>
      <c r="J71" s="253">
        <f t="shared" si="54"/>
        <v>-2867607.8329450865</v>
      </c>
      <c r="K71" s="253">
        <f t="shared" si="54"/>
        <v>-3060531.2399274996</v>
      </c>
      <c r="L71" s="253">
        <f t="shared" si="54"/>
        <v>-3262522.0470380862</v>
      </c>
      <c r="M71" s="253">
        <f t="shared" si="54"/>
        <v>-3060531.2399274996</v>
      </c>
      <c r="N71" s="253">
        <f t="shared" si="54"/>
        <v>-3262522.0470380862</v>
      </c>
      <c r="O71" s="253">
        <f t="shared" si="54"/>
        <v>-3474006.4220828712</v>
      </c>
      <c r="P71" s="253">
        <f t="shared" si="54"/>
        <v>-3695430.5627547596</v>
      </c>
      <c r="Q71" s="253">
        <f t="shared" si="54"/>
        <v>-3927261.6380382273</v>
      </c>
      <c r="R71" s="253">
        <f t="shared" si="54"/>
        <v>-4169988.7738600196</v>
      </c>
      <c r="S71" s="253">
        <f t="shared" si="54"/>
        <v>-4424124.0850654338</v>
      </c>
      <c r="T71" s="253">
        <f t="shared" si="54"/>
        <v>-4690203.7558975024</v>
      </c>
      <c r="U71" s="253">
        <f t="shared" si="54"/>
        <v>-4968789.1712586805</v>
      </c>
      <c r="V71" s="253">
        <f t="shared" si="54"/>
        <v>-5260468.1011418328</v>
      </c>
      <c r="W71" s="253">
        <f t="shared" si="54"/>
        <v>-5565855.9407294933</v>
      </c>
      <c r="X71" s="253">
        <f t="shared" si="54"/>
        <v>-5885597.0087777739</v>
      </c>
      <c r="Y71" s="253">
        <f t="shared" si="54"/>
        <v>-6220365.907024323</v>
      </c>
      <c r="Z71" s="253">
        <f t="shared" si="54"/>
        <v>-6570868.94348846</v>
      </c>
      <c r="AA71" s="253">
        <f t="shared" si="54"/>
        <v>-6937845.6226664111</v>
      </c>
      <c r="AB71" s="253">
        <f t="shared" si="54"/>
        <v>-7322070.205765726</v>
      </c>
      <c r="AC71" s="253">
        <f t="shared" si="54"/>
        <v>-7724353.344270708</v>
      </c>
      <c r="AD71" s="253">
        <f t="shared" si="54"/>
        <v>-8145543.7902854271</v>
      </c>
      <c r="AE71" s="253">
        <f t="shared" si="54"/>
        <v>-8586530.1872628331</v>
      </c>
      <c r="AF71" s="253">
        <f t="shared" si="54"/>
        <v>-8999124.5664263368</v>
      </c>
      <c r="AG71" s="253">
        <f t="shared" si="54"/>
        <v>-9429047.9095147084</v>
      </c>
      <c r="AH71" s="253">
        <f t="shared" si="54"/>
        <v>-9877028.0330127887</v>
      </c>
      <c r="AI71" s="253">
        <f t="shared" si="54"/>
        <v>-10343823.32169779</v>
      </c>
      <c r="AJ71" s="253">
        <f t="shared" si="54"/>
        <v>-10830224.01250756</v>
      </c>
      <c r="AK71" s="253">
        <f t="shared" si="54"/>
        <v>-11337053.53233134</v>
      </c>
      <c r="AL71" s="253">
        <f t="shared" si="54"/>
        <v>-11865169.891987721</v>
      </c>
      <c r="AM71" s="253">
        <f t="shared" si="54"/>
        <v>-12415467.13874967</v>
      </c>
      <c r="AN71" s="253">
        <f t="shared" si="54"/>
        <v>-12988876.869875617</v>
      </c>
      <c r="AO71" s="253">
        <f t="shared" si="54"/>
        <v>-13586369.809708862</v>
      </c>
      <c r="AP71" s="253">
        <f t="shared" si="54"/>
        <v>-14208957.453015096</v>
      </c>
    </row>
    <row r="72" spans="1:45" ht="15" thickBot="1" x14ac:dyDescent="0.25">
      <c r="A72" s="258" t="s">
        <v>257</v>
      </c>
      <c r="B72" s="259">
        <f t="shared" ref="B72:AO72" si="55">B70+B71</f>
        <v>0</v>
      </c>
      <c r="C72" s="259">
        <f t="shared" si="55"/>
        <v>0</v>
      </c>
      <c r="D72" s="259">
        <f t="shared" si="55"/>
        <v>-4948582.0284250658</v>
      </c>
      <c r="E72" s="259">
        <f t="shared" si="55"/>
        <v>4838988.6505272742</v>
      </c>
      <c r="F72" s="259">
        <f t="shared" si="55"/>
        <v>11955517.584340284</v>
      </c>
      <c r="G72" s="259">
        <f t="shared" si="55"/>
        <v>8641767.1890195739</v>
      </c>
      <c r="H72" s="259">
        <f t="shared" si="55"/>
        <v>10029413.372274447</v>
      </c>
      <c r="I72" s="259">
        <f t="shared" si="55"/>
        <v>10733379.156107325</v>
      </c>
      <c r="J72" s="259">
        <f t="shared" si="55"/>
        <v>11470431.331780346</v>
      </c>
      <c r="K72" s="259">
        <f t="shared" si="55"/>
        <v>12242124.959709998</v>
      </c>
      <c r="L72" s="259">
        <f t="shared" si="55"/>
        <v>13050088.188152345</v>
      </c>
      <c r="M72" s="259">
        <f t="shared" si="55"/>
        <v>12242124.959709998</v>
      </c>
      <c r="N72" s="259">
        <f t="shared" si="55"/>
        <v>13050088.188152345</v>
      </c>
      <c r="O72" s="259">
        <f t="shared" si="55"/>
        <v>13896025.688331485</v>
      </c>
      <c r="P72" s="259">
        <f t="shared" si="55"/>
        <v>14781722.251019036</v>
      </c>
      <c r="Q72" s="259">
        <f t="shared" si="55"/>
        <v>15709046.552152907</v>
      </c>
      <c r="R72" s="259">
        <f t="shared" si="55"/>
        <v>16679955.095440079</v>
      </c>
      <c r="S72" s="259">
        <f t="shared" si="55"/>
        <v>17696496.340261735</v>
      </c>
      <c r="T72" s="259">
        <f t="shared" si="55"/>
        <v>18760815.02359001</v>
      </c>
      <c r="U72" s="259">
        <f t="shared" si="55"/>
        <v>19875156.685034722</v>
      </c>
      <c r="V72" s="259">
        <f t="shared" si="55"/>
        <v>21041872.404567331</v>
      </c>
      <c r="W72" s="259">
        <f t="shared" si="55"/>
        <v>22263423.762917973</v>
      </c>
      <c r="X72" s="259">
        <f t="shared" si="55"/>
        <v>23542388.035111092</v>
      </c>
      <c r="Y72" s="259">
        <f t="shared" si="55"/>
        <v>24881463.628097288</v>
      </c>
      <c r="Z72" s="259">
        <f t="shared" si="55"/>
        <v>26283475.773953836</v>
      </c>
      <c r="AA72" s="259">
        <f t="shared" si="55"/>
        <v>27751382.490665644</v>
      </c>
      <c r="AB72" s="259">
        <f t="shared" si="55"/>
        <v>29288280.823062904</v>
      </c>
      <c r="AC72" s="259">
        <f t="shared" si="55"/>
        <v>30897413.377082832</v>
      </c>
      <c r="AD72" s="259">
        <f t="shared" si="55"/>
        <v>32582175.161141705</v>
      </c>
      <c r="AE72" s="259">
        <f t="shared" si="55"/>
        <v>34346120.749051332</v>
      </c>
      <c r="AF72" s="259">
        <f t="shared" si="55"/>
        <v>35996498.265705347</v>
      </c>
      <c r="AG72" s="259">
        <f t="shared" si="55"/>
        <v>37716191.638058826</v>
      </c>
      <c r="AH72" s="259">
        <f t="shared" si="55"/>
        <v>39508112.132051155</v>
      </c>
      <c r="AI72" s="259">
        <f t="shared" si="55"/>
        <v>41375293.286791161</v>
      </c>
      <c r="AJ72" s="259">
        <f t="shared" si="55"/>
        <v>43320896.050030239</v>
      </c>
      <c r="AK72" s="259">
        <f t="shared" si="55"/>
        <v>45348214.12932536</v>
      </c>
      <c r="AL72" s="259">
        <f t="shared" si="55"/>
        <v>47460679.567950882</v>
      </c>
      <c r="AM72" s="259">
        <f t="shared" si="55"/>
        <v>49661868.554998681</v>
      </c>
      <c r="AN72" s="259">
        <f t="shared" si="55"/>
        <v>51955507.479502469</v>
      </c>
      <c r="AO72" s="259">
        <f t="shared" si="55"/>
        <v>54345479.238835439</v>
      </c>
      <c r="AP72" s="259">
        <f>AP70+AP71</f>
        <v>56835829.812060378</v>
      </c>
    </row>
    <row r="73" spans="1:45" ht="16.5" thickBot="1" x14ac:dyDescent="0.25">
      <c r="B73" s="315">
        <f>F141</f>
        <v>0.5</v>
      </c>
      <c r="C73" s="315">
        <f>E141</f>
        <v>0</v>
      </c>
      <c r="D73" s="315">
        <f>H141</f>
        <v>2.5</v>
      </c>
      <c r="E73" s="315">
        <f>I141</f>
        <v>3.5</v>
      </c>
      <c r="F73" s="315">
        <f>J141</f>
        <v>4.5</v>
      </c>
      <c r="G73" s="315">
        <f t="shared" ref="G73:AP73" si="56">K141</f>
        <v>5.5</v>
      </c>
      <c r="H73" s="315">
        <f t="shared" si="56"/>
        <v>6.5</v>
      </c>
      <c r="I73" s="315">
        <f t="shared" si="56"/>
        <v>7.5</v>
      </c>
      <c r="J73" s="315">
        <f t="shared" si="56"/>
        <v>8.5</v>
      </c>
      <c r="K73" s="315">
        <f t="shared" si="56"/>
        <v>9.5</v>
      </c>
      <c r="L73" s="315">
        <f t="shared" si="56"/>
        <v>10.5</v>
      </c>
      <c r="M73" s="315">
        <f t="shared" si="56"/>
        <v>11.5</v>
      </c>
      <c r="N73" s="315">
        <f t="shared" si="56"/>
        <v>12.5</v>
      </c>
      <c r="O73" s="315">
        <f t="shared" si="56"/>
        <v>13.5</v>
      </c>
      <c r="P73" s="315">
        <f t="shared" si="56"/>
        <v>14.5</v>
      </c>
      <c r="Q73" s="315">
        <f t="shared" si="56"/>
        <v>15.5</v>
      </c>
      <c r="R73" s="315">
        <f t="shared" si="56"/>
        <v>16.5</v>
      </c>
      <c r="S73" s="315">
        <f t="shared" si="56"/>
        <v>17.5</v>
      </c>
      <c r="T73" s="315">
        <f t="shared" si="56"/>
        <v>18.5</v>
      </c>
      <c r="U73" s="315">
        <f t="shared" si="56"/>
        <v>19.5</v>
      </c>
      <c r="V73" s="315">
        <f t="shared" si="56"/>
        <v>20.5</v>
      </c>
      <c r="W73" s="315">
        <f t="shared" si="56"/>
        <v>21.5</v>
      </c>
      <c r="X73" s="315">
        <f t="shared" si="56"/>
        <v>22.5</v>
      </c>
      <c r="Y73" s="315">
        <f t="shared" si="56"/>
        <v>23.5</v>
      </c>
      <c r="Z73" s="315">
        <f t="shared" si="56"/>
        <v>24.5</v>
      </c>
      <c r="AA73" s="315">
        <f t="shared" si="56"/>
        <v>25.5</v>
      </c>
      <c r="AB73" s="315">
        <f t="shared" si="56"/>
        <v>26.5</v>
      </c>
      <c r="AC73" s="315">
        <f t="shared" si="56"/>
        <v>27.5</v>
      </c>
      <c r="AD73" s="315">
        <f t="shared" si="56"/>
        <v>28.5</v>
      </c>
      <c r="AE73" s="315">
        <f t="shared" si="56"/>
        <v>29.5</v>
      </c>
      <c r="AF73" s="315">
        <f t="shared" si="56"/>
        <v>30.5</v>
      </c>
      <c r="AG73" s="315">
        <f t="shared" si="56"/>
        <v>31.5</v>
      </c>
      <c r="AH73" s="315">
        <f t="shared" si="56"/>
        <v>32.5</v>
      </c>
      <c r="AI73" s="315">
        <f t="shared" si="56"/>
        <v>33.5</v>
      </c>
      <c r="AJ73" s="315">
        <f t="shared" si="56"/>
        <v>34.5</v>
      </c>
      <c r="AK73" s="315">
        <f t="shared" si="56"/>
        <v>35.5</v>
      </c>
      <c r="AL73" s="315">
        <f t="shared" si="56"/>
        <v>36.5</v>
      </c>
      <c r="AM73" s="315">
        <f t="shared" si="56"/>
        <v>37.5</v>
      </c>
      <c r="AN73" s="315">
        <f t="shared" si="56"/>
        <v>38.5</v>
      </c>
      <c r="AO73" s="315">
        <f t="shared" si="56"/>
        <v>39.5</v>
      </c>
      <c r="AP73" s="315">
        <f t="shared" si="56"/>
        <v>40.5</v>
      </c>
    </row>
    <row r="74" spans="1:45" x14ac:dyDescent="0.2">
      <c r="A74" s="252" t="s">
        <v>256</v>
      </c>
      <c r="B74" s="305">
        <f t="shared" ref="B74:AO74" si="57">B58</f>
        <v>1</v>
      </c>
      <c r="C74" s="305">
        <f t="shared" si="57"/>
        <v>2</v>
      </c>
      <c r="D74" s="305">
        <f t="shared" si="57"/>
        <v>3</v>
      </c>
      <c r="E74" s="305">
        <f t="shared" si="57"/>
        <v>4</v>
      </c>
      <c r="F74" s="305">
        <f t="shared" si="57"/>
        <v>5</v>
      </c>
      <c r="G74" s="305">
        <f t="shared" si="57"/>
        <v>6</v>
      </c>
      <c r="H74" s="305">
        <f t="shared" si="57"/>
        <v>7</v>
      </c>
      <c r="I74" s="305">
        <f t="shared" si="57"/>
        <v>8</v>
      </c>
      <c r="J74" s="305">
        <f t="shared" si="57"/>
        <v>9</v>
      </c>
      <c r="K74" s="305">
        <f t="shared" si="57"/>
        <v>10</v>
      </c>
      <c r="L74" s="305">
        <f t="shared" si="57"/>
        <v>11</v>
      </c>
      <c r="M74" s="305">
        <f t="shared" si="57"/>
        <v>12</v>
      </c>
      <c r="N74" s="305">
        <f t="shared" si="57"/>
        <v>13</v>
      </c>
      <c r="O74" s="305">
        <f t="shared" si="57"/>
        <v>14</v>
      </c>
      <c r="P74" s="305">
        <f t="shared" si="57"/>
        <v>15</v>
      </c>
      <c r="Q74" s="305">
        <f t="shared" si="57"/>
        <v>16</v>
      </c>
      <c r="R74" s="305">
        <f t="shared" si="57"/>
        <v>17</v>
      </c>
      <c r="S74" s="305">
        <f t="shared" si="57"/>
        <v>18</v>
      </c>
      <c r="T74" s="305">
        <f t="shared" si="57"/>
        <v>19</v>
      </c>
      <c r="U74" s="305">
        <f t="shared" si="57"/>
        <v>20</v>
      </c>
      <c r="V74" s="305">
        <f t="shared" si="57"/>
        <v>21</v>
      </c>
      <c r="W74" s="305">
        <f t="shared" si="57"/>
        <v>22</v>
      </c>
      <c r="X74" s="305">
        <f t="shared" si="57"/>
        <v>23</v>
      </c>
      <c r="Y74" s="305">
        <f t="shared" si="57"/>
        <v>24</v>
      </c>
      <c r="Z74" s="305">
        <f t="shared" si="57"/>
        <v>25</v>
      </c>
      <c r="AA74" s="305">
        <f t="shared" si="57"/>
        <v>26</v>
      </c>
      <c r="AB74" s="305">
        <f t="shared" si="57"/>
        <v>27</v>
      </c>
      <c r="AC74" s="305">
        <f t="shared" si="57"/>
        <v>28</v>
      </c>
      <c r="AD74" s="305">
        <f t="shared" si="57"/>
        <v>29</v>
      </c>
      <c r="AE74" s="305">
        <f t="shared" si="57"/>
        <v>30</v>
      </c>
      <c r="AF74" s="305">
        <f t="shared" si="57"/>
        <v>31</v>
      </c>
      <c r="AG74" s="305">
        <f t="shared" si="57"/>
        <v>32</v>
      </c>
      <c r="AH74" s="305">
        <f t="shared" si="57"/>
        <v>33</v>
      </c>
      <c r="AI74" s="305">
        <f t="shared" si="57"/>
        <v>34</v>
      </c>
      <c r="AJ74" s="305">
        <f t="shared" si="57"/>
        <v>35</v>
      </c>
      <c r="AK74" s="305">
        <f t="shared" si="57"/>
        <v>36</v>
      </c>
      <c r="AL74" s="305">
        <f t="shared" si="57"/>
        <v>37</v>
      </c>
      <c r="AM74" s="305">
        <f t="shared" si="57"/>
        <v>38</v>
      </c>
      <c r="AN74" s="305">
        <f t="shared" si="57"/>
        <v>39</v>
      </c>
      <c r="AO74" s="305">
        <f t="shared" si="57"/>
        <v>40</v>
      </c>
      <c r="AP74" s="305">
        <f>AP58</f>
        <v>41</v>
      </c>
    </row>
    <row r="75" spans="1:45" ht="28.5" x14ac:dyDescent="0.2">
      <c r="A75" s="255" t="s">
        <v>588</v>
      </c>
      <c r="B75" s="256">
        <f>B68</f>
        <v>0</v>
      </c>
      <c r="C75" s="256">
        <f>C68</f>
        <v>0</v>
      </c>
      <c r="D75" s="256">
        <f>D68</f>
        <v>-6185727.5355313327</v>
      </c>
      <c r="E75" s="256">
        <f t="shared" ref="E75:AO75" si="58">E68</f>
        <v>6048735.8131590933</v>
      </c>
      <c r="F75" s="256">
        <f t="shared" si="58"/>
        <v>14944396.980425354</v>
      </c>
      <c r="G75" s="256">
        <f t="shared" si="58"/>
        <v>10802208.986274468</v>
      </c>
      <c r="H75" s="256">
        <f t="shared" si="58"/>
        <v>12536766.71534306</v>
      </c>
      <c r="I75" s="256">
        <f t="shared" si="58"/>
        <v>13416723.945134157</v>
      </c>
      <c r="J75" s="256">
        <f t="shared" si="58"/>
        <v>14338039.164725432</v>
      </c>
      <c r="K75" s="256">
        <f t="shared" si="58"/>
        <v>15302656.199637497</v>
      </c>
      <c r="L75" s="256">
        <f t="shared" si="58"/>
        <v>16312610.235190431</v>
      </c>
      <c r="M75" s="256">
        <f t="shared" si="58"/>
        <v>15302656.199637497</v>
      </c>
      <c r="N75" s="256">
        <f t="shared" si="58"/>
        <v>16312610.235190431</v>
      </c>
      <c r="O75" s="256">
        <f t="shared" si="58"/>
        <v>17370032.110414356</v>
      </c>
      <c r="P75" s="256">
        <f t="shared" si="58"/>
        <v>18477152.813773796</v>
      </c>
      <c r="Q75" s="256">
        <f t="shared" si="58"/>
        <v>19636308.190191135</v>
      </c>
      <c r="R75" s="256">
        <f t="shared" si="58"/>
        <v>20849943.869300097</v>
      </c>
      <c r="S75" s="256">
        <f t="shared" si="58"/>
        <v>22120620.425327167</v>
      </c>
      <c r="T75" s="256">
        <f t="shared" si="58"/>
        <v>23451018.779487513</v>
      </c>
      <c r="U75" s="256">
        <f t="shared" si="58"/>
        <v>24843945.856293403</v>
      </c>
      <c r="V75" s="256">
        <f t="shared" si="58"/>
        <v>26302340.505709164</v>
      </c>
      <c r="W75" s="256">
        <f t="shared" si="58"/>
        <v>27829279.703647465</v>
      </c>
      <c r="X75" s="256">
        <f t="shared" si="58"/>
        <v>29427985.043888867</v>
      </c>
      <c r="Y75" s="256">
        <f t="shared" si="58"/>
        <v>31101829.535121612</v>
      </c>
      <c r="Z75" s="256">
        <f t="shared" si="58"/>
        <v>32854344.717442296</v>
      </c>
      <c r="AA75" s="256">
        <f t="shared" si="58"/>
        <v>34689228.113332056</v>
      </c>
      <c r="AB75" s="256">
        <f t="shared" si="58"/>
        <v>36610351.028828628</v>
      </c>
      <c r="AC75" s="256">
        <f t="shared" si="58"/>
        <v>38621766.721353538</v>
      </c>
      <c r="AD75" s="256">
        <f t="shared" si="58"/>
        <v>40727718.951427132</v>
      </c>
      <c r="AE75" s="256">
        <f t="shared" si="58"/>
        <v>42932650.936314166</v>
      </c>
      <c r="AF75" s="256">
        <f t="shared" si="58"/>
        <v>44995622.832131684</v>
      </c>
      <c r="AG75" s="256">
        <f t="shared" si="58"/>
        <v>47145239.547573537</v>
      </c>
      <c r="AH75" s="256">
        <f t="shared" si="58"/>
        <v>49385140.16506394</v>
      </c>
      <c r="AI75" s="256">
        <f t="shared" si="58"/>
        <v>51719116.608488947</v>
      </c>
      <c r="AJ75" s="256">
        <f t="shared" si="58"/>
        <v>54151120.062537797</v>
      </c>
      <c r="AK75" s="256">
        <f t="shared" si="58"/>
        <v>56685267.6616567</v>
      </c>
      <c r="AL75" s="256">
        <f t="shared" si="58"/>
        <v>59325849.459938601</v>
      </c>
      <c r="AM75" s="256">
        <f t="shared" si="58"/>
        <v>62077335.693748347</v>
      </c>
      <c r="AN75" s="256">
        <f t="shared" si="58"/>
        <v>64944384.349378087</v>
      </c>
      <c r="AO75" s="256">
        <f t="shared" si="58"/>
        <v>67931849.048544303</v>
      </c>
      <c r="AP75" s="256">
        <f>AP68</f>
        <v>71044787.265075475</v>
      </c>
    </row>
    <row r="76" spans="1:45" x14ac:dyDescent="0.2">
      <c r="A76" s="312" t="s">
        <v>255</v>
      </c>
      <c r="B76" s="253">
        <f t="shared" ref="B76:AO76" si="59">-B67</f>
        <v>0</v>
      </c>
      <c r="C76" s="253">
        <f>-C67</f>
        <v>0</v>
      </c>
      <c r="D76" s="253">
        <f t="shared" si="59"/>
        <v>6185727.5355313327</v>
      </c>
      <c r="E76" s="253">
        <f t="shared" si="59"/>
        <v>6185727.5355313327</v>
      </c>
      <c r="F76" s="253">
        <f t="shared" si="59"/>
        <v>6185727.5355313327</v>
      </c>
      <c r="G76" s="253">
        <f t="shared" si="59"/>
        <v>6185727.5355313327</v>
      </c>
      <c r="H76" s="253">
        <f t="shared" si="59"/>
        <v>6185727.5355313327</v>
      </c>
      <c r="I76" s="253">
        <f t="shared" si="59"/>
        <v>6185727.5355313327</v>
      </c>
      <c r="J76" s="253">
        <f t="shared" si="59"/>
        <v>6185727.5355313327</v>
      </c>
      <c r="K76" s="253">
        <f t="shared" si="59"/>
        <v>6185727.5355313327</v>
      </c>
      <c r="L76" s="253">
        <f>-L67</f>
        <v>6185727.5355313327</v>
      </c>
      <c r="M76" s="253">
        <f>-M67</f>
        <v>6185727.5355313327</v>
      </c>
      <c r="N76" s="253">
        <f t="shared" si="59"/>
        <v>6185727.5355313327</v>
      </c>
      <c r="O76" s="253">
        <f t="shared" si="59"/>
        <v>6185727.5355313327</v>
      </c>
      <c r="P76" s="253">
        <f t="shared" si="59"/>
        <v>6185727.5355313327</v>
      </c>
      <c r="Q76" s="253">
        <f t="shared" si="59"/>
        <v>6185727.5355313327</v>
      </c>
      <c r="R76" s="253">
        <f t="shared" si="59"/>
        <v>6185727.5355313327</v>
      </c>
      <c r="S76" s="253">
        <f t="shared" si="59"/>
        <v>6185727.5355313327</v>
      </c>
      <c r="T76" s="253">
        <f t="shared" si="59"/>
        <v>6185727.5355313327</v>
      </c>
      <c r="U76" s="253">
        <f t="shared" si="59"/>
        <v>6185727.5355313327</v>
      </c>
      <c r="V76" s="253">
        <f t="shared" si="59"/>
        <v>6185727.5355313327</v>
      </c>
      <c r="W76" s="253">
        <f t="shared" si="59"/>
        <v>6185727.5355313327</v>
      </c>
      <c r="X76" s="253">
        <f t="shared" si="59"/>
        <v>6185727.5355313327</v>
      </c>
      <c r="Y76" s="253">
        <f t="shared" si="59"/>
        <v>6185727.5355313327</v>
      </c>
      <c r="Z76" s="253">
        <f t="shared" si="59"/>
        <v>6185727.5355313327</v>
      </c>
      <c r="AA76" s="253">
        <f t="shared" si="59"/>
        <v>6185727.5355313327</v>
      </c>
      <c r="AB76" s="253">
        <f t="shared" si="59"/>
        <v>6185727.5355313327</v>
      </c>
      <c r="AC76" s="253">
        <f t="shared" si="59"/>
        <v>6185727.5355313327</v>
      </c>
      <c r="AD76" s="253">
        <f t="shared" si="59"/>
        <v>6185727.5355313327</v>
      </c>
      <c r="AE76" s="253">
        <f t="shared" si="59"/>
        <v>6185727.5355313327</v>
      </c>
      <c r="AF76" s="253">
        <f t="shared" si="59"/>
        <v>6185727.5355313327</v>
      </c>
      <c r="AG76" s="253">
        <f t="shared" si="59"/>
        <v>6185727.5355313327</v>
      </c>
      <c r="AH76" s="253">
        <f t="shared" si="59"/>
        <v>6185727.5355313327</v>
      </c>
      <c r="AI76" s="253">
        <f t="shared" si="59"/>
        <v>6185727.5355313327</v>
      </c>
      <c r="AJ76" s="253">
        <f t="shared" si="59"/>
        <v>6185727.5355313327</v>
      </c>
      <c r="AK76" s="253">
        <f t="shared" si="59"/>
        <v>6185727.5355313327</v>
      </c>
      <c r="AL76" s="253">
        <f t="shared" si="59"/>
        <v>6185727.5355313327</v>
      </c>
      <c r="AM76" s="253">
        <f t="shared" si="59"/>
        <v>6185727.5355313327</v>
      </c>
      <c r="AN76" s="253">
        <f t="shared" si="59"/>
        <v>6185727.5355313327</v>
      </c>
      <c r="AO76" s="253">
        <f t="shared" si="59"/>
        <v>6185727.5355313327</v>
      </c>
      <c r="AP76" s="253">
        <f>-AP67</f>
        <v>6185727.5355313327</v>
      </c>
    </row>
    <row r="77" spans="1:45" x14ac:dyDescent="0.2">
      <c r="A77" s="312" t="s">
        <v>254</v>
      </c>
      <c r="B77" s="253">
        <f t="shared" ref="B77:AO77" si="60">B69</f>
        <v>0</v>
      </c>
      <c r="C77" s="253">
        <f t="shared" si="60"/>
        <v>0</v>
      </c>
      <c r="D77" s="253">
        <f t="shared" si="60"/>
        <v>0</v>
      </c>
      <c r="E77" s="253">
        <f t="shared" si="60"/>
        <v>0</v>
      </c>
      <c r="F77" s="253">
        <f t="shared" si="60"/>
        <v>0</v>
      </c>
      <c r="G77" s="253">
        <f t="shared" si="60"/>
        <v>0</v>
      </c>
      <c r="H77" s="253">
        <f t="shared" si="60"/>
        <v>0</v>
      </c>
      <c r="I77" s="253">
        <f t="shared" si="60"/>
        <v>0</v>
      </c>
      <c r="J77" s="253">
        <f t="shared" si="60"/>
        <v>0</v>
      </c>
      <c r="K77" s="253">
        <f t="shared" si="60"/>
        <v>0</v>
      </c>
      <c r="L77" s="253">
        <f t="shared" si="60"/>
        <v>0</v>
      </c>
      <c r="M77" s="253">
        <f t="shared" si="60"/>
        <v>0</v>
      </c>
      <c r="N77" s="253">
        <f t="shared" si="60"/>
        <v>0</v>
      </c>
      <c r="O77" s="253">
        <f t="shared" si="60"/>
        <v>0</v>
      </c>
      <c r="P77" s="253">
        <f t="shared" si="60"/>
        <v>0</v>
      </c>
      <c r="Q77" s="253">
        <f t="shared" si="60"/>
        <v>0</v>
      </c>
      <c r="R77" s="253">
        <f t="shared" si="60"/>
        <v>0</v>
      </c>
      <c r="S77" s="253">
        <f t="shared" si="60"/>
        <v>0</v>
      </c>
      <c r="T77" s="253">
        <f t="shared" si="60"/>
        <v>0</v>
      </c>
      <c r="U77" s="253">
        <f t="shared" si="60"/>
        <v>0</v>
      </c>
      <c r="V77" s="253">
        <f t="shared" si="60"/>
        <v>0</v>
      </c>
      <c r="W77" s="253">
        <f t="shared" si="60"/>
        <v>0</v>
      </c>
      <c r="X77" s="253">
        <f t="shared" si="60"/>
        <v>0</v>
      </c>
      <c r="Y77" s="253">
        <f t="shared" si="60"/>
        <v>0</v>
      </c>
      <c r="Z77" s="253">
        <f t="shared" si="60"/>
        <v>0</v>
      </c>
      <c r="AA77" s="253">
        <f t="shared" si="60"/>
        <v>0</v>
      </c>
      <c r="AB77" s="253">
        <f t="shared" si="60"/>
        <v>0</v>
      </c>
      <c r="AC77" s="253">
        <f t="shared" si="60"/>
        <v>0</v>
      </c>
      <c r="AD77" s="253">
        <f t="shared" si="60"/>
        <v>0</v>
      </c>
      <c r="AE77" s="253">
        <f t="shared" si="60"/>
        <v>0</v>
      </c>
      <c r="AF77" s="253">
        <f t="shared" si="60"/>
        <v>0</v>
      </c>
      <c r="AG77" s="253">
        <f t="shared" si="60"/>
        <v>0</v>
      </c>
      <c r="AH77" s="253">
        <f t="shared" si="60"/>
        <v>0</v>
      </c>
      <c r="AI77" s="253">
        <f t="shared" si="60"/>
        <v>0</v>
      </c>
      <c r="AJ77" s="253">
        <f t="shared" si="60"/>
        <v>0</v>
      </c>
      <c r="AK77" s="253">
        <f t="shared" si="60"/>
        <v>0</v>
      </c>
      <c r="AL77" s="253">
        <f t="shared" si="60"/>
        <v>0</v>
      </c>
      <c r="AM77" s="253">
        <f t="shared" si="60"/>
        <v>0</v>
      </c>
      <c r="AN77" s="253">
        <f t="shared" si="60"/>
        <v>0</v>
      </c>
      <c r="AO77" s="253">
        <f t="shared" si="60"/>
        <v>0</v>
      </c>
      <c r="AP77" s="253">
        <f>AP69</f>
        <v>0</v>
      </c>
    </row>
    <row r="78" spans="1:45" x14ac:dyDescent="0.2">
      <c r="A78" s="312" t="s">
        <v>253</v>
      </c>
      <c r="B78" s="253">
        <f>IF(SUM($B$71:B71)+SUM($A$78:A78)&gt;0,0,SUM($B$71:B71)-SUM($A$78:A78))</f>
        <v>0</v>
      </c>
      <c r="C78" s="253">
        <f>IF(SUM($B$71:C71)+SUM($A$78:B78)&gt;0,0,SUM($B$71:C71)-SUM($A$78:B78))</f>
        <v>0</v>
      </c>
      <c r="D78" s="253">
        <f>IF(SUM($B$71:D71)+SUM($A$78:C78)&gt;0,0,SUM($B$71:D71)-SUM($A$78:C78))</f>
        <v>0</v>
      </c>
      <c r="E78" s="253">
        <f>IF(SUM($B$71:E71)+SUM($A$78:D78)&gt;0,0,SUM($B$71:E71)-SUM($A$78:D78))</f>
        <v>0</v>
      </c>
      <c r="F78" s="253">
        <f>IF(SUM($B$71:F71)+SUM($A$78:E78)&gt;0,0,SUM($B$71:F71)-SUM($A$78:E78))</f>
        <v>-2961481.051610623</v>
      </c>
      <c r="G78" s="253">
        <f>IF(SUM($B$71:G71)+SUM($A$78:F78)&gt;0,0,SUM($B$71:G71)-SUM($A$78:F78))</f>
        <v>-2160441.7972548935</v>
      </c>
      <c r="H78" s="253">
        <f>IF(SUM($B$71:H71)+SUM($A$78:G78)&gt;0,0,SUM($B$71:H71)-SUM($A$78:G78))</f>
        <v>-2507353.3430686127</v>
      </c>
      <c r="I78" s="253">
        <f>IF(SUM($B$71:I71)+SUM($A$78:H78)&gt;0,0,SUM($B$71:I71)-SUM($A$78:H78))</f>
        <v>-2683344.7890268322</v>
      </c>
      <c r="J78" s="253">
        <f>IF(SUM($B$71:J71)+SUM($A$78:I78)&gt;0,0,SUM($B$71:J71)-SUM($A$78:I78))</f>
        <v>-2867607.8329450861</v>
      </c>
      <c r="K78" s="253">
        <f>IF(SUM($B$71:K71)+SUM($A$78:J78)&gt;0,0,SUM($B$71:K71)-SUM($A$78:J78))</f>
        <v>-3060531.2399275005</v>
      </c>
      <c r="L78" s="253">
        <f>IF(SUM($B$71:L71)+SUM($A$78:K78)&gt;0,0,SUM($B$71:L71)-SUM($A$78:K78))</f>
        <v>-3262522.0470380858</v>
      </c>
      <c r="M78" s="253">
        <f>IF(SUM($B$71:M71)+SUM($A$78:L78)&gt;0,0,SUM($B$71:M71)-SUM($A$78:L78))</f>
        <v>-3060531.2399275005</v>
      </c>
      <c r="N78" s="253">
        <f>IF(SUM($B$71:N71)+SUM($A$78:M78)&gt;0,0,SUM($B$71:N71)-SUM($A$78:M78))</f>
        <v>-3262522.0470380858</v>
      </c>
      <c r="O78" s="253">
        <f>IF(SUM($B$71:O71)+SUM($A$78:N78)&gt;0,0,SUM($B$71:O71)-SUM($A$78:N78))</f>
        <v>-3474006.4220828712</v>
      </c>
      <c r="P78" s="253">
        <f>IF(SUM($B$71:P71)+SUM($A$78:O78)&gt;0,0,SUM($B$71:P71)-SUM($A$78:O78))</f>
        <v>-3695430.5627547614</v>
      </c>
      <c r="Q78" s="253">
        <f>IF(SUM($B$71:Q71)+SUM($A$78:P78)&gt;0,0,SUM($B$71:Q71)-SUM($A$78:P78))</f>
        <v>-3927261.6380382255</v>
      </c>
      <c r="R78" s="253">
        <f>IF(SUM($B$71:R71)+SUM($A$78:Q78)&gt;0,0,SUM($B$71:R71)-SUM($A$78:Q78))</f>
        <v>-4169988.7738600224</v>
      </c>
      <c r="S78" s="253">
        <f>IF(SUM($B$71:S71)+SUM($A$78:R78)&gt;0,0,SUM($B$71:S71)-SUM($A$78:R78))</f>
        <v>-4424124.0850654319</v>
      </c>
      <c r="T78" s="253">
        <f>IF(SUM($B$71:T71)+SUM($A$78:S78)&gt;0,0,SUM($B$71:T71)-SUM($A$78:S78))</f>
        <v>-4690203.7558974996</v>
      </c>
      <c r="U78" s="253">
        <f>IF(SUM($B$71:U71)+SUM($A$78:T78)&gt;0,0,SUM($B$71:U71)-SUM($A$78:T78))</f>
        <v>-4968789.1712586805</v>
      </c>
      <c r="V78" s="253">
        <f>IF(SUM($B$71:V71)+SUM($A$78:U78)&gt;0,0,SUM($B$71:V71)-SUM($A$78:U78))</f>
        <v>-5260468.1011418328</v>
      </c>
      <c r="W78" s="253">
        <f>IF(SUM($B$71:W71)+SUM($A$78:V78)&gt;0,0,SUM($B$71:W71)-SUM($A$78:V78))</f>
        <v>-5565855.9407294914</v>
      </c>
      <c r="X78" s="253">
        <f>IF(SUM($B$71:X71)+SUM($A$78:W78)&gt;0,0,SUM($B$71:X71)-SUM($A$78:W78))</f>
        <v>-5885597.0087777674</v>
      </c>
      <c r="Y78" s="253">
        <f>IF(SUM($B$71:Y71)+SUM($A$78:X78)&gt;0,0,SUM($B$71:Y71)-SUM($A$78:X78))</f>
        <v>-6220365.9070243239</v>
      </c>
      <c r="Z78" s="253">
        <f>IF(SUM($B$71:Z71)+SUM($A$78:Y78)&gt;0,0,SUM($B$71:Z71)-SUM($A$78:Y78))</f>
        <v>-6570868.9434884638</v>
      </c>
      <c r="AA78" s="253">
        <f>IF(SUM($B$71:AA71)+SUM($A$78:Z78)&gt;0,0,SUM($B$71:AA71)-SUM($A$78:Z78))</f>
        <v>-6937845.6226664186</v>
      </c>
      <c r="AB78" s="253">
        <f>IF(SUM($B$71:AB71)+SUM($A$78:AA78)&gt;0,0,SUM($B$71:AB71)-SUM($A$78:AA78))</f>
        <v>-7322070.2057657242</v>
      </c>
      <c r="AC78" s="253">
        <f>IF(SUM($B$71:AC71)+SUM($A$78:AB78)&gt;0,0,SUM($B$71:AC71)-SUM($A$78:AB78))</f>
        <v>-7724353.3442707062</v>
      </c>
      <c r="AD78" s="253">
        <f>IF(SUM($B$71:AD71)+SUM($A$78:AC78)&gt;0,0,SUM($B$71:AD71)-SUM($A$78:AC78))</f>
        <v>-8145543.7902854234</v>
      </c>
      <c r="AE78" s="253">
        <f>IF(SUM($B$71:AE71)+SUM($A$78:AD78)&gt;0,0,SUM($B$71:AE71)-SUM($A$78:AD78))</f>
        <v>-8586530.1872628331</v>
      </c>
      <c r="AF78" s="253">
        <f>IF(SUM($B$71:AF71)+SUM($A$78:AE78)&gt;0,0,SUM($B$71:AF71)-SUM($A$78:AE78))</f>
        <v>-8999124.5664263368</v>
      </c>
      <c r="AG78" s="253">
        <f>IF(SUM($B$71:AG71)+SUM($A$78:AF78)&gt;0,0,SUM($B$71:AG71)-SUM($A$78:AF78))</f>
        <v>-9429047.9095147103</v>
      </c>
      <c r="AH78" s="253">
        <f>IF(SUM($B$71:AH71)+SUM($A$78:AG78)&gt;0,0,SUM($B$71:AH71)-SUM($A$78:AG78))</f>
        <v>-9877028.0330127776</v>
      </c>
      <c r="AI78" s="253">
        <f>IF(SUM($B$71:AI71)+SUM($A$78:AH78)&gt;0,0,SUM($B$71:AI71)-SUM($A$78:AH78))</f>
        <v>-10343823.321697801</v>
      </c>
      <c r="AJ78" s="253">
        <f>IF(SUM($B$71:AJ71)+SUM($A$78:AI78)&gt;0,0,SUM($B$71:AJ71)-SUM($A$78:AI78))</f>
        <v>-10830224.012507558</v>
      </c>
      <c r="AK78" s="253">
        <f>IF(SUM($B$71:AK71)+SUM($A$78:AJ78)&gt;0,0,SUM($B$71:AK71)-SUM($A$78:AJ78))</f>
        <v>-11337053.532331347</v>
      </c>
      <c r="AL78" s="253">
        <f>IF(SUM($B$71:AL71)+SUM($A$78:AK78)&gt;0,0,SUM($B$71:AL71)-SUM($A$78:AK78))</f>
        <v>-11865169.891987711</v>
      </c>
      <c r="AM78" s="253">
        <f>IF(SUM($B$71:AM71)+SUM($A$78:AL78)&gt;0,0,SUM($B$71:AM71)-SUM($A$78:AL78))</f>
        <v>-12415467.138749659</v>
      </c>
      <c r="AN78" s="253">
        <f>IF(SUM($B$71:AN71)+SUM($A$78:AM78)&gt;0,0,SUM($B$71:AN71)-SUM($A$78:AM78))</f>
        <v>-12988876.86987561</v>
      </c>
      <c r="AO78" s="253">
        <f>IF(SUM($B$71:AO71)+SUM($A$78:AN78)&gt;0,0,SUM($B$71:AO71)-SUM($A$78:AN78))</f>
        <v>-13586369.809708863</v>
      </c>
      <c r="AP78" s="253">
        <f>IF(SUM($B$71:AP71)+SUM($A$78:AO78)&gt;0,0,SUM($B$71:AP71)-SUM($A$78:AO78))</f>
        <v>-14208957.453015089</v>
      </c>
    </row>
    <row r="79" spans="1:45" x14ac:dyDescent="0.2">
      <c r="A79" s="312" t="s">
        <v>252</v>
      </c>
      <c r="B79" s="253">
        <f>IF(((SUM($B$59:B59)+SUM($B$61:B64))+SUM($B$81:B81))&lt;0,((SUM($B$59:B59)+SUM($B$61:B64))+SUM($B$81:B81))*0.18-SUM($A$79:A79),IF(SUM(A$79:$B79)&lt;0,0-SUM(A$79:$B79),0))</f>
        <v>-6659783.9999999935</v>
      </c>
      <c r="C79" s="253">
        <f>IF(((SUM($B$59:C59)+SUM($B$61:C64))+SUM($B$81:C81))&lt;0,((SUM($B$59:C59)+SUM($B$61:C64))+SUM($B$81:C81))*0.18-SUM($A$79:B79),IF(SUM($B$79:B79)&lt;0,0-SUM($B$79:B79),0))</f>
        <v>-16711865.215121523</v>
      </c>
      <c r="D79" s="253">
        <f>IF(((SUM($B$59:D59)+SUM($B$61:D64))+SUM($B$81:D81))&lt;0,((SUM($B$59:D59)+SUM($B$61:D64))+SUM($B$81:D81))*0.18-SUM($A$79:C79),IF(SUM($B$79:C79)&lt;0,0-SUM($B$79:C79),0))</f>
        <v>-16711865.215121523</v>
      </c>
      <c r="E79" s="253">
        <f>IF(((SUM($B$59:E59)+SUM($B$61:E64))+SUM($B$81:E81))&lt;0,((SUM($B$59:E59)+SUM($B$61:E64))+SUM($B$81:E81))*0.18-SUM($A$79:D79),IF(SUM($B$79:D79)&lt;0,0-SUM($B$79:D79),0))</f>
        <v>2202203.4027642757</v>
      </c>
      <c r="F79" s="253">
        <f>IF(((SUM($B$59:F59)+SUM($B$61:F64))+SUM($B$81:F81))&lt;0,((SUM($B$59:F59)+SUM($B$61:F64))+SUM($B$81:F81))*0.18-SUM($A$79:E79),IF(SUM($B$79:E79)&lt;0,0-SUM($B$79:E79),0))</f>
        <v>2689991.4564765617</v>
      </c>
      <c r="G79" s="253">
        <f>IF(((SUM($B$59:G59)+SUM($B$61:G64))+SUM($B$81:G81))&lt;0,((SUM($B$59:G59)+SUM($B$61:G64))+SUM($B$81:G81))*0.18-SUM($A$79:F79),IF(SUM($B$79:F79)&lt;0,0-SUM($B$79:F79),0))</f>
        <v>3057828.5739250407</v>
      </c>
      <c r="H79" s="253">
        <f>IF(((SUM($B$59:H59)+SUM($B$61:H64))+SUM($B$81:H81))&lt;0,((SUM($B$59:H59)+SUM($B$61:H64))+SUM($B$81:H81))*0.18-SUM($A$79:G79),IF(SUM($B$79:G79)&lt;0,0-SUM($B$79:G79),0))</f>
        <v>3370048.9651573934</v>
      </c>
      <c r="I79" s="253">
        <f>IF(((SUM($B$59:I59)+SUM($B$61:I64))+SUM($B$81:I81))&lt;0,((SUM($B$59:I59)+SUM($B$61:I64))+SUM($B$81:I81))*0.18-SUM($A$79:H79),IF(SUM($B$79:H79)&lt;0,0-SUM($B$79:H79),0))</f>
        <v>3528441.2665197887</v>
      </c>
      <c r="J79" s="253">
        <f>IF(((SUM($B$59:J59)+SUM($B$61:J64))+SUM($B$81:J81))&lt;0,((SUM($B$59:J59)+SUM($B$61:J64))+SUM($B$81:J81))*0.18-SUM($A$79:I79),IF(SUM($B$79:I79)&lt;0,0-SUM($B$79:I79),0))</f>
        <v>3694278.0060462169</v>
      </c>
      <c r="K79" s="253">
        <f>IF(((SUM($B$59:K59)+SUM($B$61:K64))+SUM($B$81:K81))&lt;0,((SUM($B$59:K59)+SUM($B$61:K64))+SUM($B$81:K81))*0.18-SUM($A$79:J79),IF(SUM($B$79:J79)&lt;0,0-SUM($B$79:J79),0))</f>
        <v>3867909.0723303892</v>
      </c>
      <c r="L79" s="253">
        <f>IF(((SUM($B$59:L59)+SUM($B$61:L64))+SUM($B$81:L81))&lt;0,((SUM($B$59:L59)+SUM($B$61:L64))+SUM($B$81:L81))*0.18-SUM($A$79:K79),IF(SUM($B$79:K79)&lt;0,0-SUM($B$79:K79),0))</f>
        <v>4049700.798729917</v>
      </c>
      <c r="M79" s="253">
        <f>IF(((SUM($B$59:M59)+SUM($B$61:M64))+SUM($B$81:M81))&lt;0,((SUM($B$59:M59)+SUM($B$61:M64))+SUM($B$81:M81))*0.18-SUM($A$79:L79),IF(SUM($B$79:L79)&lt;0,0-SUM($B$79:L79),0))</f>
        <v>3867909.072330391</v>
      </c>
      <c r="N79" s="253">
        <f>IF(((SUM($B$59:N59)+SUM($B$61:N64))+SUM($B$81:N81))&lt;0,((SUM($B$59:N59)+SUM($B$61:N64))+SUM($B$81:N81))*0.18-SUM($A$79:M79),IF(SUM($B$79:M79)&lt;0,0-SUM($B$79:M79),0))</f>
        <v>4049700.798729918</v>
      </c>
      <c r="O79" s="253">
        <f>IF(((SUM($B$59:O59)+SUM($B$61:O64))+SUM($B$81:O81))&lt;0,((SUM($B$59:O59)+SUM($B$61:O64))+SUM($B$81:O81))*0.18-SUM($A$79:N79),IF(SUM($B$79:N79)&lt;0,0-SUM($B$79:N79),0))</f>
        <v>4240036.7362702256</v>
      </c>
      <c r="P79" s="253">
        <f>IF(((SUM($B$59:P59)+SUM($B$61:P64))+SUM($B$81:P81))&lt;0,((SUM($B$59:P59)+SUM($B$61:P64))+SUM($B$81:P81))*0.18-SUM($A$79:O79),IF(SUM($B$79:O79)&lt;0,0-SUM($B$79:O79),0))</f>
        <v>1465466.2809629198</v>
      </c>
      <c r="Q79" s="253">
        <f>IF(((SUM($B$59:Q59)+SUM($B$61:Q64))+SUM($B$81:Q81))&lt;0,((SUM($B$59:Q59)+SUM($B$61:Q64))+SUM($B$81:Q81))*0.18-SUM($A$79:P79),IF(SUM($B$79:P79)&lt;0,0-SUM($B$79:P79),0))</f>
        <v>0</v>
      </c>
      <c r="R79" s="253">
        <f>IF(((SUM($B$59:R59)+SUM($B$61:R64))+SUM($B$81:R81))&lt;0,((SUM($B$59:R59)+SUM($B$61:R64))+SUM($B$81:R81))*0.18-SUM($A$79:Q79),IF(SUM($B$79:Q79)&lt;0,0-SUM($B$79:Q79),0))</f>
        <v>0</v>
      </c>
      <c r="S79" s="253">
        <f>IF(((SUM($B$59:S59)+SUM($B$61:S64))+SUM($B$81:S81))&lt;0,((SUM($B$59:S59)+SUM($B$61:S64))+SUM($B$81:S81))*0.18-SUM($A$79:R79),IF(SUM($B$79:R79)&lt;0,0-SUM($B$79:R79),0))</f>
        <v>0</v>
      </c>
      <c r="T79" s="253">
        <f>IF(((SUM($B$59:T59)+SUM($B$61:T64))+SUM($B$81:T81))&lt;0,((SUM($B$59:T59)+SUM($B$61:T64))+SUM($B$81:T81))*0.18-SUM($A$79:S79),IF(SUM($B$79:S79)&lt;0,0-SUM($B$79:S79),0))</f>
        <v>0</v>
      </c>
      <c r="U79" s="253">
        <f>IF(((SUM($B$59:U59)+SUM($B$61:U64))+SUM($B$81:U81))&lt;0,((SUM($B$59:U59)+SUM($B$61:U64))+SUM($B$81:U81))*0.18-SUM($A$79:T79),IF(SUM($B$79:T79)&lt;0,0-SUM($B$79:T79),0))</f>
        <v>0</v>
      </c>
      <c r="V79" s="253">
        <f>IF(((SUM($B$59:V59)+SUM($B$61:V64))+SUM($B$81:V81))&lt;0,((SUM($B$59:V59)+SUM($B$61:V64))+SUM($B$81:V81))*0.18-SUM($A$79:U79),IF(SUM($B$79:U79)&lt;0,0-SUM($B$79:U79),0))</f>
        <v>0</v>
      </c>
      <c r="W79" s="253">
        <f>IF(((SUM($B$59:W59)+SUM($B$61:W64))+SUM($B$81:W81))&lt;0,((SUM($B$59:W59)+SUM($B$61:W64))+SUM($B$81:W81))*0.18-SUM($A$79:V79),IF(SUM($B$79:V79)&lt;0,0-SUM($B$79:V79),0))</f>
        <v>0</v>
      </c>
      <c r="X79" s="253">
        <f>IF(((SUM($B$59:X59)+SUM($B$61:X64))+SUM($B$81:X81))&lt;0,((SUM($B$59:X59)+SUM($B$61:X64))+SUM($B$81:X81))*0.18-SUM($A$79:W79),IF(SUM($B$79:W79)&lt;0,0-SUM($B$79:W79),0))</f>
        <v>0</v>
      </c>
      <c r="Y79" s="253">
        <f>IF(((SUM($B$59:Y59)+SUM($B$61:Y64))+SUM($B$81:Y81))&lt;0,((SUM($B$59:Y59)+SUM($B$61:Y64))+SUM($B$81:Y81))*0.18-SUM($A$79:X79),IF(SUM($B$79:X79)&lt;0,0-SUM($B$79:X79),0))</f>
        <v>0</v>
      </c>
      <c r="Z79" s="253">
        <f>IF(((SUM($B$59:Z59)+SUM($B$61:Z64))+SUM($B$81:Z81))&lt;0,((SUM($B$59:Z59)+SUM($B$61:Z64))+SUM($B$81:Z81))*0.18-SUM($A$79:Y79),IF(SUM($B$79:Y79)&lt;0,0-SUM($B$79:Y79),0))</f>
        <v>0</v>
      </c>
      <c r="AA79" s="253">
        <f>IF(((SUM($B$59:AA59)+SUM($B$61:AA64))+SUM($B$81:AA81))&lt;0,((SUM($B$59:AA59)+SUM($B$61:AA64))+SUM($B$81:AA81))*0.18-SUM($A$79:Z79),IF(SUM($B$79:Z79)&lt;0,0-SUM($B$79:Z79),0))</f>
        <v>0</v>
      </c>
      <c r="AB79" s="253">
        <f>IF(((SUM($B$59:AB59)+SUM($B$61:AB64))+SUM($B$81:AB81))&lt;0,((SUM($B$59:AB59)+SUM($B$61:AB64))+SUM($B$81:AB81))*0.18-SUM($A$79:AA79),IF(SUM($B$79:AA79)&lt;0,0-SUM($B$79:AA79),0))</f>
        <v>0</v>
      </c>
      <c r="AC79" s="253">
        <f>IF(((SUM($B$59:AC59)+SUM($B$61:AC64))+SUM($B$81:AC81))&lt;0,((SUM($B$59:AC59)+SUM($B$61:AC64))+SUM($B$81:AC81))*0.18-SUM($A$79:AB79),IF(SUM($B$79:AB79)&lt;0,0-SUM($B$79:AB79),0))</f>
        <v>0</v>
      </c>
      <c r="AD79" s="253">
        <f>IF(((SUM($B$59:AD59)+SUM($B$61:AD64))+SUM($B$81:AD81))&lt;0,((SUM($B$59:AD59)+SUM($B$61:AD64))+SUM($B$81:AD81))*0.18-SUM($A$79:AC79),IF(SUM($B$79:AC79)&lt;0,0-SUM($B$79:AC79),0))</f>
        <v>0</v>
      </c>
      <c r="AE79" s="253">
        <f>IF(((SUM($B$59:AE59)+SUM($B$61:AE64))+SUM($B$81:AE81))&lt;0,((SUM($B$59:AE59)+SUM($B$61:AE64))+SUM($B$81:AE81))*0.18-SUM($A$79:AD79),IF(SUM($B$79:AD79)&lt;0,0-SUM($B$79:AD79),0))</f>
        <v>0</v>
      </c>
      <c r="AF79" s="253">
        <f>IF(((SUM($B$59:AF59)+SUM($B$61:AF64))+SUM($B$81:AF81))&lt;0,((SUM($B$59:AF59)+SUM($B$61:AF64))+SUM($B$81:AF81))*0.18-SUM($A$79:AE79),IF(SUM($B$79:AE79)&lt;0,0-SUM($B$79:AE79),0))</f>
        <v>0</v>
      </c>
      <c r="AG79" s="253">
        <f>IF(((SUM($B$59:AG59)+SUM($B$61:AG64))+SUM($B$81:AG81))&lt;0,((SUM($B$59:AG59)+SUM($B$61:AG64))+SUM($B$81:AG81))*0.18-SUM($A$79:AF79),IF(SUM($B$79:AF79)&lt;0,0-SUM($B$79:AF79),0))</f>
        <v>0</v>
      </c>
      <c r="AH79" s="253">
        <f>IF(((SUM($B$59:AH59)+SUM($B$61:AH64))+SUM($B$81:AH81))&lt;0,((SUM($B$59:AH59)+SUM($B$61:AH64))+SUM($B$81:AH81))*0.18-SUM($A$79:AG79),IF(SUM($B$79:AG79)&lt;0,0-SUM($B$79:AG79),0))</f>
        <v>0</v>
      </c>
      <c r="AI79" s="253">
        <f>IF(((SUM($B$59:AI59)+SUM($B$61:AI64))+SUM($B$81:AI81))&lt;0,((SUM($B$59:AI59)+SUM($B$61:AI64))+SUM($B$81:AI81))*0.18-SUM($A$79:AH79),IF(SUM($B$79:AH79)&lt;0,0-SUM($B$79:AH79),0))</f>
        <v>0</v>
      </c>
      <c r="AJ79" s="253">
        <f>IF(((SUM($B$59:AJ59)+SUM($B$61:AJ64))+SUM($B$81:AJ81))&lt;0,((SUM($B$59:AJ59)+SUM($B$61:AJ64))+SUM($B$81:AJ81))*0.18-SUM($A$79:AI79),IF(SUM($B$79:AI79)&lt;0,0-SUM($B$79:AI79),0))</f>
        <v>0</v>
      </c>
      <c r="AK79" s="253">
        <f>IF(((SUM($B$59:AK59)+SUM($B$61:AK64))+SUM($B$81:AK81))&lt;0,((SUM($B$59:AK59)+SUM($B$61:AK64))+SUM($B$81:AK81))*0.18-SUM($A$79:AJ79),IF(SUM($B$79:AJ79)&lt;0,0-SUM($B$79:AJ79),0))</f>
        <v>0</v>
      </c>
      <c r="AL79" s="253">
        <f>IF(((SUM($B$59:AL59)+SUM($B$61:AL64))+SUM($B$81:AL81))&lt;0,((SUM($B$59:AL59)+SUM($B$61:AL64))+SUM($B$81:AL81))*0.18-SUM($A$79:AK79),IF(SUM($B$79:AK79)&lt;0,0-SUM($B$79:AK79),0))</f>
        <v>0</v>
      </c>
      <c r="AM79" s="253">
        <f>IF(((SUM($B$59:AM59)+SUM($B$61:AM64))+SUM($B$81:AM81))&lt;0,((SUM($B$59:AM59)+SUM($B$61:AM64))+SUM($B$81:AM81))*0.18-SUM($A$79:AL79),IF(SUM($B$79:AL79)&lt;0,0-SUM($B$79:AL79),0))</f>
        <v>0</v>
      </c>
      <c r="AN79" s="253">
        <f>IF(((SUM($B$59:AN59)+SUM($B$61:AN64))+SUM($B$81:AN81))&lt;0,((SUM($B$59:AN59)+SUM($B$61:AN64))+SUM($B$81:AN81))*0.18-SUM($A$79:AM79),IF(SUM($B$79:AM79)&lt;0,0-SUM($B$79:AM79),0))</f>
        <v>0</v>
      </c>
      <c r="AO79" s="253">
        <f>IF(((SUM($B$59:AO59)+SUM($B$61:AO64))+SUM($B$81:AO81))&lt;0,((SUM($B$59:AO59)+SUM($B$61:AO64))+SUM($B$81:AO81))*0.18-SUM($A$79:AN79),IF(SUM($B$79:AN79)&lt;0,0-SUM($B$79:AN79),0))</f>
        <v>0</v>
      </c>
      <c r="AP79" s="253">
        <f>IF(((SUM($B$59:AP59)+SUM($B$61:AP64))+SUM($B$81:AP81))&lt;0,((SUM($B$59:AP59)+SUM($B$61:AP64))+SUM($B$81:AP81))*0.18-SUM($A$79:AO79),IF(SUM($B$79:AO79)&lt;0,0-SUM($B$79:AO79),0))</f>
        <v>0</v>
      </c>
    </row>
    <row r="80" spans="1:45" x14ac:dyDescent="0.2">
      <c r="A80" s="312" t="s">
        <v>251</v>
      </c>
      <c r="B80" s="253">
        <f>-B59*(B39)</f>
        <v>0</v>
      </c>
      <c r="C80" s="253">
        <f t="shared" ref="C80:AP80" si="61">-(C59-B59)*$B$39</f>
        <v>0</v>
      </c>
      <c r="D80" s="253">
        <f t="shared" si="61"/>
        <v>0</v>
      </c>
      <c r="E80" s="253">
        <f t="shared" si="61"/>
        <v>0</v>
      </c>
      <c r="F80" s="253">
        <f t="shared" si="61"/>
        <v>0</v>
      </c>
      <c r="G80" s="253">
        <f t="shared" si="61"/>
        <v>0</v>
      </c>
      <c r="H80" s="253">
        <f t="shared" si="61"/>
        <v>0</v>
      </c>
      <c r="I80" s="253">
        <f t="shared" si="61"/>
        <v>0</v>
      </c>
      <c r="J80" s="253">
        <f t="shared" si="61"/>
        <v>0</v>
      </c>
      <c r="K80" s="253">
        <f t="shared" si="61"/>
        <v>0</v>
      </c>
      <c r="L80" s="253">
        <f t="shared" si="61"/>
        <v>0</v>
      </c>
      <c r="M80" s="253">
        <f t="shared" si="61"/>
        <v>0</v>
      </c>
      <c r="N80" s="253">
        <f t="shared" si="61"/>
        <v>0</v>
      </c>
      <c r="O80" s="253">
        <f t="shared" si="61"/>
        <v>0</v>
      </c>
      <c r="P80" s="253">
        <f t="shared" si="61"/>
        <v>0</v>
      </c>
      <c r="Q80" s="253">
        <f t="shared" si="61"/>
        <v>0</v>
      </c>
      <c r="R80" s="253">
        <f t="shared" si="61"/>
        <v>0</v>
      </c>
      <c r="S80" s="253">
        <f t="shared" si="61"/>
        <v>0</v>
      </c>
      <c r="T80" s="253">
        <f t="shared" si="61"/>
        <v>0</v>
      </c>
      <c r="U80" s="253">
        <f t="shared" si="61"/>
        <v>0</v>
      </c>
      <c r="V80" s="253">
        <f t="shared" si="61"/>
        <v>0</v>
      </c>
      <c r="W80" s="253">
        <f t="shared" si="61"/>
        <v>0</v>
      </c>
      <c r="X80" s="253">
        <f t="shared" si="61"/>
        <v>0</v>
      </c>
      <c r="Y80" s="253">
        <f t="shared" si="61"/>
        <v>0</v>
      </c>
      <c r="Z80" s="253">
        <f t="shared" si="61"/>
        <v>0</v>
      </c>
      <c r="AA80" s="253">
        <f t="shared" si="61"/>
        <v>0</v>
      </c>
      <c r="AB80" s="253">
        <f t="shared" si="61"/>
        <v>0</v>
      </c>
      <c r="AC80" s="253">
        <f t="shared" si="61"/>
        <v>0</v>
      </c>
      <c r="AD80" s="253">
        <f t="shared" si="61"/>
        <v>0</v>
      </c>
      <c r="AE80" s="253">
        <f t="shared" si="61"/>
        <v>0</v>
      </c>
      <c r="AF80" s="253">
        <f t="shared" si="61"/>
        <v>0</v>
      </c>
      <c r="AG80" s="253">
        <f t="shared" si="61"/>
        <v>0</v>
      </c>
      <c r="AH80" s="253">
        <f t="shared" si="61"/>
        <v>0</v>
      </c>
      <c r="AI80" s="253">
        <f t="shared" si="61"/>
        <v>0</v>
      </c>
      <c r="AJ80" s="253">
        <f t="shared" si="61"/>
        <v>0</v>
      </c>
      <c r="AK80" s="253">
        <f t="shared" si="61"/>
        <v>0</v>
      </c>
      <c r="AL80" s="253">
        <f t="shared" si="61"/>
        <v>0</v>
      </c>
      <c r="AM80" s="253">
        <f t="shared" si="61"/>
        <v>0</v>
      </c>
      <c r="AN80" s="253">
        <f t="shared" si="61"/>
        <v>0</v>
      </c>
      <c r="AO80" s="253">
        <f t="shared" si="61"/>
        <v>0</v>
      </c>
      <c r="AP80" s="253">
        <f t="shared" si="61"/>
        <v>0</v>
      </c>
    </row>
    <row r="81" spans="1:44" x14ac:dyDescent="0.2">
      <c r="A81" s="312" t="s">
        <v>434</v>
      </c>
      <c r="B81" s="253">
        <f>'6.2. Паспорт фин осв ввод'!T24*(-1000000)</f>
        <v>-36998799.999999963</v>
      </c>
      <c r="C81" s="253">
        <f>'6.2. Паспорт фин осв ввод'!X24*(-1000000)</f>
        <v>-92843695.639564022</v>
      </c>
      <c r="D81" s="253">
        <f>'6.2. Паспорт фин осв ввод'!AB24*(-1000000)</f>
        <v>-92843695.639564022</v>
      </c>
      <c r="E81" s="253">
        <v>0</v>
      </c>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L81" s="253"/>
      <c r="AM81" s="253"/>
      <c r="AN81" s="253"/>
      <c r="AO81" s="253"/>
      <c r="AP81" s="253"/>
      <c r="AQ81" s="313">
        <f>SUM(B81:AP81)</f>
        <v>-222686191.27912802</v>
      </c>
      <c r="AR81" s="314"/>
    </row>
    <row r="82" spans="1:44" x14ac:dyDescent="0.2">
      <c r="A82" s="312" t="s">
        <v>250</v>
      </c>
      <c r="B82" s="253">
        <f t="shared" ref="B82:AO82" si="62">B54-B55</f>
        <v>0</v>
      </c>
      <c r="C82" s="253">
        <f t="shared" si="62"/>
        <v>0</v>
      </c>
      <c r="D82" s="253">
        <f t="shared" si="62"/>
        <v>0</v>
      </c>
      <c r="E82" s="253">
        <f t="shared" si="62"/>
        <v>0</v>
      </c>
      <c r="F82" s="253">
        <f t="shared" si="62"/>
        <v>0</v>
      </c>
      <c r="G82" s="253">
        <f t="shared" si="62"/>
        <v>0</v>
      </c>
      <c r="H82" s="253">
        <f t="shared" si="62"/>
        <v>0</v>
      </c>
      <c r="I82" s="253">
        <f t="shared" si="62"/>
        <v>0</v>
      </c>
      <c r="J82" s="253">
        <f t="shared" si="62"/>
        <v>0</v>
      </c>
      <c r="K82" s="253">
        <f t="shared" si="62"/>
        <v>0</v>
      </c>
      <c r="L82" s="253">
        <f t="shared" si="62"/>
        <v>0</v>
      </c>
      <c r="M82" s="253">
        <f t="shared" si="62"/>
        <v>0</v>
      </c>
      <c r="N82" s="253">
        <f t="shared" si="62"/>
        <v>0</v>
      </c>
      <c r="O82" s="253">
        <f t="shared" si="62"/>
        <v>0</v>
      </c>
      <c r="P82" s="253">
        <f t="shared" si="62"/>
        <v>0</v>
      </c>
      <c r="Q82" s="253">
        <f t="shared" si="62"/>
        <v>0</v>
      </c>
      <c r="R82" s="253">
        <f t="shared" si="62"/>
        <v>0</v>
      </c>
      <c r="S82" s="253">
        <f t="shared" si="62"/>
        <v>0</v>
      </c>
      <c r="T82" s="253">
        <f t="shared" si="62"/>
        <v>0</v>
      </c>
      <c r="U82" s="253">
        <f t="shared" si="62"/>
        <v>0</v>
      </c>
      <c r="V82" s="253">
        <f t="shared" si="62"/>
        <v>0</v>
      </c>
      <c r="W82" s="253">
        <f t="shared" si="62"/>
        <v>0</v>
      </c>
      <c r="X82" s="253">
        <f t="shared" si="62"/>
        <v>0</v>
      </c>
      <c r="Y82" s="253">
        <f t="shared" si="62"/>
        <v>0</v>
      </c>
      <c r="Z82" s="253">
        <f t="shared" si="62"/>
        <v>0</v>
      </c>
      <c r="AA82" s="253">
        <f t="shared" si="62"/>
        <v>0</v>
      </c>
      <c r="AB82" s="253">
        <f t="shared" si="62"/>
        <v>0</v>
      </c>
      <c r="AC82" s="253">
        <f t="shared" si="62"/>
        <v>0</v>
      </c>
      <c r="AD82" s="253">
        <f t="shared" si="62"/>
        <v>0</v>
      </c>
      <c r="AE82" s="253">
        <f t="shared" si="62"/>
        <v>0</v>
      </c>
      <c r="AF82" s="253">
        <f t="shared" si="62"/>
        <v>0</v>
      </c>
      <c r="AG82" s="253">
        <f t="shared" si="62"/>
        <v>0</v>
      </c>
      <c r="AH82" s="253">
        <f t="shared" si="62"/>
        <v>0</v>
      </c>
      <c r="AI82" s="253">
        <f t="shared" si="62"/>
        <v>0</v>
      </c>
      <c r="AJ82" s="253">
        <f t="shared" si="62"/>
        <v>0</v>
      </c>
      <c r="AK82" s="253">
        <f t="shared" si="62"/>
        <v>0</v>
      </c>
      <c r="AL82" s="253">
        <f t="shared" si="62"/>
        <v>0</v>
      </c>
      <c r="AM82" s="253">
        <f t="shared" si="62"/>
        <v>0</v>
      </c>
      <c r="AN82" s="253">
        <f t="shared" si="62"/>
        <v>0</v>
      </c>
      <c r="AO82" s="253">
        <f t="shared" si="62"/>
        <v>0</v>
      </c>
      <c r="AP82" s="253">
        <f>AP54-AP55</f>
        <v>0</v>
      </c>
    </row>
    <row r="83" spans="1:44" ht="14.25" x14ac:dyDescent="0.2">
      <c r="A83" s="257" t="s">
        <v>249</v>
      </c>
      <c r="B83" s="256">
        <f>SUM(B75:B82)</f>
        <v>-43658583.999999955</v>
      </c>
      <c r="C83" s="256">
        <f t="shared" ref="C83:V83" si="63">SUM(C75:C82)</f>
        <v>-109555560.85468554</v>
      </c>
      <c r="D83" s="256">
        <f>SUM(D75:D82)</f>
        <v>-109555560.85468554</v>
      </c>
      <c r="E83" s="256">
        <f>SUM(E75:E82)</f>
        <v>14436666.751454702</v>
      </c>
      <c r="F83" s="256">
        <f t="shared" si="63"/>
        <v>20858634.920822624</v>
      </c>
      <c r="G83" s="256">
        <f t="shared" si="63"/>
        <v>17885323.298475947</v>
      </c>
      <c r="H83" s="256">
        <f t="shared" si="63"/>
        <v>19585189.872963175</v>
      </c>
      <c r="I83" s="256">
        <f t="shared" si="63"/>
        <v>20447547.958158445</v>
      </c>
      <c r="J83" s="256">
        <f t="shared" si="63"/>
        <v>21350436.873357896</v>
      </c>
      <c r="K83" s="256">
        <f t="shared" si="63"/>
        <v>22295761.567571718</v>
      </c>
      <c r="L83" s="256">
        <f t="shared" si="63"/>
        <v>23285516.522413597</v>
      </c>
      <c r="M83" s="256">
        <f t="shared" si="63"/>
        <v>22295761.567571722</v>
      </c>
      <c r="N83" s="256">
        <f t="shared" si="63"/>
        <v>23285516.522413597</v>
      </c>
      <c r="O83" s="256">
        <f t="shared" si="63"/>
        <v>24321789.960133046</v>
      </c>
      <c r="P83" s="256">
        <f t="shared" si="63"/>
        <v>22432916.067513287</v>
      </c>
      <c r="Q83" s="256">
        <f t="shared" si="63"/>
        <v>21894774.087684244</v>
      </c>
      <c r="R83" s="256">
        <f t="shared" si="63"/>
        <v>22865682.630971409</v>
      </c>
      <c r="S83" s="256">
        <f t="shared" si="63"/>
        <v>23882223.87579307</v>
      </c>
      <c r="T83" s="256">
        <f t="shared" si="63"/>
        <v>24946542.559121348</v>
      </c>
      <c r="U83" s="256">
        <f t="shared" si="63"/>
        <v>26060884.220566057</v>
      </c>
      <c r="V83" s="256">
        <f t="shared" si="63"/>
        <v>27227599.940098666</v>
      </c>
      <c r="W83" s="256">
        <f>SUM(W75:W82)</f>
        <v>28449151.298449308</v>
      </c>
      <c r="X83" s="256">
        <f>SUM(X75:X82)</f>
        <v>29728115.570642434</v>
      </c>
      <c r="Y83" s="256">
        <f>SUM(Y75:Y82)</f>
        <v>31067191.163628623</v>
      </c>
      <c r="Z83" s="256">
        <f>SUM(Z75:Z82)</f>
        <v>32469203.309485167</v>
      </c>
      <c r="AA83" s="256">
        <f t="shared" ref="AA83:AP83" si="64">SUM(AA75:AA82)</f>
        <v>33937110.026196972</v>
      </c>
      <c r="AB83" s="256">
        <f t="shared" si="64"/>
        <v>35474008.358594239</v>
      </c>
      <c r="AC83" s="256">
        <f t="shared" si="64"/>
        <v>37083140.912614167</v>
      </c>
      <c r="AD83" s="256">
        <f t="shared" si="64"/>
        <v>38767902.696673043</v>
      </c>
      <c r="AE83" s="256">
        <f t="shared" si="64"/>
        <v>40531848.284582667</v>
      </c>
      <c r="AF83" s="256">
        <f t="shared" si="64"/>
        <v>42182225.801236682</v>
      </c>
      <c r="AG83" s="256">
        <f t="shared" si="64"/>
        <v>43901919.173590161</v>
      </c>
      <c r="AH83" s="256">
        <f t="shared" si="64"/>
        <v>45693839.667582497</v>
      </c>
      <c r="AI83" s="256">
        <f t="shared" si="64"/>
        <v>47561020.82232248</v>
      </c>
      <c r="AJ83" s="256">
        <f t="shared" si="64"/>
        <v>49506623.585561574</v>
      </c>
      <c r="AK83" s="256">
        <f t="shared" si="64"/>
        <v>51533941.664856687</v>
      </c>
      <c r="AL83" s="256">
        <f t="shared" si="64"/>
        <v>53646407.103482224</v>
      </c>
      <c r="AM83" s="256">
        <f t="shared" si="64"/>
        <v>55847596.090530023</v>
      </c>
      <c r="AN83" s="256">
        <f t="shared" si="64"/>
        <v>58141235.015033811</v>
      </c>
      <c r="AO83" s="256">
        <f t="shared" si="64"/>
        <v>60531206.774366766</v>
      </c>
      <c r="AP83" s="256">
        <f t="shared" si="64"/>
        <v>63021557.347591713</v>
      </c>
    </row>
    <row r="84" spans="1:44" ht="14.25" x14ac:dyDescent="0.2">
      <c r="A84" s="257" t="s">
        <v>589</v>
      </c>
      <c r="B84" s="256">
        <f>SUM($B$83:B83)</f>
        <v>-43658583.999999955</v>
      </c>
      <c r="C84" s="256">
        <f>SUM($B$83:C83)</f>
        <v>-153214144.85468549</v>
      </c>
      <c r="D84" s="256">
        <f>SUM($B$83:D83)</f>
        <v>-262769705.70937103</v>
      </c>
      <c r="E84" s="256">
        <f>SUM($B$83:E83)</f>
        <v>-248333038.95791632</v>
      </c>
      <c r="F84" s="256">
        <f>SUM($B$83:F83)</f>
        <v>-227474404.0370937</v>
      </c>
      <c r="G84" s="256">
        <f>SUM($B$83:G83)</f>
        <v>-209589080.73861775</v>
      </c>
      <c r="H84" s="256">
        <f>SUM($B$83:H83)</f>
        <v>-190003890.86565459</v>
      </c>
      <c r="I84" s="256">
        <f>SUM($B$83:I83)</f>
        <v>-169556342.90749615</v>
      </c>
      <c r="J84" s="256">
        <f>SUM($B$83:J83)</f>
        <v>-148205906.03413826</v>
      </c>
      <c r="K84" s="256">
        <f>SUM($B$83:K83)</f>
        <v>-125910144.46656655</v>
      </c>
      <c r="L84" s="256">
        <f>SUM($B$83:L83)</f>
        <v>-102624627.94415295</v>
      </c>
      <c r="M84" s="256">
        <f>SUM($B$83:M83)</f>
        <v>-80328866.376581222</v>
      </c>
      <c r="N84" s="256">
        <f>SUM($B$83:N83)</f>
        <v>-57043349.854167625</v>
      </c>
      <c r="O84" s="256">
        <f>SUM($B$83:O83)</f>
        <v>-32721559.894034579</v>
      </c>
      <c r="P84" s="256">
        <f>SUM($B$83:P83)</f>
        <v>-10288643.826521292</v>
      </c>
      <c r="Q84" s="256">
        <f>SUM($B$83:Q83)</f>
        <v>11606130.261162952</v>
      </c>
      <c r="R84" s="256">
        <f>SUM($B$83:R83)</f>
        <v>34471812.892134361</v>
      </c>
      <c r="S84" s="256">
        <f>SUM($B$83:S83)</f>
        <v>58354036.767927431</v>
      </c>
      <c r="T84" s="256">
        <f>SUM($B$83:T83)</f>
        <v>83300579.327048779</v>
      </c>
      <c r="U84" s="256">
        <f>SUM($B$83:U83)</f>
        <v>109361463.54761484</v>
      </c>
      <c r="V84" s="256">
        <f>SUM($B$83:V83)</f>
        <v>136589063.48771352</v>
      </c>
      <c r="W84" s="256">
        <f>SUM($B$83:W83)</f>
        <v>165038214.78616282</v>
      </c>
      <c r="X84" s="256">
        <f>SUM($B$83:X83)</f>
        <v>194766330.35680526</v>
      </c>
      <c r="Y84" s="256">
        <f>SUM($B$83:Y83)</f>
        <v>225833521.5204339</v>
      </c>
      <c r="Z84" s="256">
        <f>SUM($B$83:Z83)</f>
        <v>258302724.82991907</v>
      </c>
      <c r="AA84" s="256">
        <f>SUM($B$83:AA83)</f>
        <v>292239834.85611606</v>
      </c>
      <c r="AB84" s="256">
        <f>SUM($B$83:AB83)</f>
        <v>327713843.2147103</v>
      </c>
      <c r="AC84" s="256">
        <f>SUM($B$83:AC83)</f>
        <v>364796984.12732446</v>
      </c>
      <c r="AD84" s="256">
        <f>SUM($B$83:AD83)</f>
        <v>403564886.8239975</v>
      </c>
      <c r="AE84" s="256">
        <f>SUM($B$83:AE83)</f>
        <v>444096735.10858017</v>
      </c>
      <c r="AF84" s="256">
        <f>SUM($B$83:AF83)</f>
        <v>486278960.90981686</v>
      </c>
      <c r="AG84" s="256">
        <f>SUM($B$83:AG83)</f>
        <v>530180880.08340704</v>
      </c>
      <c r="AH84" s="256">
        <f>SUM($B$83:AH83)</f>
        <v>575874719.75098956</v>
      </c>
      <c r="AI84" s="256">
        <f>SUM($B$83:AI83)</f>
        <v>623435740.57331204</v>
      </c>
      <c r="AJ84" s="256">
        <f>SUM($B$83:AJ83)</f>
        <v>672942364.15887356</v>
      </c>
      <c r="AK84" s="256">
        <f>SUM($B$83:AK83)</f>
        <v>724476305.82373023</v>
      </c>
      <c r="AL84" s="256">
        <f>SUM($B$83:AL83)</f>
        <v>778122712.92721248</v>
      </c>
      <c r="AM84" s="256">
        <f>SUM($B$83:AM83)</f>
        <v>833970309.01774251</v>
      </c>
      <c r="AN84" s="256">
        <f>SUM($B$83:AN83)</f>
        <v>892111544.03277636</v>
      </c>
      <c r="AO84" s="256">
        <f>SUM($B$83:AO83)</f>
        <v>952642750.80714309</v>
      </c>
      <c r="AP84" s="256">
        <f>SUM($B$83:AP83)</f>
        <v>1015664308.1547348</v>
      </c>
    </row>
    <row r="85" spans="1:44" x14ac:dyDescent="0.2">
      <c r="A85" s="312" t="s">
        <v>435</v>
      </c>
      <c r="B85" s="260">
        <f>1/POWER((1+$B$44),B73)</f>
        <v>0.95402649883562884</v>
      </c>
      <c r="C85" s="260">
        <f>1/POWER((1+$B$44),C73)</f>
        <v>1</v>
      </c>
      <c r="D85" s="260">
        <f t="shared" ref="D85:AP85" si="65">1/POWER((1+$B$44),D73)</f>
        <v>0.79031857381682236</v>
      </c>
      <c r="E85" s="260">
        <f t="shared" si="65"/>
        <v>0.71932153801476506</v>
      </c>
      <c r="F85" s="260">
        <f t="shared" si="65"/>
        <v>0.65470241013449082</v>
      </c>
      <c r="G85" s="260">
        <f t="shared" si="65"/>
        <v>0.59588824077044755</v>
      </c>
      <c r="H85" s="260">
        <f t="shared" si="65"/>
        <v>0.54235755053285484</v>
      </c>
      <c r="I85" s="260">
        <f t="shared" si="65"/>
        <v>0.49363570631915432</v>
      </c>
      <c r="J85" s="260">
        <f t="shared" si="65"/>
        <v>0.44929071295090039</v>
      </c>
      <c r="K85" s="260">
        <f t="shared" si="65"/>
        <v>0.40892938286238317</v>
      </c>
      <c r="L85" s="260">
        <f t="shared" si="65"/>
        <v>0.37219384987929666</v>
      </c>
      <c r="M85" s="260">
        <f t="shared" si="65"/>
        <v>0.3387583961766602</v>
      </c>
      <c r="N85" s="260">
        <f t="shared" si="65"/>
        <v>0.30832656428202437</v>
      </c>
      <c r="O85" s="260">
        <f t="shared" si="65"/>
        <v>0.28062852851736092</v>
      </c>
      <c r="P85" s="260">
        <f t="shared" si="65"/>
        <v>0.25541870257336935</v>
      </c>
      <c r="Q85" s="260">
        <f t="shared" si="65"/>
        <v>0.23247356200361272</v>
      </c>
      <c r="R85" s="260">
        <f t="shared" si="65"/>
        <v>0.21158966233149432</v>
      </c>
      <c r="S85" s="260">
        <f t="shared" si="65"/>
        <v>0.19258183519750091</v>
      </c>
      <c r="T85" s="260">
        <f t="shared" si="65"/>
        <v>0.17528154655274497</v>
      </c>
      <c r="U85" s="260">
        <f t="shared" si="65"/>
        <v>0.15953540234162647</v>
      </c>
      <c r="V85" s="260">
        <f t="shared" si="65"/>
        <v>0.14520378842416171</v>
      </c>
      <c r="W85" s="260">
        <f t="shared" si="65"/>
        <v>0.13215963267876735</v>
      </c>
      <c r="X85" s="260">
        <f t="shared" si="65"/>
        <v>0.12028727830960895</v>
      </c>
      <c r="Y85" s="260">
        <f t="shared" si="65"/>
        <v>0.10948145836862559</v>
      </c>
      <c r="Z85" s="260">
        <f t="shared" si="65"/>
        <v>9.9646362399768443E-2</v>
      </c>
      <c r="AA85" s="260">
        <f t="shared" si="65"/>
        <v>9.0694786929797461E-2</v>
      </c>
      <c r="AB85" s="260">
        <f t="shared" si="65"/>
        <v>8.2547362273411681E-2</v>
      </c>
      <c r="AC85" s="260">
        <f t="shared" si="65"/>
        <v>7.5131848797134526E-2</v>
      </c>
      <c r="AD85" s="260">
        <f t="shared" si="65"/>
        <v>6.8382496402234039E-2</v>
      </c>
      <c r="AE85" s="260">
        <f t="shared" si="65"/>
        <v>6.2239461547496142E-2</v>
      </c>
      <c r="AF85" s="260">
        <f t="shared" si="65"/>
        <v>5.6648276642847148E-2</v>
      </c>
      <c r="AG85" s="260">
        <f t="shared" si="65"/>
        <v>5.1559367109171889E-2</v>
      </c>
      <c r="AH85" s="260">
        <f t="shared" si="65"/>
        <v>4.6927611822309881E-2</v>
      </c>
      <c r="AI85" s="260">
        <f t="shared" si="65"/>
        <v>4.2711943043879028E-2</v>
      </c>
      <c r="AJ85" s="260">
        <f t="shared" si="65"/>
        <v>3.88749822916893E-2</v>
      </c>
      <c r="AK85" s="260">
        <f t="shared" si="65"/>
        <v>3.5382708921169827E-2</v>
      </c>
      <c r="AL85" s="260">
        <f t="shared" si="65"/>
        <v>3.2204158479266255E-2</v>
      </c>
      <c r="AM85" s="260">
        <f t="shared" si="65"/>
        <v>2.9311148156244884E-2</v>
      </c>
      <c r="AN85" s="260">
        <f t="shared" si="65"/>
        <v>2.6678026901105743E-2</v>
      </c>
      <c r="AO85" s="260">
        <f t="shared" si="65"/>
        <v>2.4281447984987482E-2</v>
      </c>
      <c r="AP85" s="260">
        <f t="shared" si="65"/>
        <v>2.2100161995983875E-2</v>
      </c>
    </row>
    <row r="86" spans="1:44" ht="28.5" x14ac:dyDescent="0.2">
      <c r="A86" s="255" t="s">
        <v>590</v>
      </c>
      <c r="B86" s="256">
        <f>B83*B85</f>
        <v>-41651446.03764116</v>
      </c>
      <c r="C86" s="256">
        <f>C83*C85</f>
        <v>-109555560.85468554</v>
      </c>
      <c r="D86" s="256">
        <f t="shared" ref="D86:AO86" si="66">D83*D85</f>
        <v>-86583794.608377174</v>
      </c>
      <c r="E86" s="256">
        <f t="shared" si="66"/>
        <v>10384605.331463018</v>
      </c>
      <c r="F86" s="256">
        <f t="shared" si="66"/>
        <v>13656198.554778026</v>
      </c>
      <c r="G86" s="256">
        <f t="shared" si="66"/>
        <v>10657653.83593953</v>
      </c>
      <c r="H86" s="256">
        <f t="shared" si="66"/>
        <v>10622175.606221182</v>
      </c>
      <c r="I86" s="256">
        <f t="shared" si="66"/>
        <v>10093639.778820325</v>
      </c>
      <c r="J86" s="256">
        <f t="shared" si="66"/>
        <v>9592553.0046441611</v>
      </c>
      <c r="K86" s="256">
        <f t="shared" si="66"/>
        <v>9117392.018273944</v>
      </c>
      <c r="L86" s="256">
        <f t="shared" si="66"/>
        <v>8666726.0409050882</v>
      </c>
      <c r="M86" s="256">
        <f t="shared" si="66"/>
        <v>7552876.4301678156</v>
      </c>
      <c r="N86" s="256">
        <f t="shared" si="66"/>
        <v>7179543.306888096</v>
      </c>
      <c r="O86" s="256">
        <f t="shared" si="66"/>
        <v>6825388.1274204589</v>
      </c>
      <c r="P86" s="256">
        <f t="shared" si="66"/>
        <v>5729786.3169015348</v>
      </c>
      <c r="Q86" s="256">
        <f t="shared" si="66"/>
        <v>5089956.1214283565</v>
      </c>
      <c r="R86" s="256">
        <f t="shared" si="66"/>
        <v>4838142.066866355</v>
      </c>
      <c r="S86" s="256">
        <f t="shared" si="66"/>
        <v>4599282.5025978023</v>
      </c>
      <c r="T86" s="256">
        <f t="shared" si="66"/>
        <v>4372668.5609066626</v>
      </c>
      <c r="U86" s="256">
        <f t="shared" si="66"/>
        <v>4157633.6495065503</v>
      </c>
      <c r="V86" s="256">
        <f t="shared" si="66"/>
        <v>3953550.6609998047</v>
      </c>
      <c r="W86" s="256">
        <f t="shared" si="66"/>
        <v>3759829.3856257377</v>
      </c>
      <c r="X86" s="256">
        <f t="shared" si="66"/>
        <v>3575914.1112660859</v>
      </c>
      <c r="Y86" s="256">
        <f t="shared" si="66"/>
        <v>3401281.39601094</v>
      </c>
      <c r="Z86" s="256">
        <f t="shared" si="66"/>
        <v>3235437.9998087198</v>
      </c>
      <c r="AA86" s="256">
        <f t="shared" si="66"/>
        <v>3077918.9628390274</v>
      </c>
      <c r="AB86" s="256">
        <f t="shared" si="66"/>
        <v>2928285.8192669125</v>
      </c>
      <c r="AC86" s="256">
        <f t="shared" si="66"/>
        <v>2786124.9359693606</v>
      </c>
      <c r="AD86" s="256">
        <f t="shared" si="66"/>
        <v>2651045.9666774035</v>
      </c>
      <c r="AE86" s="256">
        <f t="shared" si="66"/>
        <v>2522680.4127572305</v>
      </c>
      <c r="AF86" s="256">
        <f t="shared" si="66"/>
        <v>2389550.3965995004</v>
      </c>
      <c r="AG86" s="256">
        <f t="shared" si="66"/>
        <v>2263555.1674683271</v>
      </c>
      <c r="AH86" s="256">
        <f t="shared" si="66"/>
        <v>2144302.7705911766</v>
      </c>
      <c r="AI86" s="256">
        <f t="shared" si="66"/>
        <v>2031423.6124717824</v>
      </c>
      <c r="AJ86" s="256">
        <f t="shared" si="66"/>
        <v>1924569.115210034</v>
      </c>
      <c r="AK86" s="256">
        <f t="shared" si="66"/>
        <v>1823410.4574881701</v>
      </c>
      <c r="AL86" s="256">
        <f t="shared" si="66"/>
        <v>1727637.3962037766</v>
      </c>
      <c r="AM86" s="256">
        <f t="shared" si="66"/>
        <v>1636957.1631796481</v>
      </c>
      <c r="AN86" s="256">
        <f t="shared" si="66"/>
        <v>1551093.4317945831</v>
      </c>
      <c r="AO86" s="256">
        <f t="shared" si="66"/>
        <v>1469785.3487603085</v>
      </c>
      <c r="AP86" s="256">
        <f>AP83*AP85</f>
        <v>1392786.6266209648</v>
      </c>
    </row>
    <row r="87" spans="1:44" ht="14.25" x14ac:dyDescent="0.2">
      <c r="A87" s="255" t="s">
        <v>591</v>
      </c>
      <c r="B87" s="256">
        <f>SUM($B$86:B86)</f>
        <v>-41651446.03764116</v>
      </c>
      <c r="C87" s="256">
        <f>SUM($B$86:C86)</f>
        <v>-151207006.89232671</v>
      </c>
      <c r="D87" s="256">
        <f>SUM($B$86:D86)</f>
        <v>-237790801.50070387</v>
      </c>
      <c r="E87" s="256">
        <f>SUM($B$86:E86)</f>
        <v>-227406196.16924086</v>
      </c>
      <c r="F87" s="256">
        <f>SUM($B$86:F86)</f>
        <v>-213749997.61446282</v>
      </c>
      <c r="G87" s="256">
        <f>SUM($B$86:G86)</f>
        <v>-203092343.7785233</v>
      </c>
      <c r="H87" s="256">
        <f>SUM($B$86:H86)</f>
        <v>-192470168.17230213</v>
      </c>
      <c r="I87" s="256">
        <f>SUM($B$86:I86)</f>
        <v>-182376528.39348179</v>
      </c>
      <c r="J87" s="256">
        <f>SUM($B$86:J86)</f>
        <v>-172783975.38883764</v>
      </c>
      <c r="K87" s="256">
        <f>SUM($B$86:K86)</f>
        <v>-163666583.37056369</v>
      </c>
      <c r="L87" s="256">
        <f>SUM($B$86:L86)</f>
        <v>-154999857.3296586</v>
      </c>
      <c r="M87" s="256">
        <f>SUM($B$86:M86)</f>
        <v>-147446980.89949077</v>
      </c>
      <c r="N87" s="256">
        <f>SUM($B$86:N86)</f>
        <v>-140267437.59260267</v>
      </c>
      <c r="O87" s="256">
        <f>SUM($B$86:O86)</f>
        <v>-133442049.46518221</v>
      </c>
      <c r="P87" s="256">
        <f>SUM($B$86:P86)</f>
        <v>-127712263.14828068</v>
      </c>
      <c r="Q87" s="256">
        <f>SUM($B$86:Q86)</f>
        <v>-122622307.02685232</v>
      </c>
      <c r="R87" s="256">
        <f>SUM($B$86:R86)</f>
        <v>-117784164.95998597</v>
      </c>
      <c r="S87" s="256">
        <f>SUM($B$86:S86)</f>
        <v>-113184882.45738816</v>
      </c>
      <c r="T87" s="256">
        <f>SUM($B$86:T86)</f>
        <v>-108812213.8964815</v>
      </c>
      <c r="U87" s="256">
        <f>SUM($B$86:U86)</f>
        <v>-104654580.24697495</v>
      </c>
      <c r="V87" s="256">
        <f>SUM($B$86:V86)</f>
        <v>-100701029.58597514</v>
      </c>
      <c r="W87" s="256">
        <f>SUM($B$86:W86)</f>
        <v>-96941200.200349405</v>
      </c>
      <c r="X87" s="256">
        <f>SUM($B$86:X86)</f>
        <v>-93365286.089083314</v>
      </c>
      <c r="Y87" s="256">
        <f>SUM($B$86:Y86)</f>
        <v>-89964004.693072379</v>
      </c>
      <c r="Z87" s="256">
        <f>SUM($B$86:Z86)</f>
        <v>-86728566.693263665</v>
      </c>
      <c r="AA87" s="256">
        <f>SUM($B$86:AA86)</f>
        <v>-83650647.730424643</v>
      </c>
      <c r="AB87" s="256">
        <f>SUM($B$86:AB86)</f>
        <v>-80722361.911157727</v>
      </c>
      <c r="AC87" s="256">
        <f>SUM($B$86:AC86)</f>
        <v>-77936236.97518836</v>
      </c>
      <c r="AD87" s="256">
        <f>SUM($B$86:AD86)</f>
        <v>-75285191.008510962</v>
      </c>
      <c r="AE87" s="256">
        <f>SUM($B$86:AE86)</f>
        <v>-72762510.595753729</v>
      </c>
      <c r="AF87" s="256">
        <f>SUM($B$86:AF86)</f>
        <v>-70372960.199154228</v>
      </c>
      <c r="AG87" s="256">
        <f>SUM($B$86:AG86)</f>
        <v>-68109405.031685904</v>
      </c>
      <c r="AH87" s="256">
        <f>SUM($B$86:AH86)</f>
        <v>-65965102.261094727</v>
      </c>
      <c r="AI87" s="256">
        <f>SUM($B$86:AI86)</f>
        <v>-63933678.648622945</v>
      </c>
      <c r="AJ87" s="256">
        <f>SUM($B$86:AJ86)</f>
        <v>-62009109.533412911</v>
      </c>
      <c r="AK87" s="256">
        <f>SUM($B$86:AK86)</f>
        <v>-60185699.075924739</v>
      </c>
      <c r="AL87" s="256">
        <f>SUM($B$86:AL86)</f>
        <v>-58458061.679720961</v>
      </c>
      <c r="AM87" s="256">
        <f>SUM($B$86:AM86)</f>
        <v>-56821104.51654131</v>
      </c>
      <c r="AN87" s="256">
        <f>SUM($B$86:AN86)</f>
        <v>-55270011.084746726</v>
      </c>
      <c r="AO87" s="256">
        <f>SUM($B$86:AO86)</f>
        <v>-53800225.735986419</v>
      </c>
      <c r="AP87" s="256">
        <f>SUM($B$86:AP86)</f>
        <v>-52407439.109365456</v>
      </c>
    </row>
    <row r="88" spans="1:44" ht="14.25" x14ac:dyDescent="0.2">
      <c r="A88" s="255" t="s">
        <v>592</v>
      </c>
      <c r="B88" s="261">
        <f>IF((ISERR(IRR($B$83:B83))),0,IF(IRR($B$83:B83)&lt;0,0,IRR($B$83:B83)))</f>
        <v>0</v>
      </c>
      <c r="C88" s="262">
        <f>IF((ISERR(IRR($B$83:C83))),0,IF(IRR($B$83:C83)&lt;0,0,IRR($B$83:C83)))</f>
        <v>0</v>
      </c>
      <c r="D88" s="262">
        <f>IF((ISERR(IRR($B$83:D83))),0,IF(IRR($B$83:D83)&lt;0,0,IRR($B$83:D83)))</f>
        <v>0</v>
      </c>
      <c r="E88" s="262">
        <f>IF((ISERR(IRR($B$83:E83))),0,IF(IRR($B$83:E83)&lt;0,0,IRR($B$83:E83)))</f>
        <v>0</v>
      </c>
      <c r="F88" s="262">
        <f>IF((ISERR(IRR($B$83:F83))),0,IF(IRR($B$83:F83)&lt;0,0,IRR($B$83:F83)))</f>
        <v>0</v>
      </c>
      <c r="G88" s="262">
        <f>IF((ISERR(IRR($B$83:G83))),0,IF(IRR($B$83:G83)&lt;0,0,IRR($B$83:G83)))</f>
        <v>0</v>
      </c>
      <c r="H88" s="262">
        <f>IF((ISERR(IRR($B$83:H83))),0,IF(IRR($B$83:H83)&lt;0,0,IRR($B$83:H83)))</f>
        <v>0</v>
      </c>
      <c r="I88" s="262">
        <f>IF((ISERR(IRR($B$83:I83))),0,IF(IRR($B$83:I83)&lt;0,0,IRR($B$83:I83)))</f>
        <v>0</v>
      </c>
      <c r="J88" s="262">
        <f>IF((ISERR(IRR($B$83:J83))),0,IF(IRR($B$83:J83)&lt;0,0,IRR($B$83:J83)))</f>
        <v>0</v>
      </c>
      <c r="K88" s="262">
        <f>IF((ISERR(IRR($B$83:K83))),0,IF(IRR($B$83:K83)&lt;0,0,IRR($B$83:K83)))</f>
        <v>0</v>
      </c>
      <c r="L88" s="262">
        <f>IF((ISERR(IRR($B$83:L83))),0,IF(IRR($B$83:L83)&lt;0,0,IRR($B$83:L83)))</f>
        <v>0</v>
      </c>
      <c r="M88" s="262">
        <f>IF((ISERR(IRR($B$83:M83))),0,IF(IRR($B$83:M83)&lt;0,0,IRR($B$83:M83)))</f>
        <v>0</v>
      </c>
      <c r="N88" s="262">
        <f>IF((ISERR(IRR($B$83:N83))),0,IF(IRR($B$83:N83)&lt;0,0,IRR($B$83:N83)))</f>
        <v>0</v>
      </c>
      <c r="O88" s="262">
        <f>IF((ISERR(IRR($B$83:O83))),0,IF(IRR($B$83:O83)&lt;0,0,IRR($B$83:O83)))</f>
        <v>0</v>
      </c>
      <c r="P88" s="262">
        <f>IF((ISERR(IRR($B$83:P83))),0,IF(IRR($B$83:P83)&lt;0,0,IRR($B$83:P83)))</f>
        <v>0</v>
      </c>
      <c r="Q88" s="262">
        <f>IF((ISERR(IRR($B$83:Q83))),0,IF(IRR($B$83:Q83)&lt;0,0,IRR($B$83:Q83)))</f>
        <v>5.3756600708181335E-3</v>
      </c>
      <c r="R88" s="262">
        <f>IF((ISERR(IRR($B$83:R83))),0,IF(IRR($B$83:R83)&lt;0,0,IRR($B$83:R83)))</f>
        <v>1.4608009683108936E-2</v>
      </c>
      <c r="S88" s="262">
        <f>IF((ISERR(IRR($B$83:S83))),0,IF(IRR($B$83:S83)&lt;0,0,IRR($B$83:S83)))</f>
        <v>2.2672425715764888E-2</v>
      </c>
      <c r="T88" s="262">
        <f>IF((ISERR(IRR($B$83:T83))),0,IF(IRR($B$83:T83)&lt;0,0,IRR($B$83:T83)))</f>
        <v>2.9738831673300714E-2</v>
      </c>
      <c r="U88" s="262">
        <f>IF((ISERR(IRR($B$83:U83))),0,IF(IRR($B$83:U83)&lt;0,0,IRR($B$83:U83)))</f>
        <v>3.59526425803538E-2</v>
      </c>
      <c r="V88" s="262">
        <f>IF((ISERR(IRR($B$83:V83))),0,IF(IRR($B$83:V83)&lt;0,0,IRR($B$83:V83)))</f>
        <v>4.1436829520691498E-2</v>
      </c>
      <c r="W88" s="262">
        <f>IF((ISERR(IRR($B$83:W83))),0,IF(IRR($B$83:W83)&lt;0,0,IRR($B$83:W83)))</f>
        <v>4.6294848177227843E-2</v>
      </c>
      <c r="X88" s="262">
        <f>IF((ISERR(IRR($B$83:X83))),0,IF(IRR($B$83:X83)&lt;0,0,IRR($B$83:X83)))</f>
        <v>5.0613623192687918E-2</v>
      </c>
      <c r="Y88" s="262">
        <f>IF((ISERR(IRR($B$83:Y83))),0,IF(IRR($B$83:Y83)&lt;0,0,IRR($B$83:Y83)))</f>
        <v>5.4466261617986733E-2</v>
      </c>
      <c r="Z88" s="262">
        <f>IF((ISERR(IRR($B$83:Z83))),0,IF(IRR($B$83:Z83)&lt;0,0,IRR($B$83:Z83)))</f>
        <v>5.7914393417670018E-2</v>
      </c>
      <c r="AA88" s="262">
        <f>IF((ISERR(IRR($B$83:AA83))),0,IF(IRR($B$83:AA83)&lt;0,0,IRR($B$83:AA83)))</f>
        <v>6.1010136419509919E-2</v>
      </c>
      <c r="AB88" s="262">
        <f>IF((ISERR(IRR($B$83:AB83))),0,IF(IRR($B$83:AB83)&lt;0,0,IRR($B$83:AB83)))</f>
        <v>6.3797722676065094E-2</v>
      </c>
      <c r="AC88" s="262">
        <f>IF((ISERR(IRR($B$83:AC83))),0,IF(IRR($B$83:AC83)&lt;0,0,IRR($B$83:AC83)))</f>
        <v>6.6314835038122633E-2</v>
      </c>
      <c r="AD88" s="262">
        <f>IF((ISERR(IRR($B$83:AD83))),0,IF(IRR($B$83:AD83)&lt;0,0,IRR($B$83:AD83)))</f>
        <v>6.8593702370716825E-2</v>
      </c>
      <c r="AE88" s="262">
        <f>IF((ISERR(IRR($B$83:AE83))),0,IF(IRR($B$83:AE83)&lt;0,0,IRR($B$83:AE83)))</f>
        <v>7.0661996684642014E-2</v>
      </c>
      <c r="AF88" s="262">
        <f>IF((ISERR(IRR($B$83:AF83))),0,IF(IRR($B$83:AF83)&lt;0,0,IRR($B$83:AF83)))</f>
        <v>7.2535137493345836E-2</v>
      </c>
      <c r="AG88" s="262">
        <f>IF((ISERR(IRR($B$83:AG83))),0,IF(IRR($B$83:AG83)&lt;0,0,IRR($B$83:AG83)))</f>
        <v>7.4235748888915154E-2</v>
      </c>
      <c r="AH88" s="262">
        <f>IF((ISERR(IRR($B$83:AH83))),0,IF(IRR($B$83:AH83)&lt;0,0,IRR($B$83:AH83)))</f>
        <v>7.5783293987583322E-2</v>
      </c>
      <c r="AI88" s="262">
        <f>IF((ISERR(IRR($B$83:AI83))),0,IF(IRR($B$83:AI83)&lt;0,0,IRR($B$83:AI83)))</f>
        <v>7.7194593526386246E-2</v>
      </c>
      <c r="AJ88" s="262">
        <f>IF((ISERR(IRR($B$83:AJ83))),0,IF(IRR($B$83:AJ83)&lt;0,0,IRR($B$83:AJ83)))</f>
        <v>7.8484246769914945E-2</v>
      </c>
      <c r="AK88" s="262">
        <f>IF((ISERR(IRR($B$83:AK83))),0,IF(IRR($B$83:AK83)&lt;0,0,IRR($B$83:AK83)))</f>
        <v>7.9664975504272206E-2</v>
      </c>
      <c r="AL88" s="262">
        <f>IF((ISERR(IRR($B$83:AL83))),0,IF(IRR($B$83:AL83)&lt;0,0,IRR($B$83:AL83)))</f>
        <v>8.0747906966317506E-2</v>
      </c>
      <c r="AM88" s="262">
        <f>IF((ISERR(IRR($B$83:AM83))),0,IF(IRR($B$83:AM83)&lt;0,0,IRR($B$83:AM83)))</f>
        <v>8.174280792000288E-2</v>
      </c>
      <c r="AN88" s="262">
        <f>IF((ISERR(IRR($B$83:AN83))),0,IF(IRR($B$83:AN83)&lt;0,0,IRR($B$83:AN83)))</f>
        <v>8.2658279375808164E-2</v>
      </c>
      <c r="AO88" s="262">
        <f>IF((ISERR(IRR($B$83:AO83))),0,IF(IRR($B$83:AO83)&lt;0,0,IRR($B$83:AO83)))</f>
        <v>8.3501919398737634E-2</v>
      </c>
      <c r="AP88" s="262">
        <f>IF((ISERR(IRR($B$83:AP83))),0,IF(IRR($B$83:AP83)&lt;0,0,IRR($B$83:AP83)))</f>
        <v>8.4280459886835413E-2</v>
      </c>
    </row>
    <row r="89" spans="1:44" ht="14.25" x14ac:dyDescent="0.2">
      <c r="A89" s="255" t="s">
        <v>593</v>
      </c>
      <c r="B89" s="263">
        <f>IF(AND(B84&gt;0,A84&lt;0),(B74-(B84/(B84-A84))),0)</f>
        <v>0</v>
      </c>
      <c r="C89" s="263">
        <f t="shared" ref="C89:AP89" si="67">IF(AND(C84&gt;0,B84&lt;0),(C74-(C84/(C84-B84))),0)</f>
        <v>0</v>
      </c>
      <c r="D89" s="263">
        <f t="shared" si="67"/>
        <v>0</v>
      </c>
      <c r="E89" s="263">
        <f t="shared" si="67"/>
        <v>0</v>
      </c>
      <c r="F89" s="263">
        <f t="shared" si="67"/>
        <v>0</v>
      </c>
      <c r="G89" s="263">
        <f t="shared" si="67"/>
        <v>0</v>
      </c>
      <c r="H89" s="263">
        <f>IF(AND(H84&gt;0,G84&lt;0),(H74-(H84/(H84-G84))),0)</f>
        <v>0</v>
      </c>
      <c r="I89" s="263">
        <f t="shared" si="67"/>
        <v>0</v>
      </c>
      <c r="J89" s="263">
        <f t="shared" si="67"/>
        <v>0</v>
      </c>
      <c r="K89" s="263">
        <f t="shared" si="67"/>
        <v>0</v>
      </c>
      <c r="L89" s="263">
        <f>IF(AND(L84&gt;0,K84&lt;0),(L74-(L84/(L84-K84))),0)</f>
        <v>0</v>
      </c>
      <c r="M89" s="263">
        <f t="shared" si="67"/>
        <v>0</v>
      </c>
      <c r="N89" s="263">
        <f t="shared" si="67"/>
        <v>0</v>
      </c>
      <c r="O89" s="263">
        <f t="shared" si="67"/>
        <v>0</v>
      </c>
      <c r="P89" s="263">
        <f t="shared" si="67"/>
        <v>0</v>
      </c>
      <c r="Q89" s="263">
        <f t="shared" si="67"/>
        <v>15.469913221543976</v>
      </c>
      <c r="R89" s="263">
        <f t="shared" si="67"/>
        <v>0</v>
      </c>
      <c r="S89" s="263">
        <f t="shared" si="67"/>
        <v>0</v>
      </c>
      <c r="T89" s="263">
        <f t="shared" si="67"/>
        <v>0</v>
      </c>
      <c r="U89" s="263">
        <f t="shared" si="67"/>
        <v>0</v>
      </c>
      <c r="V89" s="263">
        <f t="shared" si="67"/>
        <v>0</v>
      </c>
      <c r="W89" s="263">
        <f t="shared" si="67"/>
        <v>0</v>
      </c>
      <c r="X89" s="263">
        <f t="shared" si="67"/>
        <v>0</v>
      </c>
      <c r="Y89" s="263">
        <f t="shared" si="67"/>
        <v>0</v>
      </c>
      <c r="Z89" s="263">
        <f t="shared" si="67"/>
        <v>0</v>
      </c>
      <c r="AA89" s="263">
        <f t="shared" si="67"/>
        <v>0</v>
      </c>
      <c r="AB89" s="263">
        <f t="shared" si="67"/>
        <v>0</v>
      </c>
      <c r="AC89" s="263">
        <f t="shared" si="67"/>
        <v>0</v>
      </c>
      <c r="AD89" s="263">
        <f t="shared" si="67"/>
        <v>0</v>
      </c>
      <c r="AE89" s="263">
        <f t="shared" si="67"/>
        <v>0</v>
      </c>
      <c r="AF89" s="263">
        <f t="shared" si="67"/>
        <v>0</v>
      </c>
      <c r="AG89" s="263">
        <f t="shared" si="67"/>
        <v>0</v>
      </c>
      <c r="AH89" s="263">
        <f t="shared" si="67"/>
        <v>0</v>
      </c>
      <c r="AI89" s="263">
        <f t="shared" si="67"/>
        <v>0</v>
      </c>
      <c r="AJ89" s="263">
        <f t="shared" si="67"/>
        <v>0</v>
      </c>
      <c r="AK89" s="263">
        <f t="shared" si="67"/>
        <v>0</v>
      </c>
      <c r="AL89" s="263">
        <f t="shared" si="67"/>
        <v>0</v>
      </c>
      <c r="AM89" s="263">
        <f t="shared" si="67"/>
        <v>0</v>
      </c>
      <c r="AN89" s="263">
        <f t="shared" si="67"/>
        <v>0</v>
      </c>
      <c r="AO89" s="263">
        <f t="shared" si="67"/>
        <v>0</v>
      </c>
      <c r="AP89" s="263">
        <f t="shared" si="67"/>
        <v>0</v>
      </c>
    </row>
    <row r="90" spans="1:44" ht="15" thickBot="1" x14ac:dyDescent="0.25">
      <c r="A90" s="264" t="s">
        <v>594</v>
      </c>
      <c r="B90" s="265">
        <f t="shared" ref="B90:AP90" si="68">IF(AND(B87&gt;0,A87&lt;0),(B74-(B87/(B87-A87))),0)</f>
        <v>0</v>
      </c>
      <c r="C90" s="265">
        <f t="shared" si="68"/>
        <v>0</v>
      </c>
      <c r="D90" s="265">
        <f t="shared" si="68"/>
        <v>0</v>
      </c>
      <c r="E90" s="265">
        <f t="shared" si="68"/>
        <v>0</v>
      </c>
      <c r="F90" s="265">
        <f t="shared" si="68"/>
        <v>0</v>
      </c>
      <c r="G90" s="265">
        <f t="shared" si="68"/>
        <v>0</v>
      </c>
      <c r="H90" s="265">
        <f t="shared" si="68"/>
        <v>0</v>
      </c>
      <c r="I90" s="265">
        <f t="shared" si="68"/>
        <v>0</v>
      </c>
      <c r="J90" s="265">
        <f t="shared" si="68"/>
        <v>0</v>
      </c>
      <c r="K90" s="265">
        <f t="shared" si="68"/>
        <v>0</v>
      </c>
      <c r="L90" s="265">
        <f t="shared" si="68"/>
        <v>0</v>
      </c>
      <c r="M90" s="265">
        <f t="shared" si="68"/>
        <v>0</v>
      </c>
      <c r="N90" s="265">
        <f t="shared" si="68"/>
        <v>0</v>
      </c>
      <c r="O90" s="265">
        <f t="shared" si="68"/>
        <v>0</v>
      </c>
      <c r="P90" s="265">
        <f t="shared" si="68"/>
        <v>0</v>
      </c>
      <c r="Q90" s="265">
        <f t="shared" si="68"/>
        <v>0</v>
      </c>
      <c r="R90" s="265">
        <f t="shared" si="68"/>
        <v>0</v>
      </c>
      <c r="S90" s="265">
        <f t="shared" si="68"/>
        <v>0</v>
      </c>
      <c r="T90" s="265">
        <f t="shared" si="68"/>
        <v>0</v>
      </c>
      <c r="U90" s="265">
        <f t="shared" si="68"/>
        <v>0</v>
      </c>
      <c r="V90" s="265">
        <f t="shared" si="68"/>
        <v>0</v>
      </c>
      <c r="W90" s="265">
        <f t="shared" si="68"/>
        <v>0</v>
      </c>
      <c r="X90" s="265">
        <f t="shared" si="68"/>
        <v>0</v>
      </c>
      <c r="Y90" s="265">
        <f t="shared" si="68"/>
        <v>0</v>
      </c>
      <c r="Z90" s="265">
        <f t="shared" si="68"/>
        <v>0</v>
      </c>
      <c r="AA90" s="265">
        <f t="shared" si="68"/>
        <v>0</v>
      </c>
      <c r="AB90" s="265">
        <f t="shared" si="68"/>
        <v>0</v>
      </c>
      <c r="AC90" s="265">
        <f t="shared" si="68"/>
        <v>0</v>
      </c>
      <c r="AD90" s="265">
        <f t="shared" si="68"/>
        <v>0</v>
      </c>
      <c r="AE90" s="265">
        <f t="shared" si="68"/>
        <v>0</v>
      </c>
      <c r="AF90" s="265">
        <f t="shared" si="68"/>
        <v>0</v>
      </c>
      <c r="AG90" s="265">
        <f t="shared" si="68"/>
        <v>0</v>
      </c>
      <c r="AH90" s="265">
        <f t="shared" si="68"/>
        <v>0</v>
      </c>
      <c r="AI90" s="265">
        <f t="shared" si="68"/>
        <v>0</v>
      </c>
      <c r="AJ90" s="265">
        <f t="shared" si="68"/>
        <v>0</v>
      </c>
      <c r="AK90" s="265">
        <f t="shared" si="68"/>
        <v>0</v>
      </c>
      <c r="AL90" s="265">
        <f t="shared" si="68"/>
        <v>0</v>
      </c>
      <c r="AM90" s="265">
        <f t="shared" si="68"/>
        <v>0</v>
      </c>
      <c r="AN90" s="265">
        <f t="shared" si="68"/>
        <v>0</v>
      </c>
      <c r="AO90" s="265">
        <f t="shared" si="68"/>
        <v>0</v>
      </c>
      <c r="AP90" s="265">
        <f t="shared" si="68"/>
        <v>0</v>
      </c>
    </row>
    <row r="91" spans="1:44" x14ac:dyDescent="0.2">
      <c r="B91" s="316">
        <v>2022</v>
      </c>
      <c r="C91" s="316">
        <f>B91+1</f>
        <v>2023</v>
      </c>
      <c r="D91" s="271">
        <f t="shared" ref="D91:AP91" si="69">C91+1</f>
        <v>2024</v>
      </c>
      <c r="E91" s="271">
        <f t="shared" si="69"/>
        <v>2025</v>
      </c>
      <c r="F91" s="271">
        <f t="shared" si="69"/>
        <v>2026</v>
      </c>
      <c r="G91" s="271">
        <f t="shared" si="69"/>
        <v>2027</v>
      </c>
      <c r="H91" s="271">
        <f t="shared" si="69"/>
        <v>2028</v>
      </c>
      <c r="I91" s="271">
        <f t="shared" si="69"/>
        <v>2029</v>
      </c>
      <c r="J91" s="271">
        <f t="shared" si="69"/>
        <v>2030</v>
      </c>
      <c r="K91" s="271">
        <f t="shared" si="69"/>
        <v>2031</v>
      </c>
      <c r="L91" s="271">
        <f t="shared" si="69"/>
        <v>2032</v>
      </c>
      <c r="M91" s="271">
        <f t="shared" si="69"/>
        <v>2033</v>
      </c>
      <c r="N91" s="271">
        <f t="shared" si="69"/>
        <v>2034</v>
      </c>
      <c r="O91" s="271">
        <f t="shared" si="69"/>
        <v>2035</v>
      </c>
      <c r="P91" s="271">
        <f t="shared" si="69"/>
        <v>2036</v>
      </c>
      <c r="Q91" s="271">
        <f t="shared" si="69"/>
        <v>2037</v>
      </c>
      <c r="R91" s="271">
        <f t="shared" si="69"/>
        <v>2038</v>
      </c>
      <c r="S91" s="271">
        <f t="shared" si="69"/>
        <v>2039</v>
      </c>
      <c r="T91" s="271">
        <f t="shared" si="69"/>
        <v>2040</v>
      </c>
      <c r="U91" s="271">
        <f t="shared" si="69"/>
        <v>2041</v>
      </c>
      <c r="V91" s="271">
        <f t="shared" si="69"/>
        <v>2042</v>
      </c>
      <c r="W91" s="271">
        <f t="shared" si="69"/>
        <v>2043</v>
      </c>
      <c r="X91" s="271">
        <f t="shared" si="69"/>
        <v>2044</v>
      </c>
      <c r="Y91" s="271">
        <f t="shared" si="69"/>
        <v>2045</v>
      </c>
      <c r="Z91" s="271">
        <f t="shared" si="69"/>
        <v>2046</v>
      </c>
      <c r="AA91" s="271">
        <f t="shared" si="69"/>
        <v>2047</v>
      </c>
      <c r="AB91" s="271">
        <f t="shared" si="69"/>
        <v>2048</v>
      </c>
      <c r="AC91" s="271">
        <f t="shared" si="69"/>
        <v>2049</v>
      </c>
      <c r="AD91" s="271">
        <f t="shared" si="69"/>
        <v>2050</v>
      </c>
      <c r="AE91" s="271">
        <f t="shared" si="69"/>
        <v>2051</v>
      </c>
      <c r="AF91" s="271">
        <f t="shared" si="69"/>
        <v>2052</v>
      </c>
      <c r="AG91" s="271">
        <f t="shared" si="69"/>
        <v>2053</v>
      </c>
      <c r="AH91" s="271">
        <f t="shared" si="69"/>
        <v>2054</v>
      </c>
      <c r="AI91" s="271">
        <f t="shared" si="69"/>
        <v>2055</v>
      </c>
      <c r="AJ91" s="271">
        <f t="shared" si="69"/>
        <v>2056</v>
      </c>
      <c r="AK91" s="271">
        <f t="shared" si="69"/>
        <v>2057</v>
      </c>
      <c r="AL91" s="271">
        <f t="shared" si="69"/>
        <v>2058</v>
      </c>
      <c r="AM91" s="271">
        <f t="shared" si="69"/>
        <v>2059</v>
      </c>
      <c r="AN91" s="271">
        <f t="shared" si="69"/>
        <v>2060</v>
      </c>
      <c r="AO91" s="271">
        <f t="shared" si="69"/>
        <v>2061</v>
      </c>
      <c r="AP91" s="271">
        <f t="shared" si="69"/>
        <v>2062</v>
      </c>
    </row>
    <row r="92" spans="1:44" ht="12.75" x14ac:dyDescent="0.2">
      <c r="A92" s="266" t="s">
        <v>595</v>
      </c>
      <c r="B92" s="267"/>
      <c r="C92" s="267"/>
      <c r="D92" s="267"/>
      <c r="E92" s="267"/>
      <c r="F92" s="267"/>
      <c r="G92" s="267"/>
      <c r="H92" s="267"/>
      <c r="I92" s="267"/>
      <c r="J92" s="267"/>
      <c r="K92" s="267"/>
      <c r="L92" s="267">
        <v>10</v>
      </c>
      <c r="M92" s="267"/>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596</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597</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598</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599</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43" ht="33.75" customHeight="1" x14ac:dyDescent="0.2">
      <c r="A97" s="461" t="s">
        <v>600</v>
      </c>
      <c r="B97" s="461"/>
      <c r="C97" s="461"/>
      <c r="D97" s="461"/>
      <c r="E97" s="461"/>
      <c r="F97" s="461"/>
      <c r="G97" s="461"/>
      <c r="H97" s="461"/>
      <c r="I97" s="461"/>
      <c r="J97" s="461"/>
      <c r="K97" s="461"/>
      <c r="L97" s="461"/>
    </row>
    <row r="98" spans="1:43" ht="16.5" hidden="1" thickBot="1" x14ac:dyDescent="0.25">
      <c r="C98" s="317"/>
    </row>
    <row r="99" spans="1:43" s="321" customFormat="1" ht="16.5" hidden="1" thickTop="1" x14ac:dyDescent="0.2">
      <c r="A99" s="318" t="s">
        <v>601</v>
      </c>
      <c r="B99" s="319">
        <f>B81*B85</f>
        <v>-35297835.625119627</v>
      </c>
      <c r="C99" s="319">
        <f>C81*C85</f>
        <v>-92843695.639564022</v>
      </c>
      <c r="D99" s="319">
        <f t="shared" ref="D99:AP99" si="70">D81*D85</f>
        <v>-73376097.125743359</v>
      </c>
      <c r="E99" s="319">
        <f t="shared" si="70"/>
        <v>0</v>
      </c>
      <c r="F99" s="319">
        <f t="shared" si="70"/>
        <v>0</v>
      </c>
      <c r="G99" s="319">
        <f t="shared" si="70"/>
        <v>0</v>
      </c>
      <c r="H99" s="319">
        <f t="shared" si="70"/>
        <v>0</v>
      </c>
      <c r="I99" s="319">
        <f t="shared" si="70"/>
        <v>0</v>
      </c>
      <c r="J99" s="319">
        <f>J81*J85</f>
        <v>0</v>
      </c>
      <c r="K99" s="319">
        <f t="shared" si="70"/>
        <v>0</v>
      </c>
      <c r="L99" s="319">
        <f>L81*L85</f>
        <v>0</v>
      </c>
      <c r="M99" s="319">
        <f t="shared" si="70"/>
        <v>0</v>
      </c>
      <c r="N99" s="319">
        <f t="shared" si="70"/>
        <v>0</v>
      </c>
      <c r="O99" s="319">
        <f t="shared" si="70"/>
        <v>0</v>
      </c>
      <c r="P99" s="319">
        <f t="shared" si="70"/>
        <v>0</v>
      </c>
      <c r="Q99" s="319">
        <f t="shared" si="70"/>
        <v>0</v>
      </c>
      <c r="R99" s="319">
        <f t="shared" si="70"/>
        <v>0</v>
      </c>
      <c r="S99" s="319">
        <f t="shared" si="70"/>
        <v>0</v>
      </c>
      <c r="T99" s="319">
        <f t="shared" si="70"/>
        <v>0</v>
      </c>
      <c r="U99" s="319">
        <f t="shared" si="70"/>
        <v>0</v>
      </c>
      <c r="V99" s="319">
        <f t="shared" si="70"/>
        <v>0</v>
      </c>
      <c r="W99" s="319">
        <f t="shared" si="70"/>
        <v>0</v>
      </c>
      <c r="X99" s="319">
        <f t="shared" si="70"/>
        <v>0</v>
      </c>
      <c r="Y99" s="319">
        <f t="shared" si="70"/>
        <v>0</v>
      </c>
      <c r="Z99" s="319">
        <f t="shared" si="70"/>
        <v>0</v>
      </c>
      <c r="AA99" s="319">
        <f t="shared" si="70"/>
        <v>0</v>
      </c>
      <c r="AB99" s="319">
        <f t="shared" si="70"/>
        <v>0</v>
      </c>
      <c r="AC99" s="319">
        <f t="shared" si="70"/>
        <v>0</v>
      </c>
      <c r="AD99" s="319">
        <f t="shared" si="70"/>
        <v>0</v>
      </c>
      <c r="AE99" s="319">
        <f t="shared" si="70"/>
        <v>0</v>
      </c>
      <c r="AF99" s="319">
        <f t="shared" si="70"/>
        <v>0</v>
      </c>
      <c r="AG99" s="319">
        <f t="shared" si="70"/>
        <v>0</v>
      </c>
      <c r="AH99" s="319">
        <f t="shared" si="70"/>
        <v>0</v>
      </c>
      <c r="AI99" s="319">
        <f t="shared" si="70"/>
        <v>0</v>
      </c>
      <c r="AJ99" s="319">
        <f t="shared" si="70"/>
        <v>0</v>
      </c>
      <c r="AK99" s="319">
        <f t="shared" si="70"/>
        <v>0</v>
      </c>
      <c r="AL99" s="319">
        <f t="shared" si="70"/>
        <v>0</v>
      </c>
      <c r="AM99" s="319">
        <f t="shared" si="70"/>
        <v>0</v>
      </c>
      <c r="AN99" s="319">
        <f t="shared" si="70"/>
        <v>0</v>
      </c>
      <c r="AO99" s="319">
        <f t="shared" si="70"/>
        <v>0</v>
      </c>
      <c r="AP99" s="319">
        <f t="shared" si="70"/>
        <v>0</v>
      </c>
      <c r="AQ99" s="320">
        <f>SUM(B99:AP99)</f>
        <v>-201517628.39042699</v>
      </c>
    </row>
    <row r="100" spans="1:43" hidden="1" x14ac:dyDescent="0.2">
      <c r="A100" s="322">
        <f>AQ99</f>
        <v>-201517628.39042699</v>
      </c>
    </row>
    <row r="101" spans="1:43" hidden="1" x14ac:dyDescent="0.2">
      <c r="A101" s="322">
        <f>AP87</f>
        <v>-52407439.109365456</v>
      </c>
    </row>
    <row r="102" spans="1:43" hidden="1" x14ac:dyDescent="0.2">
      <c r="A102" s="283" t="s">
        <v>602</v>
      </c>
      <c r="B102" s="323">
        <f>(A101+-A100)/-A100</f>
        <v>0.73993620544288297</v>
      </c>
    </row>
    <row r="103" spans="1:43" hidden="1" x14ac:dyDescent="0.2"/>
    <row r="104" spans="1:43" ht="12.75" hidden="1" x14ac:dyDescent="0.2">
      <c r="A104" s="269" t="s">
        <v>603</v>
      </c>
      <c r="B104" s="269" t="s">
        <v>604</v>
      </c>
      <c r="C104" s="269" t="s">
        <v>605</v>
      </c>
      <c r="D104" s="269" t="s">
        <v>606</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row>
    <row r="105" spans="1:43" ht="12.75" hidden="1" x14ac:dyDescent="0.2">
      <c r="A105" s="324">
        <f>G30/1000/1000</f>
        <v>-154.99985732965862</v>
      </c>
      <c r="B105" s="325">
        <f>L88</f>
        <v>0</v>
      </c>
      <c r="C105" s="326" t="str">
        <f>G28</f>
        <v>не окупается</v>
      </c>
      <c r="D105" s="326" t="str">
        <f>G29</f>
        <v>не окупается</v>
      </c>
      <c r="E105" s="272" t="s">
        <v>607</v>
      </c>
      <c r="F105" s="272"/>
      <c r="G105" s="272"/>
      <c r="H105" s="272"/>
      <c r="I105" s="272"/>
      <c r="J105" s="272"/>
      <c r="K105" s="272"/>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row>
    <row r="106" spans="1:43" ht="12.75" hidden="1" x14ac:dyDescent="0.2">
      <c r="A106" s="327"/>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row>
    <row r="107" spans="1:43" ht="12.75" hidden="1" x14ac:dyDescent="0.2">
      <c r="A107" s="328"/>
      <c r="B107" s="329">
        <v>2016</v>
      </c>
      <c r="C107" s="329">
        <v>2017</v>
      </c>
      <c r="D107" s="329">
        <f t="shared" ref="D107:AP107" si="71">C107+1</f>
        <v>2018</v>
      </c>
      <c r="E107" s="329">
        <f t="shared" si="71"/>
        <v>2019</v>
      </c>
      <c r="F107" s="329">
        <f t="shared" si="71"/>
        <v>2020</v>
      </c>
      <c r="G107" s="329">
        <f t="shared" si="71"/>
        <v>2021</v>
      </c>
      <c r="H107" s="329">
        <f t="shared" si="71"/>
        <v>2022</v>
      </c>
      <c r="I107" s="329">
        <f t="shared" si="71"/>
        <v>2023</v>
      </c>
      <c r="J107" s="329">
        <f t="shared" si="71"/>
        <v>2024</v>
      </c>
      <c r="K107" s="329">
        <f t="shared" si="71"/>
        <v>2025</v>
      </c>
      <c r="L107" s="329">
        <f t="shared" si="71"/>
        <v>2026</v>
      </c>
      <c r="M107" s="329">
        <f t="shared" si="71"/>
        <v>2027</v>
      </c>
      <c r="N107" s="329">
        <f t="shared" si="71"/>
        <v>2028</v>
      </c>
      <c r="O107" s="329">
        <f t="shared" si="71"/>
        <v>2029</v>
      </c>
      <c r="P107" s="329">
        <f t="shared" si="71"/>
        <v>2030</v>
      </c>
      <c r="Q107" s="329">
        <f t="shared" si="71"/>
        <v>2031</v>
      </c>
      <c r="R107" s="329">
        <f t="shared" si="71"/>
        <v>2032</v>
      </c>
      <c r="S107" s="329">
        <f t="shared" si="71"/>
        <v>2033</v>
      </c>
      <c r="T107" s="329">
        <f t="shared" si="71"/>
        <v>2034</v>
      </c>
      <c r="U107" s="329">
        <f t="shared" si="71"/>
        <v>2035</v>
      </c>
      <c r="V107" s="329">
        <f t="shared" si="71"/>
        <v>2036</v>
      </c>
      <c r="W107" s="329">
        <f t="shared" si="71"/>
        <v>2037</v>
      </c>
      <c r="X107" s="329">
        <f t="shared" si="71"/>
        <v>2038</v>
      </c>
      <c r="Y107" s="329">
        <f t="shared" si="71"/>
        <v>2039</v>
      </c>
      <c r="Z107" s="329">
        <f t="shared" si="71"/>
        <v>2040</v>
      </c>
      <c r="AA107" s="329">
        <f t="shared" si="71"/>
        <v>2041</v>
      </c>
      <c r="AB107" s="329">
        <f t="shared" si="71"/>
        <v>2042</v>
      </c>
      <c r="AC107" s="329">
        <f t="shared" si="71"/>
        <v>2043</v>
      </c>
      <c r="AD107" s="329">
        <f t="shared" si="71"/>
        <v>2044</v>
      </c>
      <c r="AE107" s="329">
        <f t="shared" si="71"/>
        <v>2045</v>
      </c>
      <c r="AF107" s="329">
        <f t="shared" si="71"/>
        <v>2046</v>
      </c>
      <c r="AG107" s="329">
        <f t="shared" si="71"/>
        <v>2047</v>
      </c>
      <c r="AH107" s="329">
        <f t="shared" si="71"/>
        <v>2048</v>
      </c>
      <c r="AI107" s="329">
        <f t="shared" si="71"/>
        <v>2049</v>
      </c>
      <c r="AJ107" s="329">
        <f t="shared" si="71"/>
        <v>2050</v>
      </c>
      <c r="AK107" s="329">
        <f t="shared" si="71"/>
        <v>2051</v>
      </c>
      <c r="AL107" s="329">
        <f t="shared" si="71"/>
        <v>2052</v>
      </c>
      <c r="AM107" s="329">
        <f t="shared" si="71"/>
        <v>2053</v>
      </c>
      <c r="AN107" s="329">
        <f t="shared" si="71"/>
        <v>2054</v>
      </c>
      <c r="AO107" s="329">
        <f t="shared" si="71"/>
        <v>2055</v>
      </c>
      <c r="AP107" s="329">
        <f t="shared" si="71"/>
        <v>2056</v>
      </c>
    </row>
    <row r="108" spans="1:43" ht="12.75" hidden="1" x14ac:dyDescent="0.2">
      <c r="A108" s="330" t="s">
        <v>634</v>
      </c>
      <c r="B108" s="331"/>
      <c r="C108" s="331">
        <f>C109*$B$111*$B$112*1000</f>
        <v>0</v>
      </c>
      <c r="D108" s="331">
        <f>D109*$B$111*$B$112*1000</f>
        <v>0</v>
      </c>
      <c r="E108" s="331">
        <f>E109*$B$111*$B$112*1000</f>
        <v>0</v>
      </c>
      <c r="F108" s="331">
        <f t="shared" ref="F108:AP108" si="72">F109*$B$111*$B$112*1000</f>
        <v>0</v>
      </c>
      <c r="G108" s="331">
        <f>G109*$B$111*$B$112*B110*1000</f>
        <v>0</v>
      </c>
      <c r="H108" s="331">
        <f t="shared" si="72"/>
        <v>0</v>
      </c>
      <c r="I108" s="331">
        <f t="shared" si="72"/>
        <v>9095128.2540000007</v>
      </c>
      <c r="J108" s="331">
        <f t="shared" si="72"/>
        <v>10610982.963</v>
      </c>
      <c r="K108" s="331">
        <f t="shared" si="72"/>
        <v>11520495.788399998</v>
      </c>
      <c r="L108" s="331">
        <f t="shared" si="72"/>
        <v>12126837.671999998</v>
      </c>
      <c r="M108" s="331">
        <f t="shared" si="72"/>
        <v>12126837.671999998</v>
      </c>
      <c r="N108" s="331">
        <f t="shared" si="72"/>
        <v>12126837.671999998</v>
      </c>
      <c r="O108" s="331">
        <f t="shared" si="72"/>
        <v>12126837.671999998</v>
      </c>
      <c r="P108" s="331">
        <f t="shared" si="72"/>
        <v>12126837.671999998</v>
      </c>
      <c r="Q108" s="331">
        <f t="shared" si="72"/>
        <v>12126837.671999998</v>
      </c>
      <c r="R108" s="331">
        <f t="shared" si="72"/>
        <v>12126837.671999998</v>
      </c>
      <c r="S108" s="331">
        <f t="shared" si="72"/>
        <v>12126837.671999998</v>
      </c>
      <c r="T108" s="331">
        <f t="shared" si="72"/>
        <v>12126837.671999998</v>
      </c>
      <c r="U108" s="331">
        <f t="shared" si="72"/>
        <v>12126837.671999998</v>
      </c>
      <c r="V108" s="331">
        <f t="shared" si="72"/>
        <v>12126837.671999998</v>
      </c>
      <c r="W108" s="331">
        <f t="shared" si="72"/>
        <v>12126837.671999998</v>
      </c>
      <c r="X108" s="331">
        <f t="shared" si="72"/>
        <v>12126837.671999998</v>
      </c>
      <c r="Y108" s="331">
        <f t="shared" si="72"/>
        <v>12126837.671999998</v>
      </c>
      <c r="Z108" s="331">
        <f t="shared" si="72"/>
        <v>12126837.671999998</v>
      </c>
      <c r="AA108" s="331">
        <f t="shared" si="72"/>
        <v>12126837.671999998</v>
      </c>
      <c r="AB108" s="331">
        <f t="shared" si="72"/>
        <v>12126837.671999998</v>
      </c>
      <c r="AC108" s="331">
        <f t="shared" si="72"/>
        <v>12126837.671999998</v>
      </c>
      <c r="AD108" s="331">
        <f t="shared" si="72"/>
        <v>12126837.671999998</v>
      </c>
      <c r="AE108" s="331">
        <f t="shared" si="72"/>
        <v>12126837.671999998</v>
      </c>
      <c r="AF108" s="331">
        <f t="shared" si="72"/>
        <v>12126837.671999998</v>
      </c>
      <c r="AG108" s="331">
        <f t="shared" si="72"/>
        <v>12126837.671999998</v>
      </c>
      <c r="AH108" s="331">
        <f t="shared" si="72"/>
        <v>12126837.671999998</v>
      </c>
      <c r="AI108" s="331">
        <f t="shared" si="72"/>
        <v>12126837.671999998</v>
      </c>
      <c r="AJ108" s="331">
        <f t="shared" si="72"/>
        <v>12126837.671999998</v>
      </c>
      <c r="AK108" s="331">
        <f t="shared" si="72"/>
        <v>12126837.671999998</v>
      </c>
      <c r="AL108" s="331">
        <f t="shared" si="72"/>
        <v>12126837.671999998</v>
      </c>
      <c r="AM108" s="331">
        <f t="shared" si="72"/>
        <v>12126837.671999998</v>
      </c>
      <c r="AN108" s="331">
        <f t="shared" si="72"/>
        <v>12126837.671999998</v>
      </c>
      <c r="AO108" s="331">
        <f t="shared" si="72"/>
        <v>12126837.671999998</v>
      </c>
      <c r="AP108" s="331">
        <f t="shared" si="72"/>
        <v>12126837.671999998</v>
      </c>
    </row>
    <row r="109" spans="1:43" ht="12.75" hidden="1" x14ac:dyDescent="0.2">
      <c r="A109" s="330" t="s">
        <v>608</v>
      </c>
      <c r="B109" s="329"/>
      <c r="C109" s="329">
        <f t="shared" ref="C109:F109" si="73">B109+$I$120*C113</f>
        <v>0</v>
      </c>
      <c r="D109" s="329">
        <f t="shared" si="73"/>
        <v>0</v>
      </c>
      <c r="E109" s="329">
        <f t="shared" si="73"/>
        <v>0</v>
      </c>
      <c r="F109" s="329">
        <f t="shared" si="73"/>
        <v>0</v>
      </c>
      <c r="G109" s="329">
        <v>0</v>
      </c>
      <c r="H109" s="329">
        <v>0</v>
      </c>
      <c r="I109" s="329">
        <f>H109+$I$120*I113</f>
        <v>2.79</v>
      </c>
      <c r="J109" s="329">
        <f t="shared" ref="J109:AP109" si="74">I109+$I$120*J113</f>
        <v>3.2549999999999999</v>
      </c>
      <c r="K109" s="329">
        <f t="shared" si="74"/>
        <v>3.5339999999999998</v>
      </c>
      <c r="L109" s="329">
        <f t="shared" si="74"/>
        <v>3.7199999999999998</v>
      </c>
      <c r="M109" s="329">
        <f t="shared" si="74"/>
        <v>3.7199999999999998</v>
      </c>
      <c r="N109" s="329">
        <f t="shared" si="74"/>
        <v>3.7199999999999998</v>
      </c>
      <c r="O109" s="329">
        <f t="shared" si="74"/>
        <v>3.7199999999999998</v>
      </c>
      <c r="P109" s="329">
        <f t="shared" si="74"/>
        <v>3.7199999999999998</v>
      </c>
      <c r="Q109" s="329">
        <f t="shared" si="74"/>
        <v>3.7199999999999998</v>
      </c>
      <c r="R109" s="329">
        <f t="shared" si="74"/>
        <v>3.7199999999999998</v>
      </c>
      <c r="S109" s="329">
        <f t="shared" si="74"/>
        <v>3.7199999999999998</v>
      </c>
      <c r="T109" s="329">
        <f t="shared" si="74"/>
        <v>3.7199999999999998</v>
      </c>
      <c r="U109" s="329">
        <f t="shared" si="74"/>
        <v>3.7199999999999998</v>
      </c>
      <c r="V109" s="329">
        <f t="shared" si="74"/>
        <v>3.7199999999999998</v>
      </c>
      <c r="W109" s="329">
        <f t="shared" si="74"/>
        <v>3.7199999999999998</v>
      </c>
      <c r="X109" s="329">
        <f t="shared" si="74"/>
        <v>3.7199999999999998</v>
      </c>
      <c r="Y109" s="329">
        <f t="shared" si="74"/>
        <v>3.7199999999999998</v>
      </c>
      <c r="Z109" s="329">
        <f t="shared" si="74"/>
        <v>3.7199999999999998</v>
      </c>
      <c r="AA109" s="329">
        <f t="shared" si="74"/>
        <v>3.7199999999999998</v>
      </c>
      <c r="AB109" s="329">
        <f t="shared" si="74"/>
        <v>3.7199999999999998</v>
      </c>
      <c r="AC109" s="329">
        <f t="shared" si="74"/>
        <v>3.7199999999999998</v>
      </c>
      <c r="AD109" s="329">
        <f t="shared" si="74"/>
        <v>3.7199999999999998</v>
      </c>
      <c r="AE109" s="329">
        <f t="shared" si="74"/>
        <v>3.7199999999999998</v>
      </c>
      <c r="AF109" s="329">
        <f t="shared" si="74"/>
        <v>3.7199999999999998</v>
      </c>
      <c r="AG109" s="329">
        <f t="shared" si="74"/>
        <v>3.7199999999999998</v>
      </c>
      <c r="AH109" s="329">
        <f t="shared" si="74"/>
        <v>3.7199999999999998</v>
      </c>
      <c r="AI109" s="329">
        <f t="shared" si="74"/>
        <v>3.7199999999999998</v>
      </c>
      <c r="AJ109" s="329">
        <f t="shared" si="74"/>
        <v>3.7199999999999998</v>
      </c>
      <c r="AK109" s="329">
        <f t="shared" si="74"/>
        <v>3.7199999999999998</v>
      </c>
      <c r="AL109" s="329">
        <f t="shared" si="74"/>
        <v>3.7199999999999998</v>
      </c>
      <c r="AM109" s="329">
        <f t="shared" si="74"/>
        <v>3.7199999999999998</v>
      </c>
      <c r="AN109" s="329">
        <f t="shared" si="74"/>
        <v>3.7199999999999998</v>
      </c>
      <c r="AO109" s="329">
        <f t="shared" si="74"/>
        <v>3.7199999999999998</v>
      </c>
      <c r="AP109" s="329">
        <f t="shared" si="74"/>
        <v>3.7199999999999998</v>
      </c>
    </row>
    <row r="110" spans="1:43" ht="12.75" hidden="1" x14ac:dyDescent="0.2">
      <c r="A110" s="330" t="s">
        <v>609</v>
      </c>
      <c r="B110" s="328">
        <v>0.93</v>
      </c>
      <c r="C110" s="329"/>
      <c r="D110" s="329"/>
      <c r="E110" s="329"/>
      <c r="F110" s="329"/>
      <c r="G110" s="329"/>
      <c r="H110" s="329"/>
      <c r="I110" s="329"/>
      <c r="J110" s="329"/>
      <c r="K110" s="329"/>
      <c r="L110" s="329"/>
      <c r="M110" s="329"/>
      <c r="N110" s="329"/>
      <c r="O110" s="329"/>
      <c r="P110" s="329"/>
      <c r="Q110" s="329"/>
      <c r="R110" s="329"/>
      <c r="S110" s="329"/>
      <c r="T110" s="329"/>
      <c r="U110" s="329"/>
      <c r="V110" s="329"/>
      <c r="W110" s="329"/>
      <c r="X110" s="329"/>
      <c r="Y110" s="329"/>
      <c r="Z110" s="329"/>
      <c r="AA110" s="329"/>
      <c r="AB110" s="329"/>
      <c r="AC110" s="329"/>
      <c r="AD110" s="329"/>
      <c r="AE110" s="329"/>
      <c r="AF110" s="329"/>
      <c r="AG110" s="329"/>
      <c r="AH110" s="329"/>
      <c r="AI110" s="329"/>
      <c r="AJ110" s="329"/>
      <c r="AK110" s="329"/>
      <c r="AL110" s="329"/>
      <c r="AM110" s="329"/>
      <c r="AN110" s="329"/>
      <c r="AO110" s="329"/>
      <c r="AP110" s="329"/>
    </row>
    <row r="111" spans="1:43" ht="12.75" hidden="1" x14ac:dyDescent="0.2">
      <c r="A111" s="330" t="s">
        <v>610</v>
      </c>
      <c r="B111" s="328">
        <v>4380</v>
      </c>
      <c r="C111" s="329"/>
      <c r="D111" s="329"/>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29"/>
      <c r="AI111" s="329"/>
      <c r="AJ111" s="329"/>
      <c r="AK111" s="329"/>
      <c r="AL111" s="329"/>
      <c r="AM111" s="329"/>
      <c r="AN111" s="329"/>
      <c r="AO111" s="329"/>
      <c r="AP111" s="329"/>
    </row>
    <row r="112" spans="1:43" ht="12.75" hidden="1" x14ac:dyDescent="0.2">
      <c r="A112" s="330" t="s">
        <v>611</v>
      </c>
      <c r="B112" s="329">
        <f>$B$131</f>
        <v>0.74426999999999999</v>
      </c>
      <c r="C112" s="329"/>
      <c r="D112" s="329"/>
      <c r="E112" s="329"/>
      <c r="F112" s="329"/>
      <c r="G112" s="329"/>
      <c r="H112" s="329"/>
      <c r="I112" s="329"/>
      <c r="J112" s="329"/>
      <c r="K112" s="329"/>
      <c r="L112" s="329"/>
      <c r="M112" s="329"/>
      <c r="N112" s="329"/>
      <c r="O112" s="329"/>
      <c r="P112" s="329"/>
      <c r="Q112" s="329"/>
      <c r="R112" s="329"/>
      <c r="S112" s="329"/>
      <c r="T112" s="329"/>
      <c r="U112" s="329"/>
      <c r="V112" s="329"/>
      <c r="W112" s="329"/>
      <c r="X112" s="329"/>
      <c r="Y112" s="329"/>
      <c r="Z112" s="329"/>
      <c r="AA112" s="329"/>
      <c r="AB112" s="329"/>
      <c r="AC112" s="329"/>
      <c r="AD112" s="329"/>
      <c r="AE112" s="329"/>
      <c r="AF112" s="329"/>
      <c r="AG112" s="329"/>
      <c r="AH112" s="329"/>
      <c r="AI112" s="329"/>
      <c r="AJ112" s="329"/>
      <c r="AK112" s="329"/>
      <c r="AL112" s="329"/>
      <c r="AM112" s="329"/>
      <c r="AN112" s="329"/>
      <c r="AO112" s="329"/>
      <c r="AP112" s="329"/>
    </row>
    <row r="113" spans="1:42" ht="15" hidden="1" x14ac:dyDescent="0.2">
      <c r="A113" s="332" t="s">
        <v>612</v>
      </c>
      <c r="B113" s="333">
        <v>0</v>
      </c>
      <c r="C113" s="270">
        <v>0</v>
      </c>
      <c r="D113" s="270">
        <v>0</v>
      </c>
      <c r="E113" s="270">
        <v>0</v>
      </c>
      <c r="F113" s="333">
        <v>0</v>
      </c>
      <c r="G113" s="333">
        <v>0</v>
      </c>
      <c r="H113" s="333">
        <v>0</v>
      </c>
      <c r="I113" s="333">
        <v>0.3</v>
      </c>
      <c r="J113" s="333">
        <v>0.05</v>
      </c>
      <c r="K113" s="333">
        <v>0.03</v>
      </c>
      <c r="L113" s="333">
        <v>0.02</v>
      </c>
      <c r="M113" s="333">
        <v>0</v>
      </c>
      <c r="N113" s="333">
        <v>0</v>
      </c>
      <c r="O113" s="333">
        <v>0</v>
      </c>
      <c r="P113" s="333">
        <v>0</v>
      </c>
      <c r="Q113" s="333">
        <v>0</v>
      </c>
      <c r="R113" s="333">
        <v>0</v>
      </c>
      <c r="S113" s="333">
        <v>0</v>
      </c>
      <c r="T113" s="333">
        <v>0</v>
      </c>
      <c r="U113" s="333">
        <v>0</v>
      </c>
      <c r="V113" s="333">
        <v>0</v>
      </c>
      <c r="W113" s="333">
        <v>0</v>
      </c>
      <c r="X113" s="333">
        <v>0</v>
      </c>
      <c r="Y113" s="333">
        <v>0</v>
      </c>
      <c r="Z113" s="333">
        <v>0</v>
      </c>
      <c r="AA113" s="333">
        <v>0</v>
      </c>
      <c r="AB113" s="333">
        <v>0</v>
      </c>
      <c r="AC113" s="333">
        <v>0</v>
      </c>
      <c r="AD113" s="333">
        <v>0</v>
      </c>
      <c r="AE113" s="333">
        <v>0</v>
      </c>
      <c r="AF113" s="333">
        <v>0</v>
      </c>
      <c r="AG113" s="333">
        <v>0</v>
      </c>
      <c r="AH113" s="333">
        <v>0</v>
      </c>
      <c r="AI113" s="333">
        <v>0</v>
      </c>
      <c r="AJ113" s="333">
        <v>0</v>
      </c>
      <c r="AK113" s="333">
        <v>0</v>
      </c>
      <c r="AL113" s="333">
        <v>0</v>
      </c>
      <c r="AM113" s="333">
        <v>0</v>
      </c>
      <c r="AN113" s="333">
        <v>0</v>
      </c>
      <c r="AO113" s="333">
        <v>0</v>
      </c>
      <c r="AP113" s="333">
        <v>0</v>
      </c>
    </row>
    <row r="114" spans="1:42" ht="12.75" hidden="1" x14ac:dyDescent="0.2">
      <c r="A114" s="327"/>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row>
    <row r="115" spans="1:42" ht="12.75" hidden="1" x14ac:dyDescent="0.2">
      <c r="A115" s="327"/>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row>
    <row r="116" spans="1:42" ht="12.75" hidden="1" x14ac:dyDescent="0.2">
      <c r="A116" s="328"/>
      <c r="B116" s="462" t="s">
        <v>613</v>
      </c>
      <c r="C116" s="463"/>
      <c r="D116" s="462" t="s">
        <v>614</v>
      </c>
      <c r="E116" s="463"/>
      <c r="F116" s="328"/>
      <c r="G116" s="328"/>
      <c r="H116" s="328"/>
      <c r="I116" s="328"/>
      <c r="J116" s="328"/>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row>
    <row r="117" spans="1:42" ht="12.75" hidden="1" x14ac:dyDescent="0.2">
      <c r="A117" s="330" t="s">
        <v>615</v>
      </c>
      <c r="B117" s="328"/>
      <c r="C117" s="328" t="s">
        <v>616</v>
      </c>
      <c r="D117" s="328">
        <v>16</v>
      </c>
      <c r="E117" s="328" t="s">
        <v>616</v>
      </c>
      <c r="F117" s="328"/>
      <c r="G117" s="328"/>
      <c r="H117" s="328"/>
      <c r="I117" s="328"/>
      <c r="J117" s="328"/>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row>
    <row r="118" spans="1:42" ht="25.5" hidden="1" x14ac:dyDescent="0.2">
      <c r="A118" s="330" t="s">
        <v>615</v>
      </c>
      <c r="B118" s="328">
        <f>$B$110*B117</f>
        <v>0</v>
      </c>
      <c r="C118" s="328" t="s">
        <v>126</v>
      </c>
      <c r="D118" s="328">
        <f>$B$110*D117</f>
        <v>14.88</v>
      </c>
      <c r="E118" s="328" t="s">
        <v>126</v>
      </c>
      <c r="F118" s="330" t="s">
        <v>617</v>
      </c>
      <c r="G118" s="328">
        <v>10</v>
      </c>
      <c r="H118" s="328" t="s">
        <v>616</v>
      </c>
      <c r="I118" s="328">
        <f>$B$110*G118</f>
        <v>9.3000000000000007</v>
      </c>
      <c r="J118" s="328" t="s">
        <v>126</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row>
    <row r="119" spans="1:42" ht="25.5" hidden="1" x14ac:dyDescent="0.2">
      <c r="A119" s="328"/>
      <c r="B119" s="328"/>
      <c r="C119" s="328"/>
      <c r="D119" s="328"/>
      <c r="E119" s="328"/>
      <c r="F119" s="330" t="s">
        <v>618</v>
      </c>
      <c r="G119" s="334">
        <v>2751.5</v>
      </c>
      <c r="H119" s="328" t="s">
        <v>616</v>
      </c>
      <c r="I119" s="328">
        <f>'2. паспорт  ТП'!H22</f>
        <v>9.5</v>
      </c>
      <c r="J119" s="328" t="s">
        <v>126</v>
      </c>
      <c r="K119" s="375">
        <f>2.7515/I118</f>
        <v>0.29586021505376342</v>
      </c>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row>
    <row r="120" spans="1:42" ht="38.25" hidden="1" x14ac:dyDescent="0.2">
      <c r="A120" s="335"/>
      <c r="B120" s="336"/>
      <c r="C120" s="336"/>
      <c r="D120" s="336"/>
      <c r="E120" s="336"/>
      <c r="F120" s="337" t="s">
        <v>619</v>
      </c>
      <c r="G120" s="328">
        <f>G118</f>
        <v>10</v>
      </c>
      <c r="H120" s="328" t="s">
        <v>616</v>
      </c>
      <c r="I120" s="328">
        <f>I118</f>
        <v>9.3000000000000007</v>
      </c>
      <c r="J120" s="328" t="s">
        <v>126</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row>
    <row r="121" spans="1:42" ht="13.5" hidden="1" thickBot="1" x14ac:dyDescent="0.25">
      <c r="A121" s="327"/>
      <c r="B121" s="272"/>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row>
    <row r="122" spans="1:42" hidden="1" x14ac:dyDescent="0.2">
      <c r="A122" s="335" t="s">
        <v>620</v>
      </c>
      <c r="B122" s="338">
        <f>'6.2. Паспорт фин осв ввод'!D24</f>
        <v>222.686191279128</v>
      </c>
      <c r="C122" s="272"/>
      <c r="D122" s="451" t="s">
        <v>284</v>
      </c>
      <c r="E122" s="288" t="s">
        <v>621</v>
      </c>
      <c r="F122" s="271">
        <v>35</v>
      </c>
      <c r="G122" s="452"/>
      <c r="H122" s="272"/>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row>
    <row r="123" spans="1:42" hidden="1" x14ac:dyDescent="0.2">
      <c r="A123" s="335" t="s">
        <v>284</v>
      </c>
      <c r="B123" s="339">
        <v>30</v>
      </c>
      <c r="C123" s="272"/>
      <c r="D123" s="451"/>
      <c r="E123" s="288" t="s">
        <v>622</v>
      </c>
      <c r="F123" s="271">
        <v>30</v>
      </c>
      <c r="G123" s="45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row>
    <row r="124" spans="1:42" hidden="1" x14ac:dyDescent="0.2">
      <c r="A124" s="335" t="s">
        <v>623</v>
      </c>
      <c r="B124" s="339" t="s">
        <v>437</v>
      </c>
      <c r="C124" s="340" t="s">
        <v>624</v>
      </c>
      <c r="D124" s="451"/>
      <c r="E124" s="288" t="s">
        <v>625</v>
      </c>
      <c r="F124" s="271">
        <v>30</v>
      </c>
      <c r="G124" s="452"/>
      <c r="H124" s="272"/>
      <c r="I124" s="272"/>
      <c r="J124" s="272"/>
      <c r="K124" s="272"/>
      <c r="L124" s="272"/>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row>
    <row r="125" spans="1:42" hidden="1" x14ac:dyDescent="0.2">
      <c r="A125" s="341"/>
      <c r="B125" s="342"/>
      <c r="C125" s="340"/>
      <c r="D125" s="451"/>
      <c r="E125" s="288" t="s">
        <v>626</v>
      </c>
      <c r="F125" s="271">
        <v>30</v>
      </c>
      <c r="G125" s="452"/>
      <c r="H125" s="272"/>
      <c r="I125" s="272"/>
      <c r="J125" s="272"/>
      <c r="K125" s="272"/>
      <c r="L125" s="272"/>
      <c r="M125" s="272"/>
      <c r="N125" s="272"/>
      <c r="O125" s="272"/>
      <c r="P125" s="272"/>
      <c r="Q125" s="272"/>
      <c r="R125" s="272"/>
      <c r="S125" s="272"/>
      <c r="T125" s="272"/>
      <c r="U125" s="272"/>
      <c r="V125" s="272"/>
      <c r="W125" s="272"/>
      <c r="X125" s="272"/>
      <c r="Y125" s="272"/>
      <c r="Z125" s="272"/>
      <c r="AA125" s="272"/>
      <c r="AB125" s="272"/>
      <c r="AC125" s="272"/>
      <c r="AD125" s="272"/>
      <c r="AE125" s="272"/>
      <c r="AF125" s="272"/>
      <c r="AG125" s="272"/>
      <c r="AH125" s="272"/>
      <c r="AI125" s="272"/>
      <c r="AJ125" s="272"/>
      <c r="AK125" s="272"/>
      <c r="AL125" s="272"/>
      <c r="AM125" s="272"/>
      <c r="AN125" s="272"/>
      <c r="AO125" s="272"/>
      <c r="AP125" s="272"/>
    </row>
    <row r="126" spans="1:42" ht="12.75" hidden="1" x14ac:dyDescent="0.2">
      <c r="A126" s="335" t="s">
        <v>627</v>
      </c>
      <c r="B126" s="343">
        <f>B128*1000000</f>
        <v>0</v>
      </c>
      <c r="C126" s="343"/>
      <c r="D126" s="343"/>
      <c r="E126" s="272"/>
      <c r="F126" s="272"/>
      <c r="G126" s="272"/>
      <c r="H126" s="272"/>
      <c r="I126" s="272"/>
      <c r="J126" s="272"/>
      <c r="K126" s="272"/>
      <c r="L126" s="272"/>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row>
    <row r="127" spans="1:42" ht="12.75" hidden="1" x14ac:dyDescent="0.2">
      <c r="A127" s="335" t="s">
        <v>628</v>
      </c>
      <c r="B127" s="344">
        <v>1E-3</v>
      </c>
      <c r="C127" s="272">
        <v>2018</v>
      </c>
      <c r="D127" s="272">
        <v>2019</v>
      </c>
      <c r="E127" s="272">
        <v>2020</v>
      </c>
      <c r="F127" s="272">
        <v>2021</v>
      </c>
      <c r="G127" s="272">
        <v>2022</v>
      </c>
      <c r="H127" s="272">
        <v>2023</v>
      </c>
      <c r="I127" s="272">
        <v>2024</v>
      </c>
      <c r="J127" s="272"/>
      <c r="K127" s="272"/>
      <c r="L127" s="272"/>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row>
    <row r="128" spans="1:42" ht="12.75" hidden="1" x14ac:dyDescent="0.2">
      <c r="A128" s="327"/>
      <c r="B128" s="345">
        <f>SUM(C128:F128)</f>
        <v>0</v>
      </c>
      <c r="C128" s="345">
        <v>0</v>
      </c>
      <c r="D128" s="345">
        <v>0</v>
      </c>
      <c r="E128" s="345">
        <f>'6.2. Паспорт фин осв ввод'!L24</f>
        <v>0</v>
      </c>
      <c r="F128" s="345">
        <f>'6.2. Паспорт фин осв ввод'!P24</f>
        <v>0</v>
      </c>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row>
    <row r="129" spans="1:51" ht="12.75" hidden="1" x14ac:dyDescent="0.2">
      <c r="A129" s="335" t="s">
        <v>629</v>
      </c>
      <c r="B129" s="346">
        <v>9.8699999999999996E-2</v>
      </c>
      <c r="C129" s="272"/>
      <c r="D129" s="272"/>
      <c r="E129" s="272"/>
      <c r="F129" s="272"/>
      <c r="G129" s="272"/>
      <c r="H129" s="272"/>
      <c r="I129" s="272"/>
      <c r="J129" s="272"/>
      <c r="K129" s="272"/>
      <c r="L129" s="272"/>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row>
    <row r="130" spans="1:51" hidden="1" x14ac:dyDescent="0.2">
      <c r="A130" s="347"/>
      <c r="B130" s="348"/>
      <c r="C130" s="272"/>
      <c r="D130" s="272"/>
      <c r="E130" s="272"/>
      <c r="F130" s="272"/>
      <c r="G130" s="272"/>
      <c r="H130" s="272"/>
      <c r="I130" s="272"/>
      <c r="J130" s="272"/>
      <c r="K130" s="272"/>
      <c r="L130" s="272"/>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row>
    <row r="131" spans="1:51" ht="12.75" hidden="1" x14ac:dyDescent="0.2">
      <c r="A131" s="330" t="s">
        <v>633</v>
      </c>
      <c r="B131" s="349">
        <v>0.74426999999999999</v>
      </c>
      <c r="C131" s="272"/>
      <c r="D131" s="272"/>
      <c r="E131" s="272"/>
      <c r="F131" s="272"/>
      <c r="G131" s="272"/>
      <c r="H131" s="272"/>
      <c r="I131" s="272"/>
      <c r="J131" s="272"/>
      <c r="K131" s="272"/>
      <c r="L131" s="272"/>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row>
    <row r="132" spans="1:51" ht="12.75" hidden="1" x14ac:dyDescent="0.2">
      <c r="A132" s="272"/>
      <c r="B132" s="272"/>
      <c r="C132" s="272"/>
      <c r="D132" s="272"/>
      <c r="E132" s="272"/>
      <c r="F132" s="272"/>
      <c r="G132" s="272"/>
      <c r="H132" s="272"/>
      <c r="I132" s="272"/>
      <c r="J132" s="272"/>
      <c r="K132" s="272"/>
      <c r="L132" s="272"/>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row>
    <row r="133" spans="1:51" ht="12.75" hidden="1" x14ac:dyDescent="0.2">
      <c r="A133" s="327"/>
      <c r="B133" s="272"/>
      <c r="C133" s="272" t="s">
        <v>635</v>
      </c>
      <c r="D133" s="272"/>
      <c r="E133" s="272"/>
      <c r="F133" s="272"/>
      <c r="G133" s="272"/>
      <c r="H133" s="272"/>
      <c r="I133" s="272"/>
      <c r="J133" s="272"/>
      <c r="K133" s="272"/>
      <c r="L133" s="272"/>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row>
    <row r="134" spans="1:51" hidden="1" x14ac:dyDescent="0.2">
      <c r="A134" s="335" t="s">
        <v>630</v>
      </c>
      <c r="C134" s="272"/>
      <c r="D134" s="272"/>
      <c r="E134" s="272"/>
      <c r="F134" s="272"/>
      <c r="G134" s="272"/>
      <c r="H134" s="272"/>
      <c r="I134" s="272"/>
      <c r="J134" s="272"/>
      <c r="K134" s="272"/>
      <c r="L134" s="272"/>
      <c r="M134" s="272"/>
      <c r="N134" s="272"/>
      <c r="O134" s="272"/>
      <c r="P134" s="272"/>
      <c r="Q134" s="272"/>
      <c r="R134" s="272"/>
      <c r="S134" s="272"/>
      <c r="T134" s="272"/>
      <c r="U134" s="272"/>
      <c r="V134" s="272"/>
      <c r="W134" s="272"/>
      <c r="X134" s="272"/>
      <c r="Y134" s="272"/>
      <c r="Z134" s="272"/>
      <c r="AA134" s="272"/>
      <c r="AB134" s="272"/>
      <c r="AC134" s="272"/>
      <c r="AD134" s="272"/>
      <c r="AE134" s="272"/>
      <c r="AF134" s="272"/>
      <c r="AG134" s="272"/>
      <c r="AH134" s="272"/>
      <c r="AI134" s="272"/>
      <c r="AJ134" s="272"/>
      <c r="AK134" s="272"/>
      <c r="AL134" s="272"/>
      <c r="AM134" s="272"/>
      <c r="AN134" s="272"/>
      <c r="AO134" s="272"/>
      <c r="AP134" s="272"/>
    </row>
    <row r="135" spans="1:51" ht="12.75" hidden="1" x14ac:dyDescent="0.2">
      <c r="A135" s="335"/>
      <c r="B135" s="336">
        <v>2016</v>
      </c>
      <c r="C135" s="336">
        <f>B135+1</f>
        <v>2017</v>
      </c>
      <c r="D135" s="336">
        <f t="shared" ref="D135:AY135" si="75">C135+1</f>
        <v>2018</v>
      </c>
      <c r="E135" s="336">
        <f t="shared" si="75"/>
        <v>2019</v>
      </c>
      <c r="F135" s="336">
        <f t="shared" si="75"/>
        <v>2020</v>
      </c>
      <c r="G135" s="336">
        <f t="shared" si="75"/>
        <v>2021</v>
      </c>
      <c r="H135" s="336">
        <f t="shared" si="75"/>
        <v>2022</v>
      </c>
      <c r="I135" s="336">
        <f t="shared" si="75"/>
        <v>2023</v>
      </c>
      <c r="J135" s="336">
        <f t="shared" si="75"/>
        <v>2024</v>
      </c>
      <c r="K135" s="336">
        <f t="shared" si="75"/>
        <v>2025</v>
      </c>
      <c r="L135" s="336">
        <f t="shared" si="75"/>
        <v>2026</v>
      </c>
      <c r="M135" s="336">
        <f t="shared" si="75"/>
        <v>2027</v>
      </c>
      <c r="N135" s="336">
        <f t="shared" si="75"/>
        <v>2028</v>
      </c>
      <c r="O135" s="336">
        <f t="shared" si="75"/>
        <v>2029</v>
      </c>
      <c r="P135" s="336">
        <f t="shared" si="75"/>
        <v>2030</v>
      </c>
      <c r="Q135" s="336">
        <f t="shared" si="75"/>
        <v>2031</v>
      </c>
      <c r="R135" s="336">
        <f t="shared" si="75"/>
        <v>2032</v>
      </c>
      <c r="S135" s="336">
        <f t="shared" si="75"/>
        <v>2033</v>
      </c>
      <c r="T135" s="336">
        <f t="shared" si="75"/>
        <v>2034</v>
      </c>
      <c r="U135" s="336">
        <f t="shared" si="75"/>
        <v>2035</v>
      </c>
      <c r="V135" s="336">
        <f t="shared" si="75"/>
        <v>2036</v>
      </c>
      <c r="W135" s="336">
        <f t="shared" si="75"/>
        <v>2037</v>
      </c>
      <c r="X135" s="336">
        <f t="shared" si="75"/>
        <v>2038</v>
      </c>
      <c r="Y135" s="336">
        <f t="shared" si="75"/>
        <v>2039</v>
      </c>
      <c r="Z135" s="336">
        <f t="shared" si="75"/>
        <v>2040</v>
      </c>
      <c r="AA135" s="336">
        <f t="shared" si="75"/>
        <v>2041</v>
      </c>
      <c r="AB135" s="336">
        <f t="shared" si="75"/>
        <v>2042</v>
      </c>
      <c r="AC135" s="336">
        <f t="shared" si="75"/>
        <v>2043</v>
      </c>
      <c r="AD135" s="336">
        <f t="shared" si="75"/>
        <v>2044</v>
      </c>
      <c r="AE135" s="336">
        <f t="shared" si="75"/>
        <v>2045</v>
      </c>
      <c r="AF135" s="336">
        <f t="shared" si="75"/>
        <v>2046</v>
      </c>
      <c r="AG135" s="336">
        <f t="shared" si="75"/>
        <v>2047</v>
      </c>
      <c r="AH135" s="336">
        <f t="shared" si="75"/>
        <v>2048</v>
      </c>
      <c r="AI135" s="336">
        <f t="shared" si="75"/>
        <v>2049</v>
      </c>
      <c r="AJ135" s="336">
        <f t="shared" si="75"/>
        <v>2050</v>
      </c>
      <c r="AK135" s="336">
        <f t="shared" si="75"/>
        <v>2051</v>
      </c>
      <c r="AL135" s="336">
        <f t="shared" si="75"/>
        <v>2052</v>
      </c>
      <c r="AM135" s="336">
        <f t="shared" si="75"/>
        <v>2053</v>
      </c>
      <c r="AN135" s="336">
        <f t="shared" si="75"/>
        <v>2054</v>
      </c>
      <c r="AO135" s="336">
        <f t="shared" si="75"/>
        <v>2055</v>
      </c>
      <c r="AP135" s="336">
        <f t="shared" si="75"/>
        <v>2056</v>
      </c>
      <c r="AQ135" s="336">
        <f t="shared" si="75"/>
        <v>2057</v>
      </c>
      <c r="AR135" s="336">
        <f t="shared" si="75"/>
        <v>2058</v>
      </c>
      <c r="AS135" s="336">
        <f t="shared" si="75"/>
        <v>2059</v>
      </c>
      <c r="AT135" s="336">
        <f t="shared" si="75"/>
        <v>2060</v>
      </c>
      <c r="AU135" s="336">
        <f t="shared" si="75"/>
        <v>2061</v>
      </c>
      <c r="AV135" s="336">
        <f t="shared" si="75"/>
        <v>2062</v>
      </c>
      <c r="AW135" s="336">
        <f t="shared" si="75"/>
        <v>2063</v>
      </c>
      <c r="AX135" s="336">
        <f t="shared" si="75"/>
        <v>2064</v>
      </c>
      <c r="AY135" s="336">
        <f t="shared" si="75"/>
        <v>2065</v>
      </c>
    </row>
    <row r="136" spans="1:51" ht="12.75" hidden="1" x14ac:dyDescent="0.2">
      <c r="A136" s="335" t="s">
        <v>631</v>
      </c>
      <c r="B136" s="336"/>
      <c r="C136" s="350"/>
      <c r="D136" s="350"/>
      <c r="E136" s="350"/>
      <c r="F136" s="350">
        <v>5.6000000000000001E-2</v>
      </c>
      <c r="G136" s="350">
        <v>5.3999999999999999E-2</v>
      </c>
      <c r="H136" s="350">
        <v>5.0999999999999997E-2</v>
      </c>
      <c r="I136" s="350">
        <v>4.9000000000000002E-2</v>
      </c>
      <c r="J136" s="350">
        <v>4.7E-2</v>
      </c>
      <c r="K136" s="350">
        <v>4.7E-2</v>
      </c>
      <c r="L136" s="350">
        <v>4.7E-2</v>
      </c>
      <c r="M136" s="350">
        <v>4.7E-2</v>
      </c>
      <c r="N136" s="350">
        <v>4.7E-2</v>
      </c>
      <c r="O136" s="350">
        <v>4.7E-2</v>
      </c>
      <c r="P136" s="350">
        <v>4.7E-2</v>
      </c>
      <c r="Q136" s="350">
        <v>4.7E-2</v>
      </c>
      <c r="R136" s="350">
        <v>4.7E-2</v>
      </c>
      <c r="S136" s="350">
        <v>4.7E-2</v>
      </c>
      <c r="T136" s="350">
        <v>4.7E-2</v>
      </c>
      <c r="U136" s="350">
        <v>4.7E-2</v>
      </c>
      <c r="V136" s="350">
        <v>4.7E-2</v>
      </c>
      <c r="W136" s="350">
        <v>4.7E-2</v>
      </c>
      <c r="X136" s="350">
        <v>4.7E-2</v>
      </c>
      <c r="Y136" s="350">
        <v>4.7E-2</v>
      </c>
      <c r="Z136" s="350">
        <v>4.7E-2</v>
      </c>
      <c r="AA136" s="350">
        <v>4.7E-2</v>
      </c>
      <c r="AB136" s="350">
        <v>4.7E-2</v>
      </c>
      <c r="AC136" s="350">
        <v>4.7E-2</v>
      </c>
      <c r="AD136" s="350">
        <v>4.7E-2</v>
      </c>
      <c r="AE136" s="350">
        <v>4.7E-2</v>
      </c>
      <c r="AF136" s="350">
        <v>4.7E-2</v>
      </c>
      <c r="AG136" s="350">
        <v>4.7E-2</v>
      </c>
      <c r="AH136" s="350">
        <v>4.7E-2</v>
      </c>
      <c r="AI136" s="350">
        <v>4.7E-2</v>
      </c>
      <c r="AJ136" s="350">
        <v>4.2000000000000003E-2</v>
      </c>
      <c r="AK136" s="350">
        <v>4.2000000000000003E-2</v>
      </c>
      <c r="AL136" s="350">
        <v>4.2000000000000003E-2</v>
      </c>
      <c r="AM136" s="350">
        <v>4.2000000000000003E-2</v>
      </c>
      <c r="AN136" s="350">
        <v>4.2000000000000003E-2</v>
      </c>
      <c r="AO136" s="350">
        <v>4.2000000000000003E-2</v>
      </c>
      <c r="AP136" s="350">
        <v>4.2000000000000003E-2</v>
      </c>
      <c r="AQ136" s="350">
        <v>4.2000000000000003E-2</v>
      </c>
      <c r="AR136" s="350">
        <v>4.2000000000000003E-2</v>
      </c>
      <c r="AS136" s="350">
        <v>4.2000000000000003E-2</v>
      </c>
      <c r="AT136" s="350">
        <v>4.2000000000000003E-2</v>
      </c>
      <c r="AU136" s="350">
        <f t="shared" ref="AU136:AY136" si="76">AT136</f>
        <v>4.2000000000000003E-2</v>
      </c>
      <c r="AV136" s="350">
        <f t="shared" si="76"/>
        <v>4.2000000000000003E-2</v>
      </c>
      <c r="AW136" s="350">
        <f t="shared" si="76"/>
        <v>4.2000000000000003E-2</v>
      </c>
      <c r="AX136" s="350">
        <f t="shared" si="76"/>
        <v>4.2000000000000003E-2</v>
      </c>
      <c r="AY136" s="350">
        <f t="shared" si="76"/>
        <v>4.2000000000000003E-2</v>
      </c>
    </row>
    <row r="137" spans="1:51" ht="15" hidden="1" x14ac:dyDescent="0.2">
      <c r="A137" s="335" t="s">
        <v>632</v>
      </c>
      <c r="B137" s="351"/>
      <c r="C137" s="309">
        <f>(1+B137)*(1+C136)-1</f>
        <v>0</v>
      </c>
      <c r="D137" s="309">
        <f>(1+C137)*(1+D136)-1</f>
        <v>0</v>
      </c>
      <c r="E137" s="309">
        <f>(1+D137)*(1+E136)-1</f>
        <v>0</v>
      </c>
      <c r="F137" s="309">
        <f t="shared" ref="F137:AY137" si="77">(1+E137)*(1+F136)-1</f>
        <v>5.600000000000005E-2</v>
      </c>
      <c r="G137" s="309">
        <f>(1+F137)*(1+G136)-1</f>
        <v>0.11302400000000001</v>
      </c>
      <c r="H137" s="309">
        <f t="shared" si="77"/>
        <v>0.16978822399999993</v>
      </c>
      <c r="I137" s="309">
        <f t="shared" si="77"/>
        <v>0.22710784697599995</v>
      </c>
      <c r="J137" s="309">
        <f t="shared" si="77"/>
        <v>0.2847819157838718</v>
      </c>
      <c r="K137" s="309">
        <f t="shared" si="77"/>
        <v>0.34516666582571376</v>
      </c>
      <c r="L137" s="309">
        <f t="shared" si="77"/>
        <v>0.40838949911952227</v>
      </c>
      <c r="M137" s="309">
        <f t="shared" si="77"/>
        <v>0.47458380557813973</v>
      </c>
      <c r="N137" s="309">
        <f t="shared" si="77"/>
        <v>0.54388924444031228</v>
      </c>
      <c r="O137" s="309">
        <f t="shared" si="77"/>
        <v>0.61645203892900691</v>
      </c>
      <c r="P137" s="309">
        <f t="shared" si="77"/>
        <v>0.69242528475867005</v>
      </c>
      <c r="Q137" s="309">
        <f t="shared" si="77"/>
        <v>0.77196927314232733</v>
      </c>
      <c r="R137" s="309">
        <f t="shared" si="77"/>
        <v>0.85525182898001662</v>
      </c>
      <c r="S137" s="309">
        <f t="shared" si="77"/>
        <v>0.94244866494207735</v>
      </c>
      <c r="T137" s="309">
        <f t="shared" si="77"/>
        <v>1.0337437521943547</v>
      </c>
      <c r="U137" s="309">
        <f t="shared" si="77"/>
        <v>1.1293297085474894</v>
      </c>
      <c r="V137" s="309">
        <f t="shared" si="77"/>
        <v>1.2294082048492214</v>
      </c>
      <c r="W137" s="309">
        <f t="shared" si="77"/>
        <v>1.3341903904771346</v>
      </c>
      <c r="X137" s="309">
        <f t="shared" si="77"/>
        <v>1.4438973388295597</v>
      </c>
      <c r="Y137" s="309">
        <f t="shared" si="77"/>
        <v>1.558760513754549</v>
      </c>
      <c r="Z137" s="309">
        <f t="shared" si="77"/>
        <v>1.6790222579010128</v>
      </c>
      <c r="AA137" s="309">
        <f t="shared" si="77"/>
        <v>1.8049363040223603</v>
      </c>
      <c r="AB137" s="309">
        <f t="shared" si="77"/>
        <v>1.9367683103114111</v>
      </c>
      <c r="AC137" s="309">
        <f t="shared" si="77"/>
        <v>2.074796420896047</v>
      </c>
      <c r="AD137" s="309">
        <f t="shared" si="77"/>
        <v>2.2193118526781608</v>
      </c>
      <c r="AE137" s="309">
        <f t="shared" si="77"/>
        <v>2.3706195097540341</v>
      </c>
      <c r="AF137" s="309">
        <f t="shared" si="77"/>
        <v>2.5290386267124734</v>
      </c>
      <c r="AG137" s="309">
        <f t="shared" si="77"/>
        <v>2.6949034421679592</v>
      </c>
      <c r="AH137" s="309">
        <f t="shared" si="77"/>
        <v>2.8685639039498532</v>
      </c>
      <c r="AI137" s="309">
        <f t="shared" si="77"/>
        <v>3.0503864074354956</v>
      </c>
      <c r="AJ137" s="309">
        <f t="shared" si="77"/>
        <v>3.2205026365477867</v>
      </c>
      <c r="AK137" s="309">
        <f t="shared" si="77"/>
        <v>3.3977637472827942</v>
      </c>
      <c r="AL137" s="309">
        <f t="shared" si="77"/>
        <v>3.5824698246686717</v>
      </c>
      <c r="AM137" s="309">
        <f t="shared" si="77"/>
        <v>3.774933557304756</v>
      </c>
      <c r="AN137" s="309">
        <f t="shared" si="77"/>
        <v>3.9754807667115557</v>
      </c>
      <c r="AO137" s="309">
        <f t="shared" si="77"/>
        <v>4.1844509589134411</v>
      </c>
      <c r="AP137" s="309">
        <f t="shared" si="77"/>
        <v>4.4021978991878061</v>
      </c>
      <c r="AQ137" s="309">
        <f t="shared" si="77"/>
        <v>4.6290902109536942</v>
      </c>
      <c r="AR137" s="309">
        <f t="shared" si="77"/>
        <v>4.8655119998137497</v>
      </c>
      <c r="AS137" s="309">
        <f t="shared" si="77"/>
        <v>5.1118635038059272</v>
      </c>
      <c r="AT137" s="309">
        <f t="shared" si="77"/>
        <v>5.3685617709657762</v>
      </c>
      <c r="AU137" s="309">
        <f t="shared" si="77"/>
        <v>5.6360413653463395</v>
      </c>
      <c r="AV137" s="309">
        <f t="shared" si="77"/>
        <v>5.9147551026908856</v>
      </c>
      <c r="AW137" s="309">
        <f>(1+AV137)*(1+AW136)-1</f>
        <v>6.2051748170039032</v>
      </c>
      <c r="AX137" s="309">
        <f t="shared" si="77"/>
        <v>6.5077921593180674</v>
      </c>
      <c r="AY137" s="309">
        <f t="shared" si="77"/>
        <v>6.8231194300094264</v>
      </c>
    </row>
    <row r="138" spans="1:51" hidden="1" x14ac:dyDescent="0.2">
      <c r="B138" s="351"/>
      <c r="C138" s="352"/>
      <c r="D138" s="352"/>
      <c r="E138" s="352"/>
      <c r="F138" s="352"/>
      <c r="G138" s="352"/>
      <c r="H138" s="352"/>
      <c r="I138" s="352"/>
      <c r="J138" s="352"/>
      <c r="K138" s="352"/>
      <c r="L138" s="352"/>
      <c r="M138" s="352"/>
      <c r="N138" s="352"/>
      <c r="O138" s="352"/>
      <c r="P138" s="352"/>
      <c r="Q138" s="352"/>
      <c r="R138" s="352"/>
      <c r="S138" s="352"/>
      <c r="T138" s="352"/>
      <c r="U138" s="352"/>
      <c r="V138" s="352"/>
      <c r="W138" s="352"/>
      <c r="X138" s="352"/>
      <c r="Y138" s="352"/>
      <c r="Z138" s="352"/>
      <c r="AA138" s="352"/>
      <c r="AB138" s="352"/>
      <c r="AC138" s="352"/>
      <c r="AD138" s="352"/>
      <c r="AE138" s="352"/>
      <c r="AF138" s="352"/>
      <c r="AG138" s="352"/>
      <c r="AH138" s="352"/>
      <c r="AI138" s="352"/>
      <c r="AJ138" s="352"/>
      <c r="AK138" s="352"/>
      <c r="AL138" s="352"/>
      <c r="AM138" s="352"/>
      <c r="AN138" s="352"/>
      <c r="AO138" s="352"/>
      <c r="AP138" s="352"/>
    </row>
    <row r="139" spans="1:51" ht="12.75" hidden="1" x14ac:dyDescent="0.2">
      <c r="A139" s="327"/>
      <c r="B139" s="336">
        <v>2016</v>
      </c>
      <c r="C139" s="336">
        <f>B139+1</f>
        <v>2017</v>
      </c>
      <c r="D139" s="336">
        <f t="shared" ref="D139:S140" si="78">C139+1</f>
        <v>2018</v>
      </c>
      <c r="E139" s="336">
        <f t="shared" si="78"/>
        <v>2019</v>
      </c>
      <c r="F139" s="336">
        <f t="shared" si="78"/>
        <v>2020</v>
      </c>
      <c r="G139" s="336">
        <f t="shared" si="78"/>
        <v>2021</v>
      </c>
      <c r="H139" s="336">
        <f t="shared" si="78"/>
        <v>2022</v>
      </c>
      <c r="I139" s="336">
        <f t="shared" si="78"/>
        <v>2023</v>
      </c>
      <c r="J139" s="336">
        <f t="shared" si="78"/>
        <v>2024</v>
      </c>
      <c r="K139" s="336">
        <f t="shared" si="78"/>
        <v>2025</v>
      </c>
      <c r="L139" s="336">
        <f t="shared" si="78"/>
        <v>2026</v>
      </c>
      <c r="M139" s="336">
        <f t="shared" si="78"/>
        <v>2027</v>
      </c>
      <c r="N139" s="336">
        <f t="shared" si="78"/>
        <v>2028</v>
      </c>
      <c r="O139" s="336">
        <f t="shared" si="78"/>
        <v>2029</v>
      </c>
      <c r="P139" s="336">
        <f t="shared" si="78"/>
        <v>2030</v>
      </c>
      <c r="Q139" s="336">
        <f t="shared" si="78"/>
        <v>2031</v>
      </c>
      <c r="R139" s="336">
        <f t="shared" si="78"/>
        <v>2032</v>
      </c>
      <c r="S139" s="336">
        <f t="shared" si="78"/>
        <v>2033</v>
      </c>
      <c r="T139" s="336">
        <f t="shared" ref="T139:AI140" si="79">S139+1</f>
        <v>2034</v>
      </c>
      <c r="U139" s="336">
        <f t="shared" si="79"/>
        <v>2035</v>
      </c>
      <c r="V139" s="336">
        <f t="shared" si="79"/>
        <v>2036</v>
      </c>
      <c r="W139" s="336">
        <f t="shared" si="79"/>
        <v>2037</v>
      </c>
      <c r="X139" s="336">
        <f t="shared" si="79"/>
        <v>2038</v>
      </c>
      <c r="Y139" s="336">
        <f t="shared" si="79"/>
        <v>2039</v>
      </c>
      <c r="Z139" s="336">
        <f t="shared" si="79"/>
        <v>2040</v>
      </c>
      <c r="AA139" s="336">
        <f t="shared" si="79"/>
        <v>2041</v>
      </c>
      <c r="AB139" s="336">
        <f t="shared" si="79"/>
        <v>2042</v>
      </c>
      <c r="AC139" s="336">
        <f t="shared" si="79"/>
        <v>2043</v>
      </c>
      <c r="AD139" s="336">
        <f t="shared" si="79"/>
        <v>2044</v>
      </c>
      <c r="AE139" s="336">
        <f t="shared" si="79"/>
        <v>2045</v>
      </c>
      <c r="AF139" s="336">
        <f t="shared" si="79"/>
        <v>2046</v>
      </c>
      <c r="AG139" s="336">
        <f t="shared" si="79"/>
        <v>2047</v>
      </c>
      <c r="AH139" s="336">
        <f t="shared" si="79"/>
        <v>2048</v>
      </c>
      <c r="AI139" s="336">
        <f t="shared" si="79"/>
        <v>2049</v>
      </c>
      <c r="AJ139" s="336">
        <f t="shared" ref="AJ139:AY140" si="80">AI139+1</f>
        <v>2050</v>
      </c>
      <c r="AK139" s="336">
        <f t="shared" si="80"/>
        <v>2051</v>
      </c>
      <c r="AL139" s="336">
        <f t="shared" si="80"/>
        <v>2052</v>
      </c>
      <c r="AM139" s="336">
        <f t="shared" si="80"/>
        <v>2053</v>
      </c>
      <c r="AN139" s="336">
        <f t="shared" si="80"/>
        <v>2054</v>
      </c>
      <c r="AO139" s="336">
        <f t="shared" si="80"/>
        <v>2055</v>
      </c>
      <c r="AP139" s="336">
        <f t="shared" si="80"/>
        <v>2056</v>
      </c>
      <c r="AQ139" s="336">
        <f t="shared" si="80"/>
        <v>2057</v>
      </c>
      <c r="AR139" s="336">
        <f t="shared" si="80"/>
        <v>2058</v>
      </c>
      <c r="AS139" s="336">
        <f t="shared" si="80"/>
        <v>2059</v>
      </c>
      <c r="AT139" s="336">
        <f t="shared" si="80"/>
        <v>2060</v>
      </c>
      <c r="AU139" s="336">
        <f t="shared" si="80"/>
        <v>2061</v>
      </c>
      <c r="AV139" s="336">
        <f t="shared" si="80"/>
        <v>2062</v>
      </c>
      <c r="AW139" s="336">
        <f t="shared" si="80"/>
        <v>2063</v>
      </c>
      <c r="AX139" s="336">
        <f t="shared" si="80"/>
        <v>2064</v>
      </c>
      <c r="AY139" s="336">
        <f t="shared" si="80"/>
        <v>2065</v>
      </c>
    </row>
    <row r="140" spans="1:51" hidden="1" x14ac:dyDescent="0.2">
      <c r="A140" s="327"/>
      <c r="B140" s="353">
        <v>0</v>
      </c>
      <c r="C140" s="353">
        <v>0</v>
      </c>
      <c r="D140" s="353">
        <v>0</v>
      </c>
      <c r="E140" s="353">
        <v>0</v>
      </c>
      <c r="F140" s="353">
        <v>1</v>
      </c>
      <c r="G140" s="353">
        <f t="shared" si="78"/>
        <v>2</v>
      </c>
      <c r="H140" s="353">
        <f t="shared" si="78"/>
        <v>3</v>
      </c>
      <c r="I140" s="353">
        <f t="shared" si="78"/>
        <v>4</v>
      </c>
      <c r="J140" s="353">
        <f t="shared" si="78"/>
        <v>5</v>
      </c>
      <c r="K140" s="353">
        <f t="shared" si="78"/>
        <v>6</v>
      </c>
      <c r="L140" s="353">
        <f t="shared" si="78"/>
        <v>7</v>
      </c>
      <c r="M140" s="353">
        <f t="shared" si="78"/>
        <v>8</v>
      </c>
      <c r="N140" s="353">
        <f t="shared" si="78"/>
        <v>9</v>
      </c>
      <c r="O140" s="353">
        <f t="shared" si="78"/>
        <v>10</v>
      </c>
      <c r="P140" s="353">
        <f t="shared" si="78"/>
        <v>11</v>
      </c>
      <c r="Q140" s="353">
        <f t="shared" si="78"/>
        <v>12</v>
      </c>
      <c r="R140" s="353">
        <f t="shared" si="78"/>
        <v>13</v>
      </c>
      <c r="S140" s="353">
        <f t="shared" si="78"/>
        <v>14</v>
      </c>
      <c r="T140" s="353">
        <f t="shared" si="79"/>
        <v>15</v>
      </c>
      <c r="U140" s="353">
        <f t="shared" si="79"/>
        <v>16</v>
      </c>
      <c r="V140" s="353">
        <f t="shared" si="79"/>
        <v>17</v>
      </c>
      <c r="W140" s="353">
        <f t="shared" si="79"/>
        <v>18</v>
      </c>
      <c r="X140" s="353">
        <f t="shared" si="79"/>
        <v>19</v>
      </c>
      <c r="Y140" s="353">
        <f t="shared" si="79"/>
        <v>20</v>
      </c>
      <c r="Z140" s="353">
        <f t="shared" si="79"/>
        <v>21</v>
      </c>
      <c r="AA140" s="353">
        <f t="shared" si="79"/>
        <v>22</v>
      </c>
      <c r="AB140" s="353">
        <f t="shared" si="79"/>
        <v>23</v>
      </c>
      <c r="AC140" s="353">
        <f t="shared" si="79"/>
        <v>24</v>
      </c>
      <c r="AD140" s="353">
        <f t="shared" si="79"/>
        <v>25</v>
      </c>
      <c r="AE140" s="353">
        <f t="shared" si="79"/>
        <v>26</v>
      </c>
      <c r="AF140" s="353">
        <f t="shared" si="79"/>
        <v>27</v>
      </c>
      <c r="AG140" s="353">
        <f t="shared" si="79"/>
        <v>28</v>
      </c>
      <c r="AH140" s="353">
        <f t="shared" si="79"/>
        <v>29</v>
      </c>
      <c r="AI140" s="353">
        <f t="shared" si="79"/>
        <v>30</v>
      </c>
      <c r="AJ140" s="353">
        <f t="shared" si="80"/>
        <v>31</v>
      </c>
      <c r="AK140" s="353">
        <f t="shared" si="80"/>
        <v>32</v>
      </c>
      <c r="AL140" s="353">
        <f t="shared" si="80"/>
        <v>33</v>
      </c>
      <c r="AM140" s="353">
        <f t="shared" si="80"/>
        <v>34</v>
      </c>
      <c r="AN140" s="353">
        <f t="shared" si="80"/>
        <v>35</v>
      </c>
      <c r="AO140" s="353">
        <f t="shared" si="80"/>
        <v>36</v>
      </c>
      <c r="AP140" s="353">
        <f>AO140+1</f>
        <v>37</v>
      </c>
      <c r="AQ140" s="353">
        <f t="shared" si="80"/>
        <v>38</v>
      </c>
      <c r="AR140" s="353">
        <f t="shared" si="80"/>
        <v>39</v>
      </c>
      <c r="AS140" s="353">
        <f t="shared" si="80"/>
        <v>40</v>
      </c>
      <c r="AT140" s="353">
        <f t="shared" si="80"/>
        <v>41</v>
      </c>
      <c r="AU140" s="353">
        <f t="shared" si="80"/>
        <v>42</v>
      </c>
      <c r="AV140" s="353">
        <f t="shared" si="80"/>
        <v>43</v>
      </c>
      <c r="AW140" s="353">
        <f t="shared" si="80"/>
        <v>44</v>
      </c>
      <c r="AX140" s="353">
        <f t="shared" si="80"/>
        <v>45</v>
      </c>
      <c r="AY140" s="353">
        <f t="shared" si="80"/>
        <v>46</v>
      </c>
    </row>
    <row r="141" spans="1:51" ht="15" hidden="1" x14ac:dyDescent="0.2">
      <c r="A141" s="327"/>
      <c r="B141" s="354">
        <f>AVERAGE(A140:B140)</f>
        <v>0</v>
      </c>
      <c r="C141" s="354">
        <f>AVERAGE(B140:C140)</f>
        <v>0</v>
      </c>
      <c r="D141" s="354">
        <f>AVERAGE(C140:D140)</f>
        <v>0</v>
      </c>
      <c r="E141" s="354">
        <f>AVERAGE(D140:E140)</f>
        <v>0</v>
      </c>
      <c r="F141" s="354">
        <f t="shared" ref="F141:AO141" si="81">AVERAGE(E140:F140)</f>
        <v>0.5</v>
      </c>
      <c r="G141" s="354">
        <f t="shared" si="81"/>
        <v>1.5</v>
      </c>
      <c r="H141" s="354">
        <f t="shared" si="81"/>
        <v>2.5</v>
      </c>
      <c r="I141" s="354">
        <f t="shared" si="81"/>
        <v>3.5</v>
      </c>
      <c r="J141" s="354">
        <f t="shared" si="81"/>
        <v>4.5</v>
      </c>
      <c r="K141" s="354">
        <f t="shared" si="81"/>
        <v>5.5</v>
      </c>
      <c r="L141" s="354">
        <f t="shared" si="81"/>
        <v>6.5</v>
      </c>
      <c r="M141" s="354">
        <f t="shared" si="81"/>
        <v>7.5</v>
      </c>
      <c r="N141" s="354">
        <f t="shared" si="81"/>
        <v>8.5</v>
      </c>
      <c r="O141" s="354">
        <f t="shared" si="81"/>
        <v>9.5</v>
      </c>
      <c r="P141" s="354">
        <f t="shared" si="81"/>
        <v>10.5</v>
      </c>
      <c r="Q141" s="354">
        <f t="shared" si="81"/>
        <v>11.5</v>
      </c>
      <c r="R141" s="354">
        <f t="shared" si="81"/>
        <v>12.5</v>
      </c>
      <c r="S141" s="354">
        <f t="shared" si="81"/>
        <v>13.5</v>
      </c>
      <c r="T141" s="354">
        <f t="shared" si="81"/>
        <v>14.5</v>
      </c>
      <c r="U141" s="354">
        <f t="shared" si="81"/>
        <v>15.5</v>
      </c>
      <c r="V141" s="354">
        <f t="shared" si="81"/>
        <v>16.5</v>
      </c>
      <c r="W141" s="354">
        <f t="shared" si="81"/>
        <v>17.5</v>
      </c>
      <c r="X141" s="354">
        <f t="shared" si="81"/>
        <v>18.5</v>
      </c>
      <c r="Y141" s="354">
        <f t="shared" si="81"/>
        <v>19.5</v>
      </c>
      <c r="Z141" s="354">
        <f t="shared" si="81"/>
        <v>20.5</v>
      </c>
      <c r="AA141" s="354">
        <f t="shared" si="81"/>
        <v>21.5</v>
      </c>
      <c r="AB141" s="354">
        <f t="shared" si="81"/>
        <v>22.5</v>
      </c>
      <c r="AC141" s="354">
        <f t="shared" si="81"/>
        <v>23.5</v>
      </c>
      <c r="AD141" s="354">
        <f t="shared" si="81"/>
        <v>24.5</v>
      </c>
      <c r="AE141" s="354">
        <f t="shared" si="81"/>
        <v>25.5</v>
      </c>
      <c r="AF141" s="354">
        <f t="shared" si="81"/>
        <v>26.5</v>
      </c>
      <c r="AG141" s="354">
        <f t="shared" si="81"/>
        <v>27.5</v>
      </c>
      <c r="AH141" s="354">
        <f t="shared" si="81"/>
        <v>28.5</v>
      </c>
      <c r="AI141" s="354">
        <f t="shared" si="81"/>
        <v>29.5</v>
      </c>
      <c r="AJ141" s="354">
        <f t="shared" si="81"/>
        <v>30.5</v>
      </c>
      <c r="AK141" s="354">
        <f t="shared" si="81"/>
        <v>31.5</v>
      </c>
      <c r="AL141" s="354">
        <f t="shared" si="81"/>
        <v>32.5</v>
      </c>
      <c r="AM141" s="354">
        <f t="shared" si="81"/>
        <v>33.5</v>
      </c>
      <c r="AN141" s="354">
        <f t="shared" si="81"/>
        <v>34.5</v>
      </c>
      <c r="AO141" s="354">
        <f t="shared" si="81"/>
        <v>35.5</v>
      </c>
      <c r="AP141" s="354">
        <f>AVERAGE(AO140:AP140)</f>
        <v>36.5</v>
      </c>
      <c r="AQ141" s="354">
        <f t="shared" ref="AQ141:AY141" si="82">AVERAGE(AP140:AQ140)</f>
        <v>37.5</v>
      </c>
      <c r="AR141" s="354">
        <f t="shared" si="82"/>
        <v>38.5</v>
      </c>
      <c r="AS141" s="354">
        <f t="shared" si="82"/>
        <v>39.5</v>
      </c>
      <c r="AT141" s="354">
        <f t="shared" si="82"/>
        <v>40.5</v>
      </c>
      <c r="AU141" s="354">
        <f t="shared" si="82"/>
        <v>41.5</v>
      </c>
      <c r="AV141" s="354">
        <f t="shared" si="82"/>
        <v>42.5</v>
      </c>
      <c r="AW141" s="354">
        <f t="shared" si="82"/>
        <v>43.5</v>
      </c>
      <c r="AX141" s="354">
        <f t="shared" si="82"/>
        <v>44.5</v>
      </c>
      <c r="AY141" s="354">
        <f t="shared" si="82"/>
        <v>45.5</v>
      </c>
    </row>
    <row r="142" spans="1:51" ht="12.75" hidden="1" x14ac:dyDescent="0.2">
      <c r="A142" s="327"/>
      <c r="B142" s="272"/>
      <c r="C142" s="272"/>
      <c r="D142" s="272"/>
      <c r="E142" s="272"/>
      <c r="F142" s="272"/>
      <c r="G142" s="272"/>
      <c r="H142" s="272"/>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row>
    <row r="143" spans="1:51" ht="12.75" hidden="1" x14ac:dyDescent="0.2">
      <c r="A143" s="327"/>
      <c r="B143" s="272"/>
      <c r="C143" s="272"/>
      <c r="D143" s="272"/>
      <c r="E143" s="272"/>
      <c r="F143" s="272"/>
      <c r="G143" s="272"/>
      <c r="H143" s="272"/>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row>
    <row r="144" spans="1:51" ht="12.75" hidden="1" x14ac:dyDescent="0.2">
      <c r="A144" s="327"/>
      <c r="B144" s="272"/>
      <c r="C144" s="272"/>
      <c r="D144" s="272"/>
      <c r="E144" s="272"/>
      <c r="F144" s="272"/>
      <c r="G144" s="272"/>
      <c r="H144" s="272"/>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row>
    <row r="145" spans="1:42" ht="12.75" hidden="1" x14ac:dyDescent="0.2">
      <c r="A145" s="327"/>
      <c r="B145" s="272"/>
      <c r="C145" s="272"/>
      <c r="D145" s="272"/>
      <c r="E145" s="272"/>
      <c r="F145" s="272"/>
      <c r="G145" s="272"/>
      <c r="H145" s="272"/>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row>
    <row r="146" spans="1:42" ht="12.75" hidden="1" x14ac:dyDescent="0.2">
      <c r="A146" s="327"/>
      <c r="B146" s="272"/>
      <c r="C146" s="272"/>
      <c r="D146" s="272"/>
      <c r="E146" s="272"/>
      <c r="F146" s="272"/>
      <c r="G146" s="272"/>
      <c r="H146" s="27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row>
    <row r="147" spans="1:42" ht="12.75" hidden="1" x14ac:dyDescent="0.2">
      <c r="A147" s="327"/>
      <c r="B147" s="272"/>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row>
    <row r="148" spans="1:42" ht="12.75" hidden="1" x14ac:dyDescent="0.2">
      <c r="A148" s="327"/>
      <c r="B148" s="272"/>
      <c r="C148" s="272"/>
      <c r="D148" s="272"/>
      <c r="E148" s="272"/>
      <c r="F148" s="272"/>
      <c r="G148" s="272"/>
      <c r="H148" s="272"/>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row>
    <row r="149" spans="1:42" ht="12.75" hidden="1" x14ac:dyDescent="0.2">
      <c r="A149" s="327"/>
      <c r="B149" s="272"/>
      <c r="C149" s="272"/>
      <c r="D149" s="272"/>
      <c r="E149" s="272"/>
      <c r="F149" s="272"/>
      <c r="G149" s="272"/>
      <c r="H149" s="272"/>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row>
    <row r="150" spans="1:42" ht="12.75" hidden="1" x14ac:dyDescent="0.2">
      <c r="A150" s="327"/>
      <c r="B150" s="272"/>
      <c r="C150" s="272"/>
      <c r="D150" s="272"/>
      <c r="E150" s="272"/>
      <c r="F150" s="272"/>
      <c r="G150" s="272"/>
      <c r="H150" s="272"/>
      <c r="I150" s="272"/>
      <c r="J150" s="272"/>
      <c r="K150" s="272"/>
      <c r="L150" s="272"/>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row>
    <row r="151" spans="1:42" ht="12.75" hidden="1" x14ac:dyDescent="0.2">
      <c r="A151" s="327"/>
      <c r="B151" s="272"/>
      <c r="C151" s="272"/>
      <c r="D151" s="272"/>
      <c r="E151" s="272"/>
      <c r="F151" s="272"/>
      <c r="G151" s="272"/>
      <c r="H151" s="272"/>
      <c r="I151" s="272"/>
      <c r="J151" s="272"/>
      <c r="K151" s="272"/>
      <c r="L151" s="272"/>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row>
    <row r="152" spans="1:42" ht="12.75" hidden="1" x14ac:dyDescent="0.2">
      <c r="A152" s="327"/>
      <c r="B152" s="272"/>
      <c r="C152" s="272"/>
      <c r="D152" s="272"/>
      <c r="E152" s="272"/>
      <c r="F152" s="272"/>
      <c r="G152" s="272"/>
      <c r="H152" s="272"/>
      <c r="I152" s="272"/>
      <c r="J152" s="272"/>
      <c r="K152" s="272"/>
      <c r="L152" s="272"/>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row>
    <row r="153" spans="1:42" ht="12.75" hidden="1" x14ac:dyDescent="0.2">
      <c r="A153" s="327"/>
      <c r="B153" s="272"/>
      <c r="C153" s="272"/>
      <c r="D153" s="272"/>
      <c r="E153" s="272"/>
      <c r="F153" s="272"/>
      <c r="G153" s="272"/>
      <c r="H153" s="272"/>
      <c r="I153" s="272"/>
      <c r="J153" s="272"/>
      <c r="K153" s="272"/>
      <c r="L153" s="272"/>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row>
    <row r="154" spans="1:42" ht="12.75" hidden="1" x14ac:dyDescent="0.2">
      <c r="A154" s="327"/>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row>
    <row r="155" spans="1:42" ht="12.75" hidden="1" x14ac:dyDescent="0.2">
      <c r="A155" s="327"/>
      <c r="B155" s="272"/>
      <c r="C155" s="272"/>
      <c r="D155" s="272"/>
      <c r="E155" s="272"/>
      <c r="F155" s="272"/>
      <c r="G155" s="272"/>
      <c r="H155" s="272"/>
      <c r="I155" s="272"/>
      <c r="J155" s="272"/>
      <c r="K155" s="272"/>
      <c r="L155" s="272"/>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row>
    <row r="156" spans="1:42" ht="12.75" hidden="1" x14ac:dyDescent="0.2">
      <c r="A156" s="327"/>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row>
    <row r="157" spans="1:42" ht="12.75" hidden="1" x14ac:dyDescent="0.2">
      <c r="A157" s="327"/>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row>
    <row r="158" spans="1:42" ht="12.75" hidden="1" x14ac:dyDescent="0.2">
      <c r="A158" s="327"/>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row>
    <row r="159" spans="1:42" ht="12.75" hidden="1" x14ac:dyDescent="0.2">
      <c r="A159" s="327"/>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row>
    <row r="160" spans="1:42" ht="12.75" hidden="1" x14ac:dyDescent="0.2">
      <c r="A160" s="327"/>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row>
    <row r="161" spans="1:42" ht="12.75" hidden="1" x14ac:dyDescent="0.2">
      <c r="A161" s="327"/>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row>
    <row r="162" spans="1:42" ht="12.75" hidden="1" x14ac:dyDescent="0.2">
      <c r="A162" s="327"/>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row>
    <row r="163" spans="1:42" ht="12.75" hidden="1" x14ac:dyDescent="0.2">
      <c r="A163" s="327"/>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row>
    <row r="164" spans="1:42" ht="12.75" hidden="1" x14ac:dyDescent="0.2">
      <c r="A164" s="327"/>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row>
    <row r="165" spans="1:42" ht="12.75" hidden="1" x14ac:dyDescent="0.2">
      <c r="A165" s="327"/>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row>
    <row r="166" spans="1:42" ht="12.75" hidden="1" x14ac:dyDescent="0.2">
      <c r="A166" s="327"/>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row>
    <row r="167" spans="1:42" ht="12.75" hidden="1" x14ac:dyDescent="0.2">
      <c r="A167" s="327"/>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row>
    <row r="168" spans="1:42" ht="12.75" hidden="1" x14ac:dyDescent="0.2">
      <c r="A168" s="327"/>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row>
    <row r="169" spans="1:42" ht="12.75" hidden="1" x14ac:dyDescent="0.2">
      <c r="A169" s="327"/>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row>
    <row r="170" spans="1:42" ht="12.75" hidden="1" x14ac:dyDescent="0.2">
      <c r="A170" s="327"/>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row>
    <row r="171" spans="1:42" ht="12.75" hidden="1" x14ac:dyDescent="0.2">
      <c r="A171" s="327"/>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row>
    <row r="172" spans="1:42" ht="12.75" hidden="1" x14ac:dyDescent="0.2">
      <c r="A172" s="327"/>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row>
    <row r="173" spans="1:42" ht="12.75" hidden="1" x14ac:dyDescent="0.2">
      <c r="A173" s="327"/>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row>
    <row r="174" spans="1:42" ht="12.75" hidden="1" x14ac:dyDescent="0.2">
      <c r="A174" s="327"/>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row>
    <row r="175" spans="1:42" ht="12.75" hidden="1" x14ac:dyDescent="0.2">
      <c r="A175" s="327"/>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row>
    <row r="176" spans="1:42" ht="12.75" hidden="1" x14ac:dyDescent="0.2">
      <c r="A176" s="327"/>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row>
    <row r="177" spans="1:42" ht="12.75" hidden="1" x14ac:dyDescent="0.2">
      <c r="A177" s="327"/>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row>
    <row r="178" spans="1:42" ht="12.75" hidden="1" x14ac:dyDescent="0.2">
      <c r="A178" s="327"/>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row>
    <row r="179" spans="1:42" ht="12.75" hidden="1" x14ac:dyDescent="0.2">
      <c r="A179" s="327"/>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row>
    <row r="180" spans="1:42" ht="12.75" hidden="1" x14ac:dyDescent="0.2">
      <c r="A180" s="327"/>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row>
    <row r="181" spans="1:42" ht="12.75" hidden="1" x14ac:dyDescent="0.2">
      <c r="A181" s="327"/>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row>
    <row r="182" spans="1:42" ht="12.75" hidden="1" x14ac:dyDescent="0.2">
      <c r="A182" s="327"/>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row>
    <row r="183" spans="1:42" ht="12.75" hidden="1" x14ac:dyDescent="0.2">
      <c r="A183" s="327"/>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row>
    <row r="184" spans="1:42" ht="12.75" hidden="1" x14ac:dyDescent="0.2">
      <c r="A184" s="327"/>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row>
    <row r="185" spans="1:42" ht="12.75" hidden="1" x14ac:dyDescent="0.2">
      <c r="A185" s="327"/>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row>
    <row r="186" spans="1:42" ht="12.75" hidden="1" x14ac:dyDescent="0.2">
      <c r="A186" s="327"/>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row>
    <row r="187" spans="1:42" ht="12.75" hidden="1" x14ac:dyDescent="0.2">
      <c r="A187" s="327"/>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row>
    <row r="188" spans="1:42" ht="12.75" hidden="1" x14ac:dyDescent="0.2">
      <c r="A188" s="327"/>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row>
    <row r="189" spans="1:42" ht="12.75" hidden="1" x14ac:dyDescent="0.2">
      <c r="A189" s="327"/>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row>
    <row r="190" spans="1:42" ht="12.75" hidden="1" x14ac:dyDescent="0.2">
      <c r="A190" s="327"/>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row>
    <row r="191" spans="1:42" ht="12.75" hidden="1" x14ac:dyDescent="0.2">
      <c r="A191" s="327"/>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row>
    <row r="192" spans="1:42" ht="12.75" hidden="1" x14ac:dyDescent="0.2">
      <c r="A192" s="327"/>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row>
    <row r="193" spans="1:42" ht="12.75" hidden="1" x14ac:dyDescent="0.2">
      <c r="A193" s="327"/>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row>
    <row r="194" spans="1:42" ht="12.75" hidden="1" x14ac:dyDescent="0.2">
      <c r="A194" s="327"/>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row>
    <row r="195" spans="1:42" ht="12.75" hidden="1" x14ac:dyDescent="0.2">
      <c r="A195" s="327"/>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row>
    <row r="196" spans="1:42" ht="12.75" hidden="1" x14ac:dyDescent="0.2">
      <c r="A196" s="327"/>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row>
    <row r="197" spans="1:42" ht="12.75" hidden="1" x14ac:dyDescent="0.2">
      <c r="A197" s="327"/>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row>
    <row r="198" spans="1:42" ht="12.75" hidden="1" x14ac:dyDescent="0.2">
      <c r="A198" s="327"/>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row>
    <row r="199" spans="1:42" ht="12.75" hidden="1" x14ac:dyDescent="0.2">
      <c r="A199" s="327"/>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row>
    <row r="200" spans="1:42" ht="12.75" hidden="1" x14ac:dyDescent="0.2">
      <c r="A200" s="327"/>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row>
    <row r="201" spans="1:42" ht="12.75" hidden="1" x14ac:dyDescent="0.2">
      <c r="A201" s="327"/>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row>
    <row r="202" spans="1:42" ht="12.75" hidden="1" x14ac:dyDescent="0.2">
      <c r="A202" s="327"/>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row>
    <row r="203" spans="1:42" ht="12.75" hidden="1" x14ac:dyDescent="0.2">
      <c r="A203" s="327"/>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row>
    <row r="204" spans="1:42" ht="12.75" hidden="1" x14ac:dyDescent="0.2">
      <c r="A204" s="327"/>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row>
    <row r="205" spans="1:42" ht="12.75" x14ac:dyDescent="0.2">
      <c r="A205" s="327"/>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row>
    <row r="206" spans="1:42" ht="12.75" x14ac:dyDescent="0.2">
      <c r="A206" s="327"/>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row>
    <row r="207" spans="1:42" ht="12.75" x14ac:dyDescent="0.2">
      <c r="A207" s="327"/>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row>
    <row r="208" spans="1:42" ht="12.75" x14ac:dyDescent="0.2">
      <c r="A208" s="327"/>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43" priority="2" operator="greaterThan">
      <formula>0</formula>
    </cfRule>
  </conditionalFormatting>
  <conditionalFormatting sqref="B25">
    <cfRule type="cellIs" dxfId="42" priority="1" operator="notEqual">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58" zoomScale="80" zoomScaleNormal="100" zoomScaleSheetLayoutView="80" workbookViewId="0">
      <selection activeCell="H35" sqref="H35"/>
    </sheetView>
  </sheetViews>
  <sheetFormatPr defaultRowHeight="15.75" x14ac:dyDescent="0.25"/>
  <cols>
    <col min="1" max="1" width="9.140625" style="44"/>
    <col min="2" max="2" width="37.7109375" style="44" customWidth="1"/>
    <col min="3" max="4" width="16" style="44" hidden="1" customWidth="1"/>
    <col min="5"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94" t="str">
        <f>'1. паспорт местоположение'!A5:C5</f>
        <v>Год раскрытия информации: 2022 год</v>
      </c>
      <c r="B5" s="394"/>
      <c r="C5" s="394"/>
      <c r="D5" s="394"/>
      <c r="E5" s="394"/>
      <c r="F5" s="394"/>
      <c r="G5" s="394"/>
      <c r="H5" s="394"/>
      <c r="I5" s="394"/>
      <c r="J5" s="394"/>
      <c r="K5" s="394"/>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row>
    <row r="6" spans="1:43" ht="18.75" x14ac:dyDescent="0.3">
      <c r="K6" s="14"/>
    </row>
    <row r="7" spans="1:43" ht="18.75" x14ac:dyDescent="0.25">
      <c r="A7" s="403" t="s">
        <v>7</v>
      </c>
      <c r="B7" s="403"/>
      <c r="C7" s="403"/>
      <c r="D7" s="403"/>
      <c r="E7" s="403"/>
      <c r="F7" s="403"/>
      <c r="G7" s="403"/>
      <c r="H7" s="403"/>
      <c r="I7" s="403"/>
      <c r="J7" s="403"/>
      <c r="K7" s="403"/>
    </row>
    <row r="8" spans="1:43" ht="18.75" x14ac:dyDescent="0.25">
      <c r="A8" s="403"/>
      <c r="B8" s="403"/>
      <c r="C8" s="403"/>
      <c r="D8" s="403"/>
      <c r="E8" s="403"/>
      <c r="F8" s="403"/>
      <c r="G8" s="403"/>
      <c r="H8" s="403"/>
      <c r="I8" s="403"/>
      <c r="J8" s="403"/>
      <c r="K8" s="403"/>
    </row>
    <row r="9" spans="1:43" x14ac:dyDescent="0.25">
      <c r="A9" s="401" t="str">
        <f>'1. паспорт местоположение'!A9:C9</f>
        <v xml:space="preserve">Акционерное общество "Западная энергетическая компания" </v>
      </c>
      <c r="B9" s="401"/>
      <c r="C9" s="401"/>
      <c r="D9" s="401"/>
      <c r="E9" s="401"/>
      <c r="F9" s="401"/>
      <c r="G9" s="401"/>
      <c r="H9" s="401"/>
      <c r="I9" s="401"/>
      <c r="J9" s="401"/>
      <c r="K9" s="401"/>
    </row>
    <row r="10" spans="1:43" x14ac:dyDescent="0.25">
      <c r="A10" s="407" t="s">
        <v>6</v>
      </c>
      <c r="B10" s="407"/>
      <c r="C10" s="407"/>
      <c r="D10" s="407"/>
      <c r="E10" s="407"/>
      <c r="F10" s="407"/>
      <c r="G10" s="407"/>
      <c r="H10" s="407"/>
      <c r="I10" s="407"/>
      <c r="J10" s="407"/>
      <c r="K10" s="407"/>
    </row>
    <row r="11" spans="1:43" ht="18.75" x14ac:dyDescent="0.25">
      <c r="A11" s="403"/>
      <c r="B11" s="403"/>
      <c r="C11" s="403"/>
      <c r="D11" s="403"/>
      <c r="E11" s="403"/>
      <c r="F11" s="403"/>
      <c r="G11" s="403"/>
      <c r="H11" s="403"/>
      <c r="I11" s="403"/>
      <c r="J11" s="403"/>
      <c r="K11" s="403"/>
    </row>
    <row r="12" spans="1:43" x14ac:dyDescent="0.25">
      <c r="A12" s="401" t="str">
        <f>'1. паспорт местоположение'!A12:C12</f>
        <v>M 22-01</v>
      </c>
      <c r="B12" s="401"/>
      <c r="C12" s="401"/>
      <c r="D12" s="401"/>
      <c r="E12" s="401"/>
      <c r="F12" s="401"/>
      <c r="G12" s="401"/>
      <c r="H12" s="401"/>
      <c r="I12" s="401"/>
      <c r="J12" s="401"/>
      <c r="K12" s="401"/>
    </row>
    <row r="13" spans="1:43" x14ac:dyDescent="0.25">
      <c r="A13" s="407" t="s">
        <v>5</v>
      </c>
      <c r="B13" s="407"/>
      <c r="C13" s="407"/>
      <c r="D13" s="407"/>
      <c r="E13" s="407"/>
      <c r="F13" s="407"/>
      <c r="G13" s="407"/>
      <c r="H13" s="407"/>
      <c r="I13" s="407"/>
      <c r="J13" s="407"/>
      <c r="K13" s="407"/>
    </row>
    <row r="14" spans="1:43" ht="18.75" x14ac:dyDescent="0.25">
      <c r="A14" s="408"/>
      <c r="B14" s="408"/>
      <c r="C14" s="408"/>
      <c r="D14" s="408"/>
      <c r="E14" s="408"/>
      <c r="F14" s="408"/>
      <c r="G14" s="408"/>
      <c r="H14" s="408"/>
      <c r="I14" s="408"/>
      <c r="J14" s="408"/>
      <c r="K14" s="408"/>
    </row>
    <row r="15" spans="1:43" x14ac:dyDescent="0.25">
      <c r="A15" s="401"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01"/>
      <c r="C15" s="401"/>
      <c r="D15" s="401"/>
      <c r="E15" s="401"/>
      <c r="F15" s="401"/>
      <c r="G15" s="401"/>
      <c r="H15" s="401"/>
      <c r="I15" s="401"/>
      <c r="J15" s="401"/>
      <c r="K15" s="401"/>
    </row>
    <row r="16" spans="1:43" x14ac:dyDescent="0.25">
      <c r="A16" s="395" t="s">
        <v>4</v>
      </c>
      <c r="B16" s="395"/>
      <c r="C16" s="395"/>
      <c r="D16" s="395"/>
      <c r="E16" s="395"/>
      <c r="F16" s="395"/>
      <c r="G16" s="395"/>
      <c r="H16" s="395"/>
      <c r="I16" s="395"/>
      <c r="J16" s="395"/>
      <c r="K16" s="395"/>
    </row>
    <row r="17" spans="1:11" ht="15.75" customHeight="1" x14ac:dyDescent="0.25"/>
    <row r="18" spans="1:11" x14ac:dyDescent="0.25">
      <c r="K18" s="70"/>
    </row>
    <row r="19" spans="1:11" ht="15.75" customHeight="1" x14ac:dyDescent="0.25">
      <c r="A19" s="480" t="s">
        <v>392</v>
      </c>
      <c r="B19" s="480"/>
      <c r="C19" s="480"/>
      <c r="D19" s="480"/>
      <c r="E19" s="480"/>
      <c r="F19" s="480"/>
      <c r="G19" s="480"/>
      <c r="H19" s="480"/>
      <c r="I19" s="480"/>
      <c r="J19" s="480"/>
      <c r="K19" s="480"/>
    </row>
    <row r="20" spans="1:11" x14ac:dyDescent="0.25">
      <c r="A20" s="48"/>
      <c r="B20" s="48"/>
      <c r="C20" s="69"/>
      <c r="D20" s="69"/>
      <c r="E20" s="69"/>
      <c r="F20" s="69"/>
      <c r="G20" s="69"/>
      <c r="H20" s="69"/>
      <c r="I20" s="69"/>
      <c r="J20" s="69"/>
      <c r="K20" s="69"/>
    </row>
    <row r="21" spans="1:11" ht="28.5" customHeight="1" x14ac:dyDescent="0.25">
      <c r="A21" s="471" t="s">
        <v>199</v>
      </c>
      <c r="B21" s="471" t="s">
        <v>488</v>
      </c>
      <c r="C21" s="236"/>
      <c r="D21" s="236"/>
      <c r="E21" s="477" t="s">
        <v>352</v>
      </c>
      <c r="F21" s="478"/>
      <c r="G21" s="478"/>
      <c r="H21" s="479"/>
      <c r="I21" s="472" t="s">
        <v>198</v>
      </c>
      <c r="J21" s="473" t="s">
        <v>353</v>
      </c>
      <c r="K21" s="471" t="s">
        <v>197</v>
      </c>
    </row>
    <row r="22" spans="1:11" ht="58.5" customHeight="1" x14ac:dyDescent="0.25">
      <c r="A22" s="471"/>
      <c r="B22" s="471"/>
      <c r="C22" s="476" t="s">
        <v>9</v>
      </c>
      <c r="D22" s="476"/>
      <c r="E22" s="476" t="s">
        <v>541</v>
      </c>
      <c r="F22" s="476"/>
      <c r="G22" s="476" t="s">
        <v>542</v>
      </c>
      <c r="H22" s="476"/>
      <c r="I22" s="472"/>
      <c r="J22" s="474"/>
      <c r="K22" s="471"/>
    </row>
    <row r="23" spans="1:11" ht="31.5" x14ac:dyDescent="0.25">
      <c r="A23" s="471"/>
      <c r="B23" s="471"/>
      <c r="C23" s="199" t="s">
        <v>196</v>
      </c>
      <c r="D23" s="199" t="s">
        <v>195</v>
      </c>
      <c r="E23" s="199" t="s">
        <v>196</v>
      </c>
      <c r="F23" s="199" t="s">
        <v>195</v>
      </c>
      <c r="G23" s="237" t="s">
        <v>196</v>
      </c>
      <c r="H23" s="237" t="s">
        <v>195</v>
      </c>
      <c r="I23" s="472"/>
      <c r="J23" s="475"/>
      <c r="K23" s="471"/>
    </row>
    <row r="24" spans="1:11" x14ac:dyDescent="0.25">
      <c r="A24" s="200">
        <v>1</v>
      </c>
      <c r="B24" s="200">
        <v>2</v>
      </c>
      <c r="C24" s="199">
        <v>5</v>
      </c>
      <c r="D24" s="199">
        <v>6</v>
      </c>
      <c r="E24" s="199">
        <v>7</v>
      </c>
      <c r="F24" s="199">
        <v>8</v>
      </c>
      <c r="G24" s="237"/>
      <c r="H24" s="237"/>
      <c r="I24" s="199">
        <v>9</v>
      </c>
      <c r="J24" s="199">
        <v>10</v>
      </c>
      <c r="K24" s="199">
        <v>11</v>
      </c>
    </row>
    <row r="25" spans="1:11" s="51" customFormat="1" x14ac:dyDescent="0.25">
      <c r="A25" s="204">
        <v>1</v>
      </c>
      <c r="B25" s="205" t="s">
        <v>194</v>
      </c>
      <c r="C25" s="212"/>
      <c r="D25" s="212"/>
      <c r="E25" s="212"/>
      <c r="F25" s="212"/>
      <c r="G25" s="238"/>
      <c r="H25" s="238"/>
      <c r="I25" s="212"/>
      <c r="J25" s="195"/>
      <c r="K25" s="196"/>
    </row>
    <row r="26" spans="1:11" s="51" customFormat="1" x14ac:dyDescent="0.25">
      <c r="A26" s="204" t="s">
        <v>489</v>
      </c>
      <c r="B26" s="209" t="s">
        <v>490</v>
      </c>
      <c r="C26" s="213">
        <v>42859</v>
      </c>
      <c r="D26" s="213">
        <v>42859</v>
      </c>
      <c r="E26" s="213"/>
      <c r="F26" s="213"/>
      <c r="G26" s="239"/>
      <c r="H26" s="239"/>
      <c r="I26" s="214"/>
      <c r="J26" s="195"/>
      <c r="K26" s="196"/>
    </row>
    <row r="27" spans="1:11" s="51" customFormat="1" ht="31.5" x14ac:dyDescent="0.25">
      <c r="A27" s="204" t="s">
        <v>491</v>
      </c>
      <c r="B27" s="209" t="s">
        <v>492</v>
      </c>
      <c r="C27" s="213">
        <v>42807</v>
      </c>
      <c r="D27" s="213">
        <v>42807</v>
      </c>
      <c r="E27" s="213"/>
      <c r="F27" s="213"/>
      <c r="G27" s="239"/>
      <c r="H27" s="239"/>
      <c r="I27" s="214"/>
      <c r="J27" s="195"/>
      <c r="K27" s="196"/>
    </row>
    <row r="28" spans="1:11" s="51" customFormat="1" ht="63" x14ac:dyDescent="0.25">
      <c r="A28" s="204" t="s">
        <v>494</v>
      </c>
      <c r="B28" s="209" t="s">
        <v>493</v>
      </c>
      <c r="C28" s="213" t="s">
        <v>436</v>
      </c>
      <c r="D28" s="213" t="s">
        <v>436</v>
      </c>
      <c r="E28" s="213" t="s">
        <v>544</v>
      </c>
      <c r="F28" s="213" t="s">
        <v>544</v>
      </c>
      <c r="G28" s="239" t="s">
        <v>436</v>
      </c>
      <c r="H28" s="239" t="s">
        <v>436</v>
      </c>
      <c r="I28" s="214"/>
      <c r="J28" s="195"/>
      <c r="K28" s="196"/>
    </row>
    <row r="29" spans="1:11" s="51" customFormat="1" ht="31.5" x14ac:dyDescent="0.25">
      <c r="A29" s="204" t="s">
        <v>496</v>
      </c>
      <c r="B29" s="209" t="s">
        <v>495</v>
      </c>
      <c r="C29" s="213" t="s">
        <v>436</v>
      </c>
      <c r="D29" s="213" t="s">
        <v>436</v>
      </c>
      <c r="E29" s="213" t="s">
        <v>544</v>
      </c>
      <c r="F29" s="213" t="s">
        <v>544</v>
      </c>
      <c r="G29" s="239" t="s">
        <v>436</v>
      </c>
      <c r="H29" s="239" t="s">
        <v>436</v>
      </c>
      <c r="I29" s="214"/>
      <c r="J29" s="195"/>
      <c r="K29" s="196"/>
    </row>
    <row r="30" spans="1:11" s="51" customFormat="1" ht="31.5" x14ac:dyDescent="0.25">
      <c r="A30" s="204" t="s">
        <v>498</v>
      </c>
      <c r="B30" s="209" t="s">
        <v>497</v>
      </c>
      <c r="C30" s="213" t="s">
        <v>436</v>
      </c>
      <c r="D30" s="213" t="s">
        <v>436</v>
      </c>
      <c r="E30" s="213" t="s">
        <v>544</v>
      </c>
      <c r="F30" s="213" t="s">
        <v>544</v>
      </c>
      <c r="G30" s="239" t="s">
        <v>436</v>
      </c>
      <c r="H30" s="239" t="s">
        <v>436</v>
      </c>
      <c r="I30" s="214"/>
      <c r="J30" s="195"/>
      <c r="K30" s="196"/>
    </row>
    <row r="31" spans="1:11" s="51" customFormat="1" ht="31.5" x14ac:dyDescent="0.25">
      <c r="A31" s="204" t="s">
        <v>500</v>
      </c>
      <c r="B31" s="209" t="s">
        <v>499</v>
      </c>
      <c r="C31" s="213">
        <v>41806</v>
      </c>
      <c r="D31" s="213">
        <v>41806</v>
      </c>
      <c r="E31" s="213" t="s">
        <v>544</v>
      </c>
      <c r="F31" s="213" t="s">
        <v>544</v>
      </c>
      <c r="G31" s="206">
        <v>44593</v>
      </c>
      <c r="H31" s="206">
        <v>44597</v>
      </c>
      <c r="I31" s="214"/>
      <c r="J31" s="195"/>
      <c r="K31" s="196"/>
    </row>
    <row r="32" spans="1:11" ht="31.5" x14ac:dyDescent="0.25">
      <c r="A32" s="204" t="s">
        <v>502</v>
      </c>
      <c r="B32" s="209" t="s">
        <v>501</v>
      </c>
      <c r="C32" s="213">
        <v>42597</v>
      </c>
      <c r="D32" s="213">
        <v>42597</v>
      </c>
      <c r="E32" s="213" t="s">
        <v>544</v>
      </c>
      <c r="F32" s="213" t="s">
        <v>544</v>
      </c>
      <c r="G32" s="206">
        <v>44593</v>
      </c>
      <c r="H32" s="206">
        <v>45327</v>
      </c>
      <c r="I32" s="214"/>
      <c r="J32" s="195"/>
      <c r="K32" s="196"/>
    </row>
    <row r="33" spans="1:11" ht="47.25" x14ac:dyDescent="0.25">
      <c r="A33" s="204" t="s">
        <v>504</v>
      </c>
      <c r="B33" s="209" t="s">
        <v>503</v>
      </c>
      <c r="C33" s="213">
        <v>42720</v>
      </c>
      <c r="D33" s="213">
        <v>42720</v>
      </c>
      <c r="E33" s="213" t="s">
        <v>544</v>
      </c>
      <c r="F33" s="213" t="s">
        <v>544</v>
      </c>
      <c r="G33" s="239" t="s">
        <v>568</v>
      </c>
      <c r="H33" s="239" t="s">
        <v>568</v>
      </c>
      <c r="I33" s="214"/>
      <c r="J33" s="195"/>
      <c r="K33" s="196"/>
    </row>
    <row r="34" spans="1:11" ht="63" x14ac:dyDescent="0.25">
      <c r="A34" s="204" t="s">
        <v>506</v>
      </c>
      <c r="B34" s="209" t="s">
        <v>505</v>
      </c>
      <c r="C34" s="213" t="s">
        <v>436</v>
      </c>
      <c r="D34" s="213" t="s">
        <v>436</v>
      </c>
      <c r="E34" s="213" t="s">
        <v>544</v>
      </c>
      <c r="F34" s="213" t="s">
        <v>544</v>
      </c>
      <c r="G34" s="239" t="s">
        <v>569</v>
      </c>
      <c r="H34" s="239" t="s">
        <v>569</v>
      </c>
      <c r="I34" s="214"/>
      <c r="J34" s="197"/>
      <c r="K34" s="197"/>
    </row>
    <row r="35" spans="1:11" ht="31.5" x14ac:dyDescent="0.25">
      <c r="A35" s="204" t="s">
        <v>507</v>
      </c>
      <c r="B35" s="209" t="s">
        <v>193</v>
      </c>
      <c r="C35" s="213">
        <v>42731</v>
      </c>
      <c r="D35" s="213">
        <v>42731</v>
      </c>
      <c r="E35" s="213" t="s">
        <v>544</v>
      </c>
      <c r="F35" s="213" t="s">
        <v>544</v>
      </c>
      <c r="G35" s="206">
        <v>44597</v>
      </c>
      <c r="H35" s="206">
        <v>45330</v>
      </c>
      <c r="I35" s="214"/>
      <c r="J35" s="197"/>
      <c r="K35" s="197"/>
    </row>
    <row r="36" spans="1:11" ht="31.5" x14ac:dyDescent="0.25">
      <c r="A36" s="204" t="s">
        <v>509</v>
      </c>
      <c r="B36" s="209" t="s">
        <v>508</v>
      </c>
      <c r="C36" s="213">
        <v>42993</v>
      </c>
      <c r="D36" s="213">
        <v>42993</v>
      </c>
      <c r="E36" s="213" t="s">
        <v>544</v>
      </c>
      <c r="F36" s="213" t="s">
        <v>544</v>
      </c>
      <c r="G36" s="239" t="s">
        <v>568</v>
      </c>
      <c r="H36" s="239" t="s">
        <v>568</v>
      </c>
      <c r="I36" s="214"/>
      <c r="J36" s="208"/>
      <c r="K36" s="196"/>
    </row>
    <row r="37" spans="1:11" x14ac:dyDescent="0.25">
      <c r="A37" s="204" t="s">
        <v>510</v>
      </c>
      <c r="B37" s="209" t="s">
        <v>192</v>
      </c>
      <c r="C37" s="213">
        <v>43054</v>
      </c>
      <c r="D37" s="213">
        <v>43305</v>
      </c>
      <c r="E37" s="213" t="s">
        <v>544</v>
      </c>
      <c r="F37" s="213" t="s">
        <v>544</v>
      </c>
      <c r="G37" s="206">
        <v>44600</v>
      </c>
      <c r="H37" s="206">
        <v>45352</v>
      </c>
      <c r="I37" s="214"/>
      <c r="J37" s="198"/>
      <c r="K37" s="196"/>
    </row>
    <row r="38" spans="1:11" x14ac:dyDescent="0.25">
      <c r="A38" s="207" t="s">
        <v>511</v>
      </c>
      <c r="B38" s="210" t="s">
        <v>191</v>
      </c>
      <c r="C38" s="213"/>
      <c r="D38" s="213"/>
      <c r="E38" s="213" t="s">
        <v>544</v>
      </c>
      <c r="F38" s="213" t="s">
        <v>544</v>
      </c>
      <c r="G38" s="206"/>
      <c r="H38" s="206"/>
      <c r="I38" s="214"/>
      <c r="J38" s="196"/>
      <c r="K38" s="196"/>
    </row>
    <row r="39" spans="1:11" ht="63" x14ac:dyDescent="0.25">
      <c r="A39" s="204" t="s">
        <v>513</v>
      </c>
      <c r="B39" s="209" t="s">
        <v>512</v>
      </c>
      <c r="C39" s="213">
        <v>42843</v>
      </c>
      <c r="D39" s="213">
        <v>42843</v>
      </c>
      <c r="E39" s="213" t="s">
        <v>544</v>
      </c>
      <c r="F39" s="213" t="s">
        <v>544</v>
      </c>
      <c r="G39" s="206">
        <v>44652</v>
      </c>
      <c r="H39" s="206">
        <v>45385</v>
      </c>
      <c r="I39" s="214"/>
      <c r="J39" s="196"/>
      <c r="K39" s="196"/>
    </row>
    <row r="40" spans="1:11" ht="19.5" customHeight="1" x14ac:dyDescent="0.25">
      <c r="A40" s="204" t="s">
        <v>515</v>
      </c>
      <c r="B40" s="209" t="s">
        <v>514</v>
      </c>
      <c r="C40" s="213">
        <v>43038</v>
      </c>
      <c r="D40" s="213">
        <v>43038</v>
      </c>
      <c r="E40" s="213" t="s">
        <v>544</v>
      </c>
      <c r="F40" s="213" t="s">
        <v>544</v>
      </c>
      <c r="G40" s="206">
        <v>44621</v>
      </c>
      <c r="H40" s="206">
        <v>45442</v>
      </c>
      <c r="I40" s="214"/>
      <c r="J40" s="196"/>
      <c r="K40" s="196"/>
    </row>
    <row r="41" spans="1:11" ht="47.25" x14ac:dyDescent="0.25">
      <c r="A41" s="204" t="s">
        <v>517</v>
      </c>
      <c r="B41" s="210" t="s">
        <v>516</v>
      </c>
      <c r="C41" s="213"/>
      <c r="D41" s="213"/>
      <c r="E41" s="213" t="s">
        <v>544</v>
      </c>
      <c r="F41" s="213" t="s">
        <v>544</v>
      </c>
      <c r="G41" s="206"/>
      <c r="H41" s="206"/>
      <c r="I41" s="214"/>
      <c r="J41" s="196"/>
      <c r="K41" s="196"/>
    </row>
    <row r="42" spans="1:11" ht="31.5" x14ac:dyDescent="0.25">
      <c r="A42" s="204" t="s">
        <v>519</v>
      </c>
      <c r="B42" s="209" t="s">
        <v>518</v>
      </c>
      <c r="C42" s="213">
        <v>43070</v>
      </c>
      <c r="D42" s="213">
        <v>43097</v>
      </c>
      <c r="E42" s="213" t="s">
        <v>544</v>
      </c>
      <c r="F42" s="213" t="s">
        <v>544</v>
      </c>
      <c r="G42" s="206">
        <v>44697</v>
      </c>
      <c r="H42" s="206">
        <v>44727</v>
      </c>
      <c r="I42" s="214"/>
      <c r="J42" s="196"/>
      <c r="K42" s="196"/>
    </row>
    <row r="43" spans="1:11" x14ac:dyDescent="0.25">
      <c r="A43" s="204" t="s">
        <v>520</v>
      </c>
      <c r="B43" s="209" t="s">
        <v>190</v>
      </c>
      <c r="C43" s="213">
        <v>43054</v>
      </c>
      <c r="D43" s="213">
        <v>43218</v>
      </c>
      <c r="E43" s="213" t="s">
        <v>544</v>
      </c>
      <c r="F43" s="213" t="s">
        <v>544</v>
      </c>
      <c r="G43" s="232">
        <v>44713</v>
      </c>
      <c r="H43" s="232">
        <v>45595</v>
      </c>
      <c r="I43" s="214"/>
      <c r="J43" s="196"/>
      <c r="K43" s="196"/>
    </row>
    <row r="44" spans="1:11" x14ac:dyDescent="0.25">
      <c r="A44" s="204" t="s">
        <v>521</v>
      </c>
      <c r="B44" s="209" t="s">
        <v>189</v>
      </c>
      <c r="C44" s="213">
        <v>43084</v>
      </c>
      <c r="D44" s="213">
        <v>43266</v>
      </c>
      <c r="E44" s="213" t="s">
        <v>544</v>
      </c>
      <c r="F44" s="213" t="s">
        <v>544</v>
      </c>
      <c r="G44" s="232">
        <v>44713</v>
      </c>
      <c r="H44" s="232">
        <v>45595</v>
      </c>
      <c r="I44" s="214"/>
      <c r="J44" s="196"/>
      <c r="K44" s="196"/>
    </row>
    <row r="45" spans="1:11" ht="78.75" x14ac:dyDescent="0.25">
      <c r="A45" s="204" t="s">
        <v>523</v>
      </c>
      <c r="B45" s="209" t="s">
        <v>522</v>
      </c>
      <c r="C45" s="213">
        <v>43343</v>
      </c>
      <c r="D45" s="213">
        <v>43343</v>
      </c>
      <c r="E45" s="213" t="s">
        <v>544</v>
      </c>
      <c r="F45" s="213" t="s">
        <v>544</v>
      </c>
      <c r="G45" s="232">
        <v>44866</v>
      </c>
      <c r="H45" s="232">
        <v>45636</v>
      </c>
      <c r="I45" s="214"/>
      <c r="J45" s="196"/>
      <c r="K45" s="196"/>
    </row>
    <row r="46" spans="1:11" ht="157.5" x14ac:dyDescent="0.25">
      <c r="A46" s="204" t="s">
        <v>525</v>
      </c>
      <c r="B46" s="209" t="s">
        <v>524</v>
      </c>
      <c r="C46" s="213">
        <v>43319</v>
      </c>
      <c r="D46" s="213">
        <v>43319</v>
      </c>
      <c r="E46" s="213" t="s">
        <v>544</v>
      </c>
      <c r="F46" s="213" t="s">
        <v>544</v>
      </c>
      <c r="G46" s="232" t="s">
        <v>436</v>
      </c>
      <c r="H46" s="232" t="s">
        <v>436</v>
      </c>
      <c r="I46" s="214"/>
      <c r="J46" s="196"/>
      <c r="K46" s="196"/>
    </row>
    <row r="47" spans="1:11" x14ac:dyDescent="0.25">
      <c r="A47" s="204" t="s">
        <v>536</v>
      </c>
      <c r="B47" s="209" t="s">
        <v>188</v>
      </c>
      <c r="C47" s="213">
        <v>43220</v>
      </c>
      <c r="D47" s="213">
        <v>43318</v>
      </c>
      <c r="E47" s="213" t="s">
        <v>544</v>
      </c>
      <c r="F47" s="213" t="s">
        <v>544</v>
      </c>
      <c r="G47" s="233">
        <v>44805</v>
      </c>
      <c r="H47" s="206">
        <v>45636</v>
      </c>
      <c r="I47" s="214"/>
      <c r="J47" s="196"/>
      <c r="K47" s="196"/>
    </row>
    <row r="48" spans="1:11" ht="31.5" x14ac:dyDescent="0.25">
      <c r="A48" s="204" t="s">
        <v>526</v>
      </c>
      <c r="B48" s="210" t="s">
        <v>187</v>
      </c>
      <c r="C48" s="213"/>
      <c r="D48" s="213"/>
      <c r="E48" s="213" t="s">
        <v>544</v>
      </c>
      <c r="F48" s="213" t="s">
        <v>544</v>
      </c>
      <c r="G48" s="206"/>
      <c r="H48" s="206"/>
      <c r="I48" s="214"/>
      <c r="J48" s="196"/>
      <c r="K48" s="196"/>
    </row>
    <row r="49" spans="1:11" ht="31.5" x14ac:dyDescent="0.25">
      <c r="A49" s="204" t="s">
        <v>537</v>
      </c>
      <c r="B49" s="209" t="s">
        <v>186</v>
      </c>
      <c r="C49" s="213">
        <v>43318</v>
      </c>
      <c r="D49" s="213">
        <v>43320</v>
      </c>
      <c r="E49" s="213" t="s">
        <v>544</v>
      </c>
      <c r="F49" s="213" t="s">
        <v>544</v>
      </c>
      <c r="G49" s="206">
        <v>45270</v>
      </c>
      <c r="H49" s="206">
        <v>45636</v>
      </c>
      <c r="I49" s="214"/>
      <c r="J49" s="196"/>
      <c r="K49" s="196"/>
    </row>
    <row r="50" spans="1:11" ht="78.75" x14ac:dyDescent="0.25">
      <c r="A50" s="207" t="s">
        <v>528</v>
      </c>
      <c r="B50" s="209" t="s">
        <v>527</v>
      </c>
      <c r="C50" s="213">
        <v>43343</v>
      </c>
      <c r="D50" s="213">
        <v>43343</v>
      </c>
      <c r="E50" s="213" t="s">
        <v>544</v>
      </c>
      <c r="F50" s="213" t="s">
        <v>544</v>
      </c>
      <c r="G50" s="206"/>
      <c r="H50" s="206"/>
      <c r="I50" s="214"/>
      <c r="J50" s="196"/>
      <c r="K50" s="196"/>
    </row>
    <row r="51" spans="1:11" ht="63" x14ac:dyDescent="0.25">
      <c r="A51" s="204" t="s">
        <v>530</v>
      </c>
      <c r="B51" s="209" t="s">
        <v>529</v>
      </c>
      <c r="C51" s="213">
        <v>43343</v>
      </c>
      <c r="D51" s="213">
        <v>43343</v>
      </c>
      <c r="E51" s="213" t="s">
        <v>544</v>
      </c>
      <c r="F51" s="213" t="s">
        <v>544</v>
      </c>
      <c r="G51" s="206">
        <v>45270</v>
      </c>
      <c r="H51" s="206">
        <v>45636</v>
      </c>
      <c r="I51" s="214"/>
      <c r="J51" s="196"/>
      <c r="K51" s="196"/>
    </row>
    <row r="52" spans="1:11" ht="63" x14ac:dyDescent="0.25">
      <c r="A52" s="204" t="s">
        <v>531</v>
      </c>
      <c r="B52" s="209" t="s">
        <v>185</v>
      </c>
      <c r="C52" s="213"/>
      <c r="D52" s="213"/>
      <c r="E52" s="213" t="s">
        <v>544</v>
      </c>
      <c r="F52" s="213" t="s">
        <v>544</v>
      </c>
      <c r="G52" s="206" t="s">
        <v>436</v>
      </c>
      <c r="H52" s="206" t="s">
        <v>436</v>
      </c>
      <c r="I52" s="214"/>
      <c r="J52" s="196"/>
      <c r="K52" s="196"/>
    </row>
    <row r="53" spans="1:11" ht="31.5" x14ac:dyDescent="0.25">
      <c r="A53" s="204" t="s">
        <v>533</v>
      </c>
      <c r="B53" s="209" t="s">
        <v>532</v>
      </c>
      <c r="C53" s="213">
        <v>43343</v>
      </c>
      <c r="D53" s="213">
        <v>43343</v>
      </c>
      <c r="E53" s="213" t="s">
        <v>544</v>
      </c>
      <c r="F53" s="213" t="s">
        <v>544</v>
      </c>
      <c r="G53" s="234">
        <v>45290</v>
      </c>
      <c r="H53" s="206">
        <v>45656</v>
      </c>
      <c r="I53" s="214"/>
      <c r="J53" s="196"/>
      <c r="K53" s="196"/>
    </row>
    <row r="54" spans="1:11" ht="31.5" x14ac:dyDescent="0.25">
      <c r="A54" s="204" t="s">
        <v>538</v>
      </c>
      <c r="B54" s="209" t="s">
        <v>184</v>
      </c>
      <c r="C54" s="213">
        <v>43353</v>
      </c>
      <c r="D54" s="213">
        <v>43353</v>
      </c>
      <c r="E54" s="213" t="s">
        <v>544</v>
      </c>
      <c r="F54" s="213" t="s">
        <v>544</v>
      </c>
      <c r="G54" s="234">
        <v>45260</v>
      </c>
      <c r="H54" s="206">
        <v>45636</v>
      </c>
      <c r="I54" s="214"/>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2022-08-10T02:55:50Z</dcterms:modified>
</cp:coreProperties>
</file>