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15 факт 2021 тп\L 21-15_паспорт_карта\"/>
    </mc:Choice>
  </mc:AlternateContent>
  <xr:revisionPtr revIDLastSave="0" documentId="13_ncr:1_{A0B5FAE8-A854-4E68-8C4A-6B0D6CAE2397}" xr6:coauthVersionLast="47" xr6:coauthVersionMax="47" xr10:uidLastSave="{00000000-0000-0000-0000-000000000000}"/>
  <bookViews>
    <workbookView xWindow="510" yWindow="600" windowWidth="28290" windowHeight="15600" tabRatio="859" firstSheet="1"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0" i="30" l="1"/>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H60" i="30"/>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AB89" i="30" l="1"/>
  <c r="AB84" i="30"/>
  <c r="Z90" i="30"/>
  <c r="Z87" i="30"/>
  <c r="AL86" i="30"/>
  <c r="AL83" i="30"/>
  <c r="AL79" i="30"/>
  <c r="I89" i="30"/>
  <c r="I84" i="30"/>
  <c r="I86" i="30"/>
  <c r="I83" i="30"/>
  <c r="I79" i="30"/>
  <c r="AG90" i="30"/>
  <c r="AG87" i="30"/>
  <c r="AM90" i="30"/>
  <c r="AM87" i="30"/>
  <c r="G90" i="30"/>
  <c r="G87" i="30"/>
  <c r="O86" i="30"/>
  <c r="O83" i="30"/>
  <c r="O79" i="30"/>
  <c r="AE89" i="30"/>
  <c r="AE84" i="30"/>
  <c r="P90" i="30"/>
  <c r="P87" i="30"/>
  <c r="X89" i="30"/>
  <c r="X84" i="30"/>
  <c r="T86" i="30"/>
  <c r="T83" i="30"/>
  <c r="T79" i="30"/>
  <c r="AB86" i="30"/>
  <c r="AB83" i="30"/>
  <c r="AB79" i="30"/>
  <c r="Q86" i="30"/>
  <c r="Q83" i="30"/>
  <c r="Q79" i="30"/>
  <c r="L89" i="30"/>
  <c r="L84" i="30"/>
  <c r="M89" i="30"/>
  <c r="M84" i="30"/>
  <c r="AC86" i="30"/>
  <c r="AC83" i="30"/>
  <c r="AC79" i="30"/>
  <c r="AJ90" i="30"/>
  <c r="AJ87" i="30"/>
  <c r="AA89" i="30"/>
  <c r="AA84" i="30"/>
  <c r="J86" i="30"/>
  <c r="J83" i="30"/>
  <c r="J79" i="30"/>
  <c r="C105" i="30"/>
  <c r="G28" i="30"/>
  <c r="B89" i="30"/>
  <c r="B84" i="30"/>
  <c r="AJ89" i="30"/>
  <c r="AJ84" i="30"/>
  <c r="Q89" i="30"/>
  <c r="Q84" i="30"/>
  <c r="AD90" i="30"/>
  <c r="AD87" i="30"/>
  <c r="O90" i="30"/>
  <c r="O87" i="30"/>
  <c r="AM86" i="30"/>
  <c r="AM83" i="30"/>
  <c r="AM79" i="30"/>
  <c r="T90" i="30"/>
  <c r="T87" i="30"/>
  <c r="R89" i="30"/>
  <c r="R84" i="30"/>
  <c r="S89" i="30"/>
  <c r="S84" i="30"/>
  <c r="S90" i="30"/>
  <c r="S87" i="30"/>
  <c r="AO90" i="30"/>
  <c r="AO87" i="30"/>
  <c r="AM89" i="30"/>
  <c r="AM84" i="30"/>
  <c r="AB90" i="30"/>
  <c r="AB87" i="30"/>
  <c r="K89" i="30"/>
  <c r="K84" i="30"/>
  <c r="AO86" i="30"/>
  <c r="AO83" i="30"/>
  <c r="AO79" i="30"/>
  <c r="AG89" i="30"/>
  <c r="AG84" i="30"/>
  <c r="AE86" i="30"/>
  <c r="AE83" i="30"/>
  <c r="AE79" i="30"/>
  <c r="B105" i="30"/>
  <c r="L88" i="30"/>
  <c r="W89" i="30"/>
  <c r="W84" i="30"/>
  <c r="Q90" i="30"/>
  <c r="Q87" i="30"/>
  <c r="S86" i="30"/>
  <c r="S83" i="30"/>
  <c r="S79" i="30"/>
  <c r="C89" i="30"/>
  <c r="C84" i="30"/>
  <c r="F86" i="30"/>
  <c r="F83" i="30"/>
  <c r="F79" i="30"/>
  <c r="W86" i="30"/>
  <c r="W83" i="30"/>
  <c r="W79" i="30"/>
  <c r="AI90" i="30"/>
  <c r="AI87" i="30"/>
  <c r="C86" i="30"/>
  <c r="C83" i="30"/>
  <c r="C79" i="30"/>
  <c r="H90" i="30"/>
  <c r="H87" i="30"/>
  <c r="D86" i="30"/>
  <c r="D83" i="30"/>
  <c r="D79" i="30"/>
  <c r="AH90" i="30"/>
  <c r="AH87" i="30"/>
  <c r="AN90" i="30"/>
  <c r="AN87" i="30"/>
  <c r="H86" i="30"/>
  <c r="H83" i="30"/>
  <c r="H79" i="30"/>
  <c r="T89" i="30"/>
  <c r="T84" i="30"/>
  <c r="AL89" i="30"/>
  <c r="AL84" i="30"/>
  <c r="K79" i="30"/>
  <c r="K83" i="30"/>
  <c r="K86" i="30"/>
  <c r="X79" i="30"/>
  <c r="X83" i="30"/>
  <c r="X86" i="30"/>
  <c r="Z89" i="30"/>
  <c r="Z84" i="30"/>
  <c r="E90" i="30"/>
  <c r="E87" i="30"/>
  <c r="AP79" i="30"/>
  <c r="AP83" i="30"/>
  <c r="AP86" i="30"/>
  <c r="X90" i="30"/>
  <c r="X87" i="30"/>
  <c r="AF89" i="30"/>
  <c r="AF84" i="30"/>
  <c r="N86" i="30"/>
  <c r="N83" i="30"/>
  <c r="N79" i="30"/>
  <c r="AE90" i="30"/>
  <c r="AE87" i="30"/>
  <c r="E86" i="30"/>
  <c r="E83" i="30"/>
  <c r="E79" i="30"/>
  <c r="K90" i="30"/>
  <c r="K87" i="30"/>
  <c r="U79" i="30"/>
  <c r="U83" i="30"/>
  <c r="U86" i="30"/>
  <c r="AO89" i="30"/>
  <c r="AO84" i="30"/>
  <c r="F90" i="30"/>
  <c r="F87" i="30"/>
  <c r="D90" i="30"/>
  <c r="D87" i="30"/>
  <c r="AD89" i="30"/>
  <c r="AD84" i="30"/>
  <c r="L90" i="30"/>
  <c r="B102" i="30"/>
  <c r="A101" i="30"/>
  <c r="AD86" i="30"/>
  <c r="AD83" i="30"/>
  <c r="AD79" i="30"/>
  <c r="AC90" i="30"/>
  <c r="AC87" i="30"/>
  <c r="L86" i="30"/>
  <c r="L83" i="30"/>
  <c r="L79" i="30"/>
  <c r="F89" i="30"/>
  <c r="F84" i="30"/>
  <c r="AI86" i="30"/>
  <c r="AI83" i="30"/>
  <c r="AI79" i="30"/>
  <c r="AL90" i="30"/>
  <c r="AL87" i="30"/>
  <c r="M90" i="30"/>
  <c r="M87" i="30"/>
  <c r="AK86" i="30"/>
  <c r="AK83" i="30"/>
  <c r="AK79" i="30"/>
  <c r="I90" i="30"/>
  <c r="I87" i="30"/>
  <c r="AN79" i="30"/>
  <c r="AN83" i="30"/>
  <c r="AN86" i="30"/>
  <c r="N90" i="30"/>
  <c r="N87" i="30"/>
  <c r="M86" i="30"/>
  <c r="M83" i="30"/>
  <c r="M79" i="30"/>
  <c r="J89" i="30"/>
  <c r="J84" i="30"/>
  <c r="D89" i="30"/>
  <c r="D84" i="30"/>
  <c r="R90" i="30"/>
  <c r="R87" i="30"/>
  <c r="AP89" i="30"/>
  <c r="AP84" i="30"/>
  <c r="C90" i="30"/>
  <c r="C87" i="30"/>
  <c r="AK90" i="30"/>
  <c r="AK87" i="30"/>
  <c r="V79" i="30"/>
  <c r="V83" i="30"/>
  <c r="V86" i="30"/>
  <c r="G79" i="30"/>
  <c r="G83" i="30"/>
  <c r="G86" i="30"/>
  <c r="P79" i="30"/>
  <c r="P83" i="30"/>
  <c r="P86" i="30"/>
  <c r="AG79" i="30"/>
  <c r="AG83" i="30"/>
  <c r="AG86" i="30"/>
  <c r="L87" i="30"/>
  <c r="G30" i="30"/>
  <c r="A105" i="30"/>
  <c r="V90" i="30"/>
  <c r="V87" i="30"/>
  <c r="W90" i="30"/>
  <c r="W87" i="30"/>
  <c r="E89" i="30"/>
  <c r="E84" i="30"/>
  <c r="AN89" i="30"/>
  <c r="AN84" i="30"/>
  <c r="AI89" i="30"/>
  <c r="AI84" i="30"/>
  <c r="H89" i="30"/>
  <c r="H84" i="30"/>
  <c r="AK89" i="30"/>
  <c r="AK84" i="30"/>
  <c r="O89" i="30"/>
  <c r="O84" i="30"/>
  <c r="AA90" i="30"/>
  <c r="AA87" i="30"/>
  <c r="B87" i="30"/>
  <c r="B90" i="30"/>
  <c r="G29" i="30"/>
  <c r="D105" i="30"/>
  <c r="U90" i="30"/>
  <c r="U87" i="30"/>
  <c r="AC89" i="30"/>
  <c r="AC84" i="30"/>
  <c r="Y79" i="30"/>
  <c r="Y83" i="30"/>
  <c r="Y86" i="30"/>
  <c r="J90" i="30"/>
  <c r="J87" i="30"/>
  <c r="P89" i="30"/>
  <c r="P84" i="30"/>
  <c r="N89" i="30"/>
  <c r="N84" i="30"/>
  <c r="Y90" i="30"/>
  <c r="Y87" i="30"/>
  <c r="Y89" i="30"/>
  <c r="Y84" i="30"/>
  <c r="AF90" i="30"/>
  <c r="AF87" i="30"/>
  <c r="V89" i="30"/>
  <c r="V84" i="30"/>
  <c r="AH89" i="30"/>
  <c r="AH84" i="30"/>
  <c r="AH79" i="30"/>
  <c r="AH83" i="30"/>
  <c r="AH86" i="30"/>
  <c r="AA79" i="30"/>
  <c r="AA83" i="30"/>
  <c r="AA86" i="30"/>
  <c r="U89" i="30"/>
  <c r="U84" i="30"/>
  <c r="AF79" i="30"/>
  <c r="AF83" i="30"/>
  <c r="AF86" i="30"/>
  <c r="AJ79" i="30"/>
  <c r="AJ83" i="30"/>
  <c r="AJ86" i="30"/>
  <c r="R79" i="30"/>
  <c r="R83" i="30"/>
  <c r="R86" i="30"/>
  <c r="G89" i="30"/>
  <c r="G84" i="30"/>
  <c r="B86" i="30"/>
  <c r="AP87" i="30"/>
  <c r="AP90" i="30"/>
  <c r="AB88" i="30"/>
  <c r="AM88" i="30"/>
  <c r="G88" i="30"/>
  <c r="AF88" i="30"/>
  <c r="F88" i="30"/>
  <c r="N88" i="30"/>
  <c r="O88" i="30"/>
  <c r="Q88" i="30"/>
  <c r="X88" i="30"/>
  <c r="T88" i="30"/>
  <c r="H88" i="30"/>
  <c r="AI88" i="30"/>
  <c r="S88" i="30"/>
  <c r="W88" i="30"/>
  <c r="J88" i="30"/>
  <c r="AC88" i="30"/>
  <c r="AO88" i="30"/>
  <c r="K88" i="30"/>
  <c r="AE88" i="30"/>
  <c r="C88" i="30"/>
  <c r="AN88" i="30"/>
  <c r="AK88" i="30"/>
  <c r="U88" i="30"/>
  <c r="AA88" i="30"/>
  <c r="AP88" i="30"/>
  <c r="B88" i="30"/>
  <c r="V88" i="30"/>
  <c r="D88" i="30"/>
  <c r="AL88" i="30"/>
  <c r="AG88" i="30"/>
  <c r="Z88" i="30"/>
  <c r="I88" i="30"/>
  <c r="E88" i="30"/>
  <c r="M88" i="30"/>
  <c r="P88" i="30"/>
  <c r="AJ88" i="30"/>
  <c r="AH88" i="30"/>
  <c r="R88" i="30"/>
  <c r="Y88" i="30"/>
  <c r="B83" i="30"/>
  <c r="AD88" i="30"/>
  <c r="B79" i="30"/>
  <c r="Z79" i="30"/>
  <c r="Z83" i="30"/>
  <c r="Z86" i="30"/>
</calcChain>
</file>

<file path=xl/sharedStrings.xml><?xml version="1.0" encoding="utf-8"?>
<sst xmlns="http://schemas.openxmlformats.org/spreadsheetml/2006/main" count="1440" uniqueCount="658">
  <si>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</si>
  <si>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</si>
  <si>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</si>
  <si>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</si>
  <si>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</si>
  <si>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</si>
  <si>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</si>
  <si>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</si>
  <si>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</si>
  <si>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</si>
  <si>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</si>
  <si>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</si>
  <si>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</si>
  <si>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</si>
  <si>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</si>
  <si>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</si>
  <si>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</si>
  <si>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</si>
  <si>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</si>
  <si>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</si>
  <si>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</si>
  <si>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</si>
  <si>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</si>
  <si>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</si>
  <si>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</si>
  <si>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</si>
  <si>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</si>
  <si>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</si>
  <si>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</si>
  <si>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</si>
  <si>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</si>
  <si>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</si>
  <si>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</si>
  <si>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</si>
  <si>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</si>
  <si>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</si>
  <si>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</si>
  <si>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</si>
  <si>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</si>
  <si>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</si>
  <si>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</si>
  <si>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</si>
  <si>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</si>
  <si>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</si>
  <si>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</si>
  <si>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</si>
  <si>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</si>
  <si>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</si>
  <si>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</si>
  <si>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</si>
  <si>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</si>
  <si>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</si>
  <si>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</si>
  <si>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</si>
  <si>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</si>
  <si>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</si>
  <si>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</si>
  <si>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</si>
  <si>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</si>
  <si>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</si>
  <si>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</si>
  <si>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</si>
  <si>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</si>
  <si>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</si>
  <si>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</si>
  <si>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</si>
  <si>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</si>
  <si>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</si>
  <si>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</si>
  <si>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</si>
  <si>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</si>
  <si>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</si>
  <si>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</si>
  <si>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</si>
  <si>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</si>
  <si>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</si>
  <si>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</si>
  <si>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</si>
  <si>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</si>
  <si>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</si>
  <si>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</si>
  <si>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</si>
  <si>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</si>
  <si>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</si>
  <si>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</si>
  <si>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</si>
  <si>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</si>
  <si>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</si>
  <si>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</si>
  <si>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</si>
  <si>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</si>
  <si>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</si>
  <si>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</si>
  <si>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</si>
  <si>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</si>
  <si>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</si>
  <si>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</si>
  <si>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</si>
  <si>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</si>
  <si>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</si>
  <si>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</si>
  <si>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</si>
  <si>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</si>
  <si>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</si>
  <si>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</si>
  <si>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</si>
  <si>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</si>
  <si>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</si>
  <si>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</si>
  <si>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</si>
  <si>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</si>
  <si>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</si>
  <si>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</si>
  <si>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</si>
  <si>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</si>
  <si>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</si>
  <si>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</si>
  <si>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</si>
  <si>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</si>
  <si>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</si>
  <si>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</si>
  <si>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</si>
  <si>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</si>
  <si>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</si>
  <si>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</si>
  <si>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</si>
  <si>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</si>
  <si>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</si>
  <si>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</si>
  <si>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</si>
  <si>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</si>
  <si>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</si>
  <si>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</si>
  <si>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</si>
  <si>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</si>
  <si>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</si>
  <si>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</si>
  <si>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</si>
  <si>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</si>
  <si>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</si>
  <si>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</si>
  <si>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</si>
  <si>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</si>
  <si>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</si>
  <si>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</si>
  <si>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</si>
  <si>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</si>
  <si>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</si>
  <si>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</si>
  <si>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</si>
  <si>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</si>
  <si>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</si>
  <si>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</si>
  <si>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</si>
  <si>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</si>
  <si>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</si>
  <si>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</si>
  <si>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</si>
  <si>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</si>
  <si>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</si>
  <si>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</si>
  <si>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</si>
  <si>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</si>
  <si>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</si>
  <si>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</si>
  <si>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</si>
  <si>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</si>
  <si>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</si>
  <si>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</si>
  <si>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</si>
  <si>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</si>
  <si>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</si>
  <si>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</si>
  <si>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</si>
  <si>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</si>
  <si>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</si>
  <si>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</si>
  <si>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</si>
  <si>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</si>
  <si>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</si>
  <si>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</si>
  <si>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</si>
  <si>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</si>
  <si>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</si>
  <si>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</si>
  <si>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</si>
  <si>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</si>
  <si>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</si>
  <si>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</si>
  <si>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</si>
  <si>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</si>
  <si>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</si>
  <si>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</si>
  <si>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</si>
  <si>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</si>
  <si>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</si>
  <si>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</si>
  <si>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</si>
  <si>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</si>
  <si>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</si>
  <si>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</si>
  <si>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</si>
  <si>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</si>
  <si>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</si>
  <si>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</si>
  <si>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</si>
  <si>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</si>
  <si>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</si>
  <si>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</si>
  <si>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</si>
  <si>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</si>
  <si>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</si>
  <si>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</si>
  <si>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</si>
  <si>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</si>
  <si>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</si>
  <si>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</si>
  <si>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</si>
  <si>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</si>
  <si>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</si>
  <si>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</si>
  <si>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</si>
  <si>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</si>
  <si>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</si>
  <si>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</si>
  <si>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</si>
  <si>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</si>
  <si>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</si>
  <si>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</si>
  <si>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</si>
  <si>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</si>
  <si>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</si>
  <si>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</si>
  <si>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</si>
  <si>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</si>
  <si>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</si>
  <si>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</si>
  <si>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</si>
  <si>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</si>
  <si>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</si>
  <si>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</si>
  <si>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</si>
  <si>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</si>
  <si>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</si>
  <si>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</si>
  <si>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</si>
  <si>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</si>
  <si>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</si>
  <si>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</si>
  <si>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</si>
  <si>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</si>
  <si>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</si>
  <si>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</si>
  <si>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</si>
  <si>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</si>
  <si>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</si>
  <si>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</si>
  <si>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</si>
  <si>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</si>
  <si>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</si>
  <si>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</si>
  <si>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</si>
  <si>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</si>
  <si>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</si>
  <si>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</si>
  <si>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</si>
  <si>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</si>
  <si>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</si>
  <si>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</si>
  <si>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</si>
  <si>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</si>
  <si>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</si>
  <si>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</si>
  <si>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</si>
  <si>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</si>
  <si>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</si>
  <si>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</si>
  <si>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</si>
  <si>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</si>
  <si>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</si>
  <si>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</si>
  <si>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</si>
  <si>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</si>
  <si>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</si>
  <si>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</si>
  <si>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</si>
  <si>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</si>
  <si>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</si>
  <si>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</si>
  <si>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</si>
  <si>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</si>
  <si>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</si>
  <si>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</si>
  <si>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</si>
  <si>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</si>
  <si>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</si>
  <si>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</si>
  <si>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</si>
  <si>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</si>
  <si>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</si>
  <si>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</si>
  <si>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</si>
  <si>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</si>
  <si>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</si>
  <si>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</si>
  <si>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</si>
  <si>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</si>
  <si>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</si>
  <si>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</si>
  <si>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</si>
  <si>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</si>
  <si>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</si>
  <si>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</si>
  <si>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</si>
  <si>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</si>
  <si>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</si>
  <si>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</si>
  <si>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</si>
  <si>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</si>
  <si>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</si>
  <si>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</si>
  <si>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</si>
  <si>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</si>
  <si>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</si>
  <si>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</si>
  <si>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</si>
  <si>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</si>
  <si>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</si>
  <si>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</si>
  <si>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</si>
  <si>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</si>
  <si>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</si>
  <si>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</si>
  <si>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</si>
  <si>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</si>
  <si>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</si>
  <si>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</si>
  <si>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</si>
  <si>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</si>
  <si>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</si>
  <si>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</si>
  <si>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</si>
  <si>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</si>
  <si>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</si>
  <si>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</si>
  <si>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</si>
  <si>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</si>
  <si>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</si>
  <si>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</si>
  <si>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</si>
  <si>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</si>
  <si>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</si>
  <si>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</si>
  <si>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</si>
  <si>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</si>
  <si>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</si>
  <si>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</si>
  <si>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</si>
  <si>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</si>
  <si>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</si>
  <si>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</si>
  <si>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</si>
  <si>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</si>
  <si>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</si>
  <si>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</si>
  <si>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</si>
  <si>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</si>
  <si>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</si>
  <si>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</si>
  <si>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</si>
  <si>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</si>
  <si>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</si>
  <si>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</si>
  <si>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</si>
  <si>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</si>
  <si>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</si>
  <si>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</si>
  <si>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</si>
  <si>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</si>
  <si>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</si>
  <si>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</si>
  <si>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</si>
  <si>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</si>
  <si>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</si>
  <si>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</si>
  <si>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</si>
  <si>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</si>
  <si>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</si>
  <si>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</si>
  <si>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</si>
  <si>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</si>
  <si>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</si>
  <si>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</si>
  <si>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</si>
  <si>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</si>
  <si>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</si>
  <si>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</si>
  <si>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</si>
  <si>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</si>
  <si>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</si>
  <si>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</si>
  <si>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</si>
  <si>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</si>
  <si>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</si>
  <si>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</si>
  <si>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</si>
  <si>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</si>
  <si>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</si>
  <si>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</si>
  <si>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</si>
  <si>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</si>
  <si>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</si>
  <si>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</si>
  <si>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</si>
  <si>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</si>
  <si>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</si>
  <si>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</si>
  <si>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</si>
  <si>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</si>
  <si>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</si>
  <si>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</si>
  <si>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</si>
  <si>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</si>
  <si>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</si>
  <si>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</si>
  <si>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</si>
  <si>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</si>
  <si>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</si>
  <si>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</si>
  <si>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</si>
  <si>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</si>
  <si>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</si>
  <si>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</si>
  <si>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</si>
  <si>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</si>
  <si>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</si>
  <si>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</si>
  <si>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</si>
  <si>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</si>
  <si>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</si>
  <si>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</si>
  <si>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</si>
  <si>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</si>
  <si>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</si>
  <si>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</si>
  <si>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</si>
  <si>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</si>
  <si>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</si>
  <si>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</si>
  <si>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</si>
  <si>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</si>
  <si>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</si>
  <si>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</si>
  <si>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</si>
  <si>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</si>
  <si>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</si>
  <si>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</si>
  <si>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</si>
  <si>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</si>
  <si>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</si>
  <si>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</si>
  <si>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</si>
  <si>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</si>
  <si>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</si>
  <si>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</si>
  <si>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</si>
  <si>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</si>
  <si>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</si>
  <si>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</si>
  <si>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</si>
  <si>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</si>
  <si>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</si>
  <si>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</si>
  <si>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</si>
  <si>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</si>
  <si>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</si>
  <si>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</si>
  <si>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</si>
  <si>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</si>
  <si>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</si>
  <si>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</si>
  <si>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</si>
  <si>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</si>
  <si>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</si>
  <si>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</si>
  <si>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</si>
  <si>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</si>
  <si>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</si>
  <si>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</si>
  <si>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</si>
  <si>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</si>
  <si>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</si>
  <si>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</si>
  <si>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</si>
  <si>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</si>
  <si>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</si>
  <si>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</si>
  <si>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</si>
  <si>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</si>
  <si>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</si>
  <si>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</si>
  <si>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</si>
  <si>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</si>
  <si>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</si>
  <si>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</si>
  <si>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</si>
  <si>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</si>
  <si>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</si>
  <si>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</si>
  <si>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</si>
  <si>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</si>
  <si>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</si>
  <si>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</si>
  <si>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</si>
  <si>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</si>
  <si>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</si>
  <si>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</si>
  <si>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</si>
  <si>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</si>
  <si>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</si>
  <si>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</si>
  <si>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</si>
  <si>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</si>
  <si>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</si>
  <si>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</si>
  <si>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</si>
  <si>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</si>
  <si>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</si>
  <si>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</si>
  <si>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</si>
  <si>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</si>
  <si>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</si>
  <si>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</si>
  <si>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</si>
  <si>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</si>
  <si>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</si>
  <si>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</si>
  <si>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</si>
  <si>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</si>
  <si>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</si>
  <si>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</si>
  <si>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</si>
  <si>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</si>
  <si>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</si>
  <si>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</si>
  <si>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</si>
  <si>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</si>
  <si>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</si>
  <si>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</si>
  <si>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</si>
  <si>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</si>
  <si>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</si>
  <si>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</si>
  <si>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</si>
  <si>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</si>
  <si>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</si>
  <si>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</si>
  <si>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</si>
  <si>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</si>
  <si>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</si>
  <si>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</si>
  <si>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</si>
  <si>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</si>
  <si>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</si>
  <si>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</si>
  <si>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</si>
  <si>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</si>
  <si>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</si>
  <si>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</si>
  <si>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</si>
  <si>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</si>
  <si>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</si>
  <si>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</si>
  <si>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</si>
  <si>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</si>
  <si>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</si>
  <si>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</si>
  <si>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</si>
  <si>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</si>
  <si>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</si>
  <si>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</si>
  <si>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</si>
  <si>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</si>
  <si>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</si>
  <si>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</si>
  <si>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</si>
  <si>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</si>
  <si>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</si>
  <si>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</si>
  <si>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</si>
  <si>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</si>
  <si>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</si>
  <si>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</si>
  <si>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</si>
  <si>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</si>
  <si>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</si>
  <si>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</si>
  <si>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</si>
  <si>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</si>
  <si>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</si>
  <si>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</si>
  <si>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</si>
  <si>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</si>
  <si>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</si>
  <si>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</si>
  <si>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</si>
  <si>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</si>
  <si>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</si>
  <si>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</si>
  <si>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</si>
  <si>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</si>
  <si>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</si>
  <si>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</si>
  <si>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</si>
  <si>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</si>
  <si>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</si>
  <si>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</si>
  <si>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</si>
  <si>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</si>
  <si>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</si>
  <si>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</si>
  <si>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</si>
  <si>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</si>
  <si>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</si>
  <si>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</si>
  <si>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</si>
  <si>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2. </t>
  </si>
  <si>
    <t>КЛ2</t>
  </si>
  <si>
    <t xml:space="preserve"> техприсоединение</t>
  </si>
  <si>
    <t xml:space="preserve">Калининград </t>
  </si>
  <si>
    <t>Строительство сетей электроснабжения , создание 2-й категории надёжности электроснабжения.</t>
  </si>
  <si>
    <t xml:space="preserve">Строительство </t>
  </si>
  <si>
    <t>П</t>
  </si>
  <si>
    <t>УНЦ</t>
  </si>
  <si>
    <t>3х240</t>
  </si>
  <si>
    <t>L_21-15</t>
  </si>
  <si>
    <t>Строительство сетей электроснабжения жд г. Пионерский (Нивелир)</t>
  </si>
  <si>
    <t>г. Пионерский</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</si>
  <si>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4  КЛ 15 кВ,  протяженностью 4х140м, строительство  КТП 15/0,4 кВ показатель увеличения трансформаторной мощности 1,26 МВА</t>
  </si>
  <si>
    <t xml:space="preserve">82-09/21тп </t>
  </si>
  <si>
    <t>ж/д Нивелир</t>
  </si>
  <si>
    <t>Строительство 4 КЛ 15 кВ сеч 3х1х240 мм2 протяженностью 4х0,14 км, КТП 15/0,4 кВ</t>
  </si>
  <si>
    <t xml:space="preserve">КТП 15 /0,4кВ </t>
  </si>
  <si>
    <t>ячейки с элегазовыми выключателями нагрузки</t>
  </si>
  <si>
    <t>РУ-15кВ</t>
  </si>
  <si>
    <t xml:space="preserve">15  </t>
  </si>
  <si>
    <t>ячейки РУ-0,4кВ</t>
  </si>
  <si>
    <t>шкафы НКУ-0,4 с автоматическими выключателями и АВР</t>
  </si>
  <si>
    <t>РУ-0,4</t>
  </si>
  <si>
    <t>0,4</t>
  </si>
  <si>
    <t xml:space="preserve">Трансформатор  </t>
  </si>
  <si>
    <t>Т-1</t>
  </si>
  <si>
    <t>Т-2</t>
  </si>
  <si>
    <t>ТМГ-15/0,4кВ  630 кВА</t>
  </si>
  <si>
    <t>КЛ3</t>
  </si>
  <si>
    <t>КЛ4</t>
  </si>
  <si>
    <t>4КЛ 15 кВ сеч 3х240 мм2, протяженностью 4х0,14 км, КТП 15/0,4 кВ</t>
  </si>
  <si>
    <t>Строительство КТП15/0,4  кВ, 4-х КЛ 15 кВ , протяженностью 4х0,14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</si>
</sst>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4" t="s">
        <v>618</v>
      </c>
      <c r="B5" s="414"/>
      <c r="C5" s="414"/>
      <c r="D5" s="105"/>
      <c r="E5" s="105"/>
      <c r="F5" s="105"/>
      <c r="G5" s="105"/>
      <c r="H5" s="105"/>
      <c r="I5" s="105"/>
      <c r="J5" s="105"/>
    </row>
    <row r="6" spans="1:22" s="11" customFormat="1" ht="18.75" x14ac:dyDescent="0.3">
      <c r="A6" s="16"/>
      <c r="F6" s="15"/>
      <c r="G6" s="15"/>
      <c r="H6" s="14"/>
    </row>
    <row r="7" spans="1:22" s="11" customFormat="1" ht="18.75" x14ac:dyDescent="0.2">
      <c r="A7" s="418" t="s">
        <v>7</v>
      </c>
      <c r="B7" s="418"/>
      <c r="C7" s="41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544</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5" t="s">
        <v>6</v>
      </c>
      <c r="B10" s="415"/>
      <c r="C10" s="41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9" t="s">
        <v>635</v>
      </c>
      <c r="B12" s="419"/>
      <c r="C12" s="419"/>
      <c r="D12" s="7"/>
      <c r="E12" s="7"/>
      <c r="F12" s="7"/>
      <c r="G12" s="7"/>
      <c r="H12" s="7"/>
      <c r="I12" s="12"/>
      <c r="J12" s="12"/>
      <c r="K12" s="12"/>
      <c r="L12" s="12"/>
      <c r="M12" s="12"/>
      <c r="N12" s="12"/>
      <c r="O12" s="12"/>
      <c r="P12" s="12"/>
      <c r="Q12" s="12"/>
      <c r="R12" s="12"/>
      <c r="S12" s="12"/>
      <c r="T12" s="12"/>
      <c r="U12" s="12"/>
      <c r="V12" s="12"/>
    </row>
    <row r="13" spans="1:22" s="11" customFormat="1" ht="18.75" x14ac:dyDescent="0.2">
      <c r="A13" s="415" t="s">
        <v>5</v>
      </c>
      <c r="B13" s="415"/>
      <c r="C13" s="41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6" t="s">
        <v>636</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5" t="s">
        <v>4</v>
      </c>
      <c r="B16" s="415"/>
      <c r="C16" s="41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408</v>
      </c>
      <c r="B18" s="417"/>
      <c r="C18" s="41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1"/>
      <c r="B24" s="412"/>
      <c r="C24" s="413"/>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637</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1"/>
      <c r="B39" s="412"/>
      <c r="C39" s="413"/>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638</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1"/>
      <c r="B47" s="412"/>
      <c r="C47" s="41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2.5</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2.5</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4" t="str">
        <f>'1. паспорт местоположение'!A5:C5</f>
        <v>Год раскрытия информации: 2022 год</v>
      </c>
      <c r="B4" s="494"/>
      <c r="C4" s="494"/>
      <c r="D4" s="494"/>
      <c r="E4" s="494"/>
      <c r="F4" s="494"/>
      <c r="G4" s="494"/>
      <c r="H4" s="494"/>
      <c r="I4" s="494"/>
      <c r="J4" s="494"/>
      <c r="K4" s="494"/>
      <c r="L4" s="494"/>
      <c r="M4" s="494"/>
      <c r="N4" s="494"/>
      <c r="O4" s="494"/>
      <c r="P4" s="494"/>
      <c r="Q4" s="494"/>
      <c r="R4" s="494"/>
      <c r="S4" s="494"/>
      <c r="T4" s="494"/>
      <c r="U4" s="494"/>
      <c r="V4" s="494"/>
      <c r="W4" s="494"/>
      <c r="X4" s="494"/>
      <c r="Y4" s="494"/>
      <c r="Z4" s="494"/>
      <c r="AA4" s="494"/>
      <c r="AB4" s="494"/>
      <c r="AC4" s="494"/>
    </row>
    <row r="5" spans="1:29" ht="18.75" x14ac:dyDescent="0.3">
      <c r="A5" s="44"/>
      <c r="B5" s="44"/>
      <c r="C5" s="44"/>
      <c r="D5" s="44"/>
      <c r="E5" s="44"/>
      <c r="F5" s="44"/>
      <c r="L5" s="44"/>
      <c r="M5" s="44"/>
      <c r="T5" s="44"/>
      <c r="U5" s="44"/>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5" t="str">
        <f>'1. паспорт местоположение'!A12:C12</f>
        <v>L_21-15</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6" t="str">
        <f>'1. паспорт местоположение'!A15:C15</f>
        <v>Строительство сетей электроснабжения жд г. Пионерский (Нивелир)</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2" t="s">
        <v>393</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8" t="s">
        <v>183</v>
      </c>
      <c r="B20" s="498" t="s">
        <v>182</v>
      </c>
      <c r="C20" s="493" t="s">
        <v>181</v>
      </c>
      <c r="D20" s="493"/>
      <c r="E20" s="501" t="s">
        <v>180</v>
      </c>
      <c r="F20" s="501"/>
      <c r="G20" s="498" t="s">
        <v>423</v>
      </c>
      <c r="H20" s="504" t="s">
        <v>424</v>
      </c>
      <c r="I20" s="505"/>
      <c r="J20" s="505"/>
      <c r="K20" s="505"/>
      <c r="L20" s="504" t="s">
        <v>425</v>
      </c>
      <c r="M20" s="505"/>
      <c r="N20" s="505"/>
      <c r="O20" s="505"/>
      <c r="P20" s="504" t="s">
        <v>426</v>
      </c>
      <c r="Q20" s="505"/>
      <c r="R20" s="505"/>
      <c r="S20" s="505"/>
      <c r="T20" s="504" t="s">
        <v>438</v>
      </c>
      <c r="U20" s="505"/>
      <c r="V20" s="505"/>
      <c r="W20" s="505"/>
      <c r="X20" s="504" t="s">
        <v>439</v>
      </c>
      <c r="Y20" s="505"/>
      <c r="Z20" s="505"/>
      <c r="AA20" s="505"/>
      <c r="AB20" s="503" t="s">
        <v>179</v>
      </c>
      <c r="AC20" s="503"/>
      <c r="AD20" s="65"/>
      <c r="AE20" s="65"/>
      <c r="AF20" s="65"/>
    </row>
    <row r="21" spans="1:32" ht="99.75" customHeight="1" x14ac:dyDescent="0.25">
      <c r="A21" s="499"/>
      <c r="B21" s="499"/>
      <c r="C21" s="493"/>
      <c r="D21" s="493"/>
      <c r="E21" s="501"/>
      <c r="F21" s="501"/>
      <c r="G21" s="499"/>
      <c r="H21" s="493" t="s">
        <v>2</v>
      </c>
      <c r="I21" s="493"/>
      <c r="J21" s="493" t="s">
        <v>9</v>
      </c>
      <c r="K21" s="493"/>
      <c r="L21" s="493" t="s">
        <v>2</v>
      </c>
      <c r="M21" s="493"/>
      <c r="N21" s="493" t="s">
        <v>9</v>
      </c>
      <c r="O21" s="493"/>
      <c r="P21" s="493" t="s">
        <v>2</v>
      </c>
      <c r="Q21" s="493"/>
      <c r="R21" s="493" t="s">
        <v>178</v>
      </c>
      <c r="S21" s="493"/>
      <c r="T21" s="493" t="s">
        <v>2</v>
      </c>
      <c r="U21" s="493"/>
      <c r="V21" s="493" t="s">
        <v>178</v>
      </c>
      <c r="W21" s="493"/>
      <c r="X21" s="493" t="s">
        <v>2</v>
      </c>
      <c r="Y21" s="493"/>
      <c r="Z21" s="493" t="s">
        <v>178</v>
      </c>
      <c r="AA21" s="493"/>
      <c r="AB21" s="503"/>
      <c r="AC21" s="503"/>
    </row>
    <row r="22" spans="1:32" ht="89.25" customHeight="1" x14ac:dyDescent="0.25">
      <c r="A22" s="500"/>
      <c r="B22" s="500"/>
      <c r="C22" s="62" t="s">
        <v>2</v>
      </c>
      <c r="D22" s="62" t="s">
        <v>178</v>
      </c>
      <c r="E22" s="64" t="s">
        <v>437</v>
      </c>
      <c r="F22" s="64" t="s">
        <v>482</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8"/>
      <c r="C66" s="508"/>
      <c r="D66" s="508"/>
      <c r="E66" s="508"/>
      <c r="F66" s="508"/>
      <c r="G66" s="508"/>
      <c r="H66" s="508"/>
      <c r="I66" s="50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9"/>
      <c r="C68" s="509"/>
      <c r="D68" s="509"/>
      <c r="E68" s="509"/>
      <c r="F68" s="509"/>
      <c r="G68" s="509"/>
      <c r="H68" s="509"/>
      <c r="I68" s="50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8"/>
      <c r="C70" s="508"/>
      <c r="D70" s="508"/>
      <c r="E70" s="508"/>
      <c r="F70" s="508"/>
      <c r="G70" s="508"/>
      <c r="H70" s="508"/>
      <c r="I70" s="50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8"/>
      <c r="C72" s="508"/>
      <c r="D72" s="508"/>
      <c r="E72" s="508"/>
      <c r="F72" s="508"/>
      <c r="G72" s="508"/>
      <c r="H72" s="508"/>
      <c r="I72" s="50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9"/>
      <c r="C73" s="509"/>
      <c r="D73" s="509"/>
      <c r="E73" s="509"/>
      <c r="F73" s="509"/>
      <c r="G73" s="509"/>
      <c r="H73" s="509"/>
      <c r="I73" s="50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8"/>
      <c r="C74" s="508"/>
      <c r="D74" s="508"/>
      <c r="E74" s="508"/>
      <c r="F74" s="508"/>
      <c r="G74" s="508"/>
      <c r="H74" s="508"/>
      <c r="I74" s="50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6"/>
      <c r="C75" s="506"/>
      <c r="D75" s="506"/>
      <c r="E75" s="506"/>
      <c r="F75" s="506"/>
      <c r="G75" s="506"/>
      <c r="H75" s="506"/>
      <c r="I75" s="50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7"/>
      <c r="C77" s="507"/>
      <c r="D77" s="507"/>
      <c r="E77" s="507"/>
      <c r="F77" s="507"/>
      <c r="G77" s="507"/>
      <c r="H77" s="507"/>
      <c r="I77" s="50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20" zoomScale="70" zoomScaleNormal="70" zoomScaleSheetLayoutView="70" workbookViewId="0">
      <selection activeCell="D30" sqref="D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401"/>
    </row>
    <row r="6" spans="1:29" ht="18.75" x14ac:dyDescent="0.25">
      <c r="A6" s="511" t="s">
        <v>7</v>
      </c>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1"/>
      <c r="AB6" s="511"/>
      <c r="AC6" s="511"/>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2" t="str">
        <f>'6.1. Паспорт сетевой график'!A9</f>
        <v xml:space="preserve">Акционерное общество "Западная энергетическая компания" </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512"/>
    </row>
    <row r="9" spans="1:29" ht="18.75" customHeight="1" x14ac:dyDescent="0.25">
      <c r="A9" s="510" t="s">
        <v>6</v>
      </c>
      <c r="B9" s="510"/>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2" t="str">
        <f>'6.1. Паспорт сетевой график'!A12</f>
        <v>L_21-15</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row>
    <row r="12" spans="1:29" x14ac:dyDescent="0.25">
      <c r="A12" s="510" t="s">
        <v>5</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3" t="str">
        <f>'6.1. Паспорт сетевой график'!A15</f>
        <v>Строительство сетей электроснабжения жд г. Пионерский (Нивелир)</v>
      </c>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row>
    <row r="15" spans="1:29" ht="15.75" customHeight="1" x14ac:dyDescent="0.25">
      <c r="A15" s="510" t="s">
        <v>4</v>
      </c>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c r="AA15" s="510"/>
      <c r="AB15" s="510"/>
      <c r="AC15" s="510"/>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ht="18.75" x14ac:dyDescent="0.3">
      <c r="U17" s="66"/>
      <c r="V17" s="66"/>
      <c r="W17" s="66"/>
      <c r="X17" s="66"/>
      <c r="Y17" s="211"/>
      <c r="Z17" s="211"/>
      <c r="AA17" s="211"/>
      <c r="AB17" s="211"/>
      <c r="AC17" s="211"/>
      <c r="AF17" s="211"/>
    </row>
    <row r="18" spans="1:32" x14ac:dyDescent="0.25">
      <c r="A18" s="502" t="s">
        <v>393</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ht="49.5" hidden="1" customHeight="1" x14ac:dyDescent="0.25">
      <c r="E19" s="64" t="s">
        <v>597</v>
      </c>
      <c r="F19" s="64" t="s">
        <v>598</v>
      </c>
      <c r="G19" s="64" t="s">
        <v>599</v>
      </c>
      <c r="H19" s="44" t="s">
        <v>600</v>
      </c>
      <c r="L19" s="44" t="s">
        <v>601</v>
      </c>
      <c r="P19" s="44" t="s">
        <v>602</v>
      </c>
    </row>
    <row r="20" spans="1:32" ht="33" customHeight="1" x14ac:dyDescent="0.25">
      <c r="A20" s="498" t="s">
        <v>183</v>
      </c>
      <c r="B20" s="498" t="s">
        <v>182</v>
      </c>
      <c r="C20" s="493" t="s">
        <v>181</v>
      </c>
      <c r="D20" s="493"/>
      <c r="E20" s="514" t="s">
        <v>180</v>
      </c>
      <c r="F20" s="514"/>
      <c r="G20" s="498" t="s">
        <v>613</v>
      </c>
      <c r="H20" s="504">
        <v>2020</v>
      </c>
      <c r="I20" s="505"/>
      <c r="J20" s="505"/>
      <c r="K20" s="515"/>
      <c r="L20" s="504">
        <v>2021</v>
      </c>
      <c r="M20" s="505"/>
      <c r="N20" s="505"/>
      <c r="O20" s="515"/>
      <c r="P20" s="504">
        <v>2022</v>
      </c>
      <c r="Q20" s="505"/>
      <c r="R20" s="505"/>
      <c r="S20" s="515"/>
      <c r="T20" s="504">
        <v>2023</v>
      </c>
      <c r="U20" s="505"/>
      <c r="V20" s="505"/>
      <c r="W20" s="515"/>
      <c r="X20" s="504">
        <v>2024</v>
      </c>
      <c r="Y20" s="505"/>
      <c r="Z20" s="505"/>
      <c r="AA20" s="505"/>
      <c r="AB20" s="503" t="s">
        <v>179</v>
      </c>
      <c r="AC20" s="503"/>
      <c r="AD20" s="403"/>
      <c r="AE20" s="403"/>
      <c r="AF20" s="403"/>
    </row>
    <row r="21" spans="1:32" ht="99.75" customHeight="1" x14ac:dyDescent="0.25">
      <c r="A21" s="499"/>
      <c r="B21" s="499"/>
      <c r="C21" s="493"/>
      <c r="D21" s="493"/>
      <c r="E21" s="514"/>
      <c r="F21" s="514"/>
      <c r="G21" s="499"/>
      <c r="H21" s="493" t="s">
        <v>2</v>
      </c>
      <c r="I21" s="493"/>
      <c r="J21" s="493" t="s">
        <v>617</v>
      </c>
      <c r="K21" s="493"/>
      <c r="L21" s="493" t="s">
        <v>2</v>
      </c>
      <c r="M21" s="493"/>
      <c r="N21" s="493" t="s">
        <v>617</v>
      </c>
      <c r="O21" s="493"/>
      <c r="P21" s="493" t="s">
        <v>2</v>
      </c>
      <c r="Q21" s="493"/>
      <c r="R21" s="493" t="s">
        <v>178</v>
      </c>
      <c r="S21" s="493"/>
      <c r="T21" s="493" t="s">
        <v>2</v>
      </c>
      <c r="U21" s="493"/>
      <c r="V21" s="493" t="s">
        <v>178</v>
      </c>
      <c r="W21" s="493"/>
      <c r="X21" s="493" t="s">
        <v>2</v>
      </c>
      <c r="Y21" s="493"/>
      <c r="Z21" s="493" t="s">
        <v>178</v>
      </c>
      <c r="AA21" s="493"/>
      <c r="AB21" s="503"/>
      <c r="AC21" s="503"/>
    </row>
    <row r="22" spans="1:32" ht="89.25" customHeight="1" x14ac:dyDescent="0.25">
      <c r="A22" s="500"/>
      <c r="B22" s="500"/>
      <c r="C22" s="398" t="s">
        <v>2</v>
      </c>
      <c r="D22" s="398" t="s">
        <v>178</v>
      </c>
      <c r="E22" s="64" t="s">
        <v>545</v>
      </c>
      <c r="F22" s="64" t="s">
        <v>619</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2.5</v>
      </c>
      <c r="E24" s="117">
        <f>D24</f>
        <v>2.5</v>
      </c>
      <c r="F24" s="119">
        <f>D24-G24-J24-N24</f>
        <v>0</v>
      </c>
      <c r="G24" s="119">
        <v>0</v>
      </c>
      <c r="H24" s="117" t="s">
        <v>537</v>
      </c>
      <c r="I24" s="117">
        <f>SUM(I25:I29)</f>
        <v>0</v>
      </c>
      <c r="J24" s="119">
        <v>0</v>
      </c>
      <c r="K24" s="117">
        <f>SUM(K25:K29)</f>
        <v>0</v>
      </c>
      <c r="L24" s="117" t="s">
        <v>537</v>
      </c>
      <c r="M24" s="117">
        <f t="shared" ref="M24:Y24" si="0">SUM(M25:M29)</f>
        <v>0</v>
      </c>
      <c r="N24" s="117">
        <f>N25+N26+N27+N28+N29</f>
        <v>2.5</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2.5</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2.5</v>
      </c>
      <c r="E28" s="117">
        <f t="shared" si="4"/>
        <v>2.5</v>
      </c>
      <c r="F28" s="119">
        <f t="shared" si="5"/>
        <v>0</v>
      </c>
      <c r="G28" s="119">
        <v>0</v>
      </c>
      <c r="H28" s="117" t="s">
        <v>537</v>
      </c>
      <c r="I28" s="119">
        <v>0</v>
      </c>
      <c r="J28" s="119">
        <v>0</v>
      </c>
      <c r="K28" s="119">
        <v>0</v>
      </c>
      <c r="L28" s="117" t="s">
        <v>537</v>
      </c>
      <c r="M28" s="119">
        <v>0</v>
      </c>
      <c r="N28" s="408">
        <v>2.5</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2.5</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4" customFormat="1" ht="47.25" x14ac:dyDescent="0.25">
      <c r="A30" s="60" t="s">
        <v>61</v>
      </c>
      <c r="B30" s="59" t="s">
        <v>167</v>
      </c>
      <c r="C30" s="117" t="s">
        <v>537</v>
      </c>
      <c r="D30" s="117">
        <v>2.5</v>
      </c>
      <c r="E30" s="117">
        <f t="shared" si="4"/>
        <v>2.5</v>
      </c>
      <c r="F30" s="119">
        <f t="shared" si="5"/>
        <v>0</v>
      </c>
      <c r="G30" s="119">
        <v>0</v>
      </c>
      <c r="H30" s="117" t="s">
        <v>537</v>
      </c>
      <c r="I30" s="117">
        <v>0</v>
      </c>
      <c r="J30" s="119">
        <v>0</v>
      </c>
      <c r="K30" s="117">
        <v>0</v>
      </c>
      <c r="L30" s="117" t="s">
        <v>537</v>
      </c>
      <c r="M30" s="117">
        <v>0</v>
      </c>
      <c r="N30" s="117">
        <v>2.5</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2.5</v>
      </c>
      <c r="AD30" s="44"/>
      <c r="AE30" s="44"/>
      <c r="AF30" s="44"/>
    </row>
    <row r="31" spans="1:32" x14ac:dyDescent="0.25">
      <c r="A31" s="60" t="s">
        <v>166</v>
      </c>
      <c r="B31" s="33" t="s">
        <v>165</v>
      </c>
      <c r="C31" s="117" t="s">
        <v>537</v>
      </c>
      <c r="D31" s="117">
        <v>0</v>
      </c>
      <c r="E31" s="117">
        <f t="shared" si="4"/>
        <v>0</v>
      </c>
      <c r="F31" s="119">
        <f t="shared" si="5"/>
        <v>0</v>
      </c>
      <c r="G31" s="119">
        <v>0</v>
      </c>
      <c r="H31" s="117" t="s">
        <v>537</v>
      </c>
      <c r="I31" s="119">
        <v>0</v>
      </c>
      <c r="J31" s="119">
        <v>0</v>
      </c>
      <c r="K31" s="119">
        <v>0</v>
      </c>
      <c r="L31" s="117" t="s">
        <v>537</v>
      </c>
      <c r="M31" s="119">
        <v>0</v>
      </c>
      <c r="N31" s="117">
        <v>0</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v>
      </c>
    </row>
    <row r="32" spans="1:32" ht="31.5" x14ac:dyDescent="0.25">
      <c r="A32" s="60" t="s">
        <v>164</v>
      </c>
      <c r="B32" s="33" t="s">
        <v>163</v>
      </c>
      <c r="C32" s="117" t="s">
        <v>537</v>
      </c>
      <c r="D32" s="117">
        <v>2.5</v>
      </c>
      <c r="E32" s="117">
        <f t="shared" si="4"/>
        <v>2.5</v>
      </c>
      <c r="F32" s="119">
        <f t="shared" si="5"/>
        <v>0</v>
      </c>
      <c r="G32" s="119">
        <v>0</v>
      </c>
      <c r="H32" s="117" t="s">
        <v>537</v>
      </c>
      <c r="I32" s="119">
        <v>0</v>
      </c>
      <c r="J32" s="119">
        <v>0</v>
      </c>
      <c r="K32" s="119">
        <v>0</v>
      </c>
      <c r="L32" s="117" t="s">
        <v>537</v>
      </c>
      <c r="M32" s="119">
        <v>0</v>
      </c>
      <c r="N32" s="117">
        <v>2.5</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2.5</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v>
      </c>
    </row>
    <row r="35" spans="1:29" s="404"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4"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4"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v>
      </c>
      <c r="E52" s="117">
        <f t="shared" si="4"/>
        <v>0</v>
      </c>
      <c r="F52" s="119">
        <f t="shared" si="5"/>
        <v>0</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4" customFormat="1" ht="36.75" customHeight="1" x14ac:dyDescent="0.25">
      <c r="A58" s="60" t="s">
        <v>56</v>
      </c>
      <c r="B58" s="213" t="s">
        <v>207</v>
      </c>
      <c r="C58" s="117" t="s">
        <v>537</v>
      </c>
      <c r="D58" s="117">
        <v>0</v>
      </c>
      <c r="E58" s="117">
        <f t="shared" si="4"/>
        <v>0</v>
      </c>
      <c r="F58" s="119">
        <f t="shared" si="5"/>
        <v>0</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404"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508"/>
      <c r="C66" s="508"/>
      <c r="D66" s="508"/>
      <c r="E66" s="508"/>
      <c r="F66" s="508"/>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509"/>
      <c r="C68" s="509"/>
      <c r="D68" s="509"/>
      <c r="E68" s="509"/>
      <c r="F68" s="509"/>
      <c r="G68" s="397"/>
    </row>
    <row r="70" spans="1:28" ht="36.75" customHeight="1" x14ac:dyDescent="0.25">
      <c r="B70" s="508"/>
      <c r="C70" s="508"/>
      <c r="D70" s="508"/>
      <c r="E70" s="508"/>
      <c r="F70" s="508"/>
      <c r="G70" s="396"/>
    </row>
    <row r="71" spans="1:28" x14ac:dyDescent="0.25">
      <c r="B71" s="51"/>
      <c r="C71" s="51"/>
      <c r="D71" s="51"/>
      <c r="E71" s="51"/>
      <c r="F71" s="51"/>
    </row>
    <row r="72" spans="1:28" ht="51" customHeight="1" x14ac:dyDescent="0.25">
      <c r="B72" s="508"/>
      <c r="C72" s="508"/>
      <c r="D72" s="508"/>
      <c r="E72" s="508"/>
      <c r="F72" s="508"/>
      <c r="G72" s="396"/>
    </row>
    <row r="73" spans="1:28" ht="32.25" customHeight="1" x14ac:dyDescent="0.25">
      <c r="B73" s="509"/>
      <c r="C73" s="509"/>
      <c r="D73" s="509"/>
      <c r="E73" s="509"/>
      <c r="F73" s="509"/>
      <c r="G73" s="397"/>
    </row>
    <row r="74" spans="1:28" ht="51.75" customHeight="1" x14ac:dyDescent="0.25">
      <c r="B74" s="508"/>
      <c r="C74" s="508"/>
      <c r="D74" s="508"/>
      <c r="E74" s="508"/>
      <c r="F74" s="508"/>
      <c r="G74" s="396"/>
    </row>
    <row r="75" spans="1:28" ht="21.75" customHeight="1" x14ac:dyDescent="0.25">
      <c r="B75" s="506"/>
      <c r="C75" s="506"/>
      <c r="D75" s="506"/>
      <c r="E75" s="506"/>
      <c r="F75" s="506"/>
      <c r="G75" s="399"/>
    </row>
    <row r="76" spans="1:28" ht="23.25" customHeight="1" x14ac:dyDescent="0.25">
      <c r="B76" s="46"/>
      <c r="C76" s="46"/>
      <c r="D76" s="46"/>
      <c r="E76" s="46"/>
      <c r="F76" s="46"/>
    </row>
    <row r="77" spans="1:28" ht="18.75" customHeight="1" x14ac:dyDescent="0.25">
      <c r="B77" s="507"/>
      <c r="C77" s="507"/>
      <c r="D77" s="507"/>
      <c r="E77" s="507"/>
      <c r="F77" s="507"/>
      <c r="G77" s="39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25" t="str">
        <f>'1. паспорт местоположение'!A12:C12</f>
        <v>L_21-15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ht="15.75" x14ac:dyDescent="0.25">
      <c r="A15" s="419" t="str">
        <f>'1. паспорт местоположение'!A15:C15</f>
        <v>Строительство сетей электроснабжения жд г. Пионерский (Нивелир)</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180"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180" customFormat="1" x14ac:dyDescent="0.25">
      <c r="A21" s="516" t="s">
        <v>406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80" customFormat="1" ht="58.5" customHeight="1" x14ac:dyDescent="0.25">
      <c r="A22" s="517" t="s">
        <v>50</v>
      </c>
      <c r="B22" s="523" t="s">
        <v>22</v>
      </c>
      <c r="C22" s="520" t="s">
        <v>49</v>
      </c>
      <c r="D22" s="520" t="s">
        <v>48</v>
      </c>
      <c r="E22" s="526" t="s">
        <v>416</v>
      </c>
      <c r="F22" s="527"/>
      <c r="G22" s="527"/>
      <c r="H22" s="527"/>
      <c r="I22" s="527"/>
      <c r="J22" s="527"/>
      <c r="K22" s="527"/>
      <c r="L22" s="528"/>
      <c r="M22" s="520" t="s">
        <v>47</v>
      </c>
      <c r="N22" s="520" t="s">
        <v>46</v>
      </c>
      <c r="O22" s="520" t="s">
        <v>45</v>
      </c>
      <c r="P22" s="529" t="s">
        <v>228</v>
      </c>
      <c r="Q22" s="529" t="s">
        <v>44</v>
      </c>
      <c r="R22" s="529" t="s">
        <v>43</v>
      </c>
      <c r="S22" s="529" t="s">
        <v>42</v>
      </c>
      <c r="T22" s="529"/>
      <c r="U22" s="530" t="s">
        <v>41</v>
      </c>
      <c r="V22" s="530" t="s">
        <v>40</v>
      </c>
      <c r="W22" s="529" t="s">
        <v>39</v>
      </c>
      <c r="X22" s="529" t="s">
        <v>38</v>
      </c>
      <c r="Y22" s="529" t="s">
        <v>37</v>
      </c>
      <c r="Z22" s="543"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33" t="s">
        <v>23</v>
      </c>
    </row>
    <row r="23" spans="1:48" s="180" customFormat="1" ht="64.5" customHeight="1" x14ac:dyDescent="0.25">
      <c r="A23" s="518"/>
      <c r="B23" s="524"/>
      <c r="C23" s="521"/>
      <c r="D23" s="521"/>
      <c r="E23" s="535" t="s">
        <v>21</v>
      </c>
      <c r="F23" s="537" t="s">
        <v>126</v>
      </c>
      <c r="G23" s="537" t="s">
        <v>125</v>
      </c>
      <c r="H23" s="537" t="s">
        <v>124</v>
      </c>
      <c r="I23" s="541" t="s">
        <v>353</v>
      </c>
      <c r="J23" s="541" t="s">
        <v>354</v>
      </c>
      <c r="K23" s="541" t="s">
        <v>355</v>
      </c>
      <c r="L23" s="537" t="s">
        <v>74</v>
      </c>
      <c r="M23" s="521"/>
      <c r="N23" s="521"/>
      <c r="O23" s="521"/>
      <c r="P23" s="529"/>
      <c r="Q23" s="529"/>
      <c r="R23" s="529"/>
      <c r="S23" s="539" t="s">
        <v>2</v>
      </c>
      <c r="T23" s="539" t="s">
        <v>9</v>
      </c>
      <c r="U23" s="530"/>
      <c r="V23" s="530"/>
      <c r="W23" s="529"/>
      <c r="X23" s="529"/>
      <c r="Y23" s="529"/>
      <c r="Z23" s="529"/>
      <c r="AA23" s="529"/>
      <c r="AB23" s="529"/>
      <c r="AC23" s="529"/>
      <c r="AD23" s="529"/>
      <c r="AE23" s="529"/>
      <c r="AF23" s="529" t="s">
        <v>20</v>
      </c>
      <c r="AG23" s="529"/>
      <c r="AH23" s="529" t="s">
        <v>19</v>
      </c>
      <c r="AI23" s="529"/>
      <c r="AJ23" s="520" t="s">
        <v>18</v>
      </c>
      <c r="AK23" s="520" t="s">
        <v>17</v>
      </c>
      <c r="AL23" s="520" t="s">
        <v>16</v>
      </c>
      <c r="AM23" s="520" t="s">
        <v>15</v>
      </c>
      <c r="AN23" s="520" t="s">
        <v>14</v>
      </c>
      <c r="AO23" s="520" t="s">
        <v>13</v>
      </c>
      <c r="AP23" s="520" t="s">
        <v>12</v>
      </c>
      <c r="AQ23" s="531" t="s">
        <v>9</v>
      </c>
      <c r="AR23" s="529"/>
      <c r="AS23" s="529"/>
      <c r="AT23" s="529"/>
      <c r="AU23" s="529"/>
      <c r="AV23" s="534"/>
    </row>
    <row r="24" spans="1:48" s="180" customFormat="1" ht="96.75" customHeight="1" x14ac:dyDescent="0.25">
      <c r="A24" s="519"/>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81" t="s">
        <v>11</v>
      </c>
      <c r="AG24" s="181" t="s">
        <v>10</v>
      </c>
      <c r="AH24" s="182" t="s">
        <v>2</v>
      </c>
      <c r="AI24" s="182" t="s">
        <v>9</v>
      </c>
      <c r="AJ24" s="522"/>
      <c r="AK24" s="522"/>
      <c r="AL24" s="522"/>
      <c r="AM24" s="522"/>
      <c r="AN24" s="522"/>
      <c r="AO24" s="522"/>
      <c r="AP24" s="522"/>
      <c r="AQ24" s="532"/>
      <c r="AR24" s="529"/>
      <c r="AS24" s="529"/>
      <c r="AT24" s="529"/>
      <c r="AU24" s="529"/>
      <c r="AV24" s="534"/>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5" zoomScale="90" zoomScaleNormal="90" zoomScaleSheetLayoutView="90" workbookViewId="0">
      <selection activeCell="A18" sqref="A18:B18"/>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4" t="str">
        <f>'1. паспорт местоположение'!A5:C5</f>
        <v>Год раскрытия информации: 2022 год</v>
      </c>
      <c r="B5" s="544"/>
      <c r="C5" s="68"/>
      <c r="D5" s="68"/>
      <c r="E5" s="68"/>
      <c r="F5" s="68"/>
      <c r="G5" s="68"/>
      <c r="H5" s="68"/>
    </row>
    <row r="6" spans="1:8" ht="18.75" x14ac:dyDescent="0.3">
      <c r="A6" s="101"/>
      <c r="B6" s="101"/>
      <c r="C6" s="101"/>
      <c r="D6" s="101"/>
      <c r="E6" s="101"/>
      <c r="F6" s="101"/>
      <c r="G6" s="101"/>
      <c r="H6" s="101"/>
    </row>
    <row r="7" spans="1:8" ht="18.75" x14ac:dyDescent="0.25">
      <c r="A7" s="424" t="s">
        <v>7</v>
      </c>
      <c r="B7" s="424"/>
      <c r="C7" s="138"/>
      <c r="D7" s="138"/>
      <c r="E7" s="138"/>
      <c r="F7" s="138"/>
      <c r="G7" s="138"/>
      <c r="H7" s="138"/>
    </row>
    <row r="8" spans="1:8" ht="18.75" x14ac:dyDescent="0.25">
      <c r="A8" s="138"/>
      <c r="B8" s="138"/>
      <c r="C8" s="138"/>
      <c r="D8" s="138"/>
      <c r="E8" s="138"/>
      <c r="F8" s="138"/>
      <c r="G8" s="138"/>
      <c r="H8" s="138"/>
    </row>
    <row r="9" spans="1:8" x14ac:dyDescent="0.25">
      <c r="A9" s="419" t="str">
        <f>'1. паспорт местоположение'!A9:C9</f>
        <v xml:space="preserve">Акционерное общество "Западная энергетическая компания" </v>
      </c>
      <c r="B9" s="419"/>
      <c r="C9" s="140"/>
      <c r="D9" s="140"/>
      <c r="E9" s="140"/>
      <c r="F9" s="140"/>
      <c r="G9" s="140"/>
      <c r="H9" s="140"/>
    </row>
    <row r="10" spans="1:8" x14ac:dyDescent="0.25">
      <c r="A10" s="420" t="s">
        <v>6</v>
      </c>
      <c r="B10" s="420"/>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9" t="str">
        <f>'1. паспорт местоположение'!A12:C12</f>
        <v>L_21-15</v>
      </c>
      <c r="B12" s="419"/>
      <c r="C12" s="140"/>
      <c r="D12" s="140"/>
      <c r="E12" s="140"/>
      <c r="F12" s="140"/>
      <c r="G12" s="140"/>
      <c r="H12" s="140"/>
    </row>
    <row r="13" spans="1:8" x14ac:dyDescent="0.25">
      <c r="A13" s="420" t="s">
        <v>5</v>
      </c>
      <c r="B13" s="420"/>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4" t="str">
        <f>'1. паспорт местоположение'!A15:C15</f>
        <v>Строительство сетей электроснабжения жд г. Пионерский (Нивелир)</v>
      </c>
      <c r="B15" s="454"/>
      <c r="C15" s="140"/>
      <c r="D15" s="140"/>
      <c r="E15" s="140"/>
      <c r="F15" s="140"/>
      <c r="G15" s="140"/>
      <c r="H15" s="140"/>
    </row>
    <row r="16" spans="1:8" x14ac:dyDescent="0.25">
      <c r="A16" s="420" t="s">
        <v>4</v>
      </c>
      <c r="B16" s="420"/>
      <c r="C16" s="141"/>
      <c r="D16" s="141"/>
      <c r="E16" s="141"/>
      <c r="F16" s="141"/>
      <c r="G16" s="141"/>
      <c r="H16" s="141"/>
    </row>
    <row r="17" spans="1:2" x14ac:dyDescent="0.25">
      <c r="B17" s="75"/>
    </row>
    <row r="18" spans="1:2" ht="33.75" customHeight="1" x14ac:dyDescent="0.25">
      <c r="A18" s="545" t="s">
        <v>407</v>
      </c>
      <c r="B18" s="546"/>
    </row>
    <row r="19" spans="1:2" x14ac:dyDescent="0.25">
      <c r="B19" s="32"/>
    </row>
    <row r="20" spans="1:2" ht="16.5" thickBot="1" x14ac:dyDescent="0.3">
      <c r="B20" s="76"/>
    </row>
    <row r="21" spans="1:2" ht="34.15" customHeight="1" thickBot="1" x14ac:dyDescent="0.3">
      <c r="A21" s="77" t="s">
        <v>304</v>
      </c>
      <c r="B21" s="384" t="str">
        <f>A15</f>
        <v>Строительство сетей электроснабжения жд г. Пионерский (Нивелир)</v>
      </c>
    </row>
    <row r="22" spans="1:2" ht="30" customHeight="1" thickBot="1" x14ac:dyDescent="0.3">
      <c r="A22" s="77" t="s">
        <v>305</v>
      </c>
      <c r="B22" s="78" t="str">
        <f>'1. паспорт местоположение'!C27</f>
        <v>г. Пионерский</v>
      </c>
    </row>
    <row r="23" spans="1:2" ht="16.5" thickBot="1" x14ac:dyDescent="0.3">
      <c r="A23" s="77" t="s">
        <v>289</v>
      </c>
      <c r="B23" s="79" t="s">
        <v>631</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44926</v>
      </c>
    </row>
    <row r="26" spans="1:2" ht="16.5" thickBot="1" x14ac:dyDescent="0.3">
      <c r="A26" s="81" t="s">
        <v>308</v>
      </c>
      <c r="B26" s="385" t="s">
        <v>632</v>
      </c>
    </row>
    <row r="27" spans="1:2" ht="29.25" thickBot="1" x14ac:dyDescent="0.3">
      <c r="A27" s="88" t="s">
        <v>612</v>
      </c>
      <c r="B27" s="386">
        <f>'6.2. Паспорт фин осв ввод'!D24</f>
        <v>2.5</v>
      </c>
    </row>
    <row r="28" spans="1:2" ht="42" customHeight="1" thickBot="1" x14ac:dyDescent="0.3">
      <c r="A28" s="83" t="s">
        <v>309</v>
      </c>
      <c r="B28" s="83" t="s">
        <v>633</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44864</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7" t="s">
        <v>542</v>
      </c>
    </row>
    <row r="138" spans="1:2" x14ac:dyDescent="0.25">
      <c r="A138" s="86" t="s">
        <v>346</v>
      </c>
      <c r="B138" s="548"/>
    </row>
    <row r="139" spans="1:2" x14ac:dyDescent="0.25">
      <c r="A139" s="86" t="s">
        <v>347</v>
      </c>
      <c r="B139" s="548"/>
    </row>
    <row r="140" spans="1:2" x14ac:dyDescent="0.25">
      <c r="A140" s="86" t="s">
        <v>348</v>
      </c>
      <c r="B140" s="548"/>
    </row>
    <row r="141" spans="1:2" x14ac:dyDescent="0.25">
      <c r="A141" s="86" t="s">
        <v>349</v>
      </c>
      <c r="B141" s="548"/>
    </row>
    <row r="142" spans="1:2" ht="16.5" thickBot="1" x14ac:dyDescent="0.3">
      <c r="A142" s="96" t="s">
        <v>350</v>
      </c>
      <c r="B142" s="549"/>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tabSelected="1" view="pageBreakPreview" topLeftCell="A19" zoomScale="70" zoomScaleSheetLayoutView="70" workbookViewId="0">
      <selection activeCell="G22" sqref="G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7" customFormat="1" ht="15.75" x14ac:dyDescent="0.2">
      <c r="A5" s="135"/>
    </row>
    <row r="6" spans="1:28" s="17" customFormat="1" ht="18.75" x14ac:dyDescent="0.2">
      <c r="A6" s="424" t="s">
        <v>7</v>
      </c>
      <c r="B6" s="424"/>
      <c r="C6" s="424"/>
      <c r="D6" s="424"/>
      <c r="E6" s="424"/>
      <c r="F6" s="424"/>
      <c r="G6" s="424"/>
      <c r="H6" s="424"/>
      <c r="I6" s="424"/>
      <c r="J6" s="424"/>
      <c r="K6" s="424"/>
      <c r="L6" s="424"/>
      <c r="M6" s="424"/>
      <c r="N6" s="424"/>
      <c r="O6" s="424"/>
      <c r="P6" s="424"/>
      <c r="Q6" s="424"/>
      <c r="R6" s="424"/>
      <c r="S6" s="424"/>
      <c r="T6" s="138"/>
      <c r="U6" s="138"/>
      <c r="V6" s="138"/>
      <c r="W6" s="138"/>
      <c r="X6" s="138"/>
      <c r="Y6" s="138"/>
      <c r="Z6" s="138"/>
      <c r="AA6" s="138"/>
      <c r="AB6" s="138"/>
    </row>
    <row r="7" spans="1:28" s="17" customFormat="1" ht="18.75" x14ac:dyDescent="0.2">
      <c r="A7" s="424"/>
      <c r="B7" s="424"/>
      <c r="C7" s="424"/>
      <c r="D7" s="424"/>
      <c r="E7" s="424"/>
      <c r="F7" s="424"/>
      <c r="G7" s="424"/>
      <c r="H7" s="424"/>
      <c r="I7" s="424"/>
      <c r="J7" s="424"/>
      <c r="K7" s="424"/>
      <c r="L7" s="424"/>
      <c r="M7" s="424"/>
      <c r="N7" s="424"/>
      <c r="O7" s="424"/>
      <c r="P7" s="424"/>
      <c r="Q7" s="424"/>
      <c r="R7" s="424"/>
      <c r="S7" s="424"/>
      <c r="T7" s="138"/>
      <c r="U7" s="138"/>
      <c r="V7" s="138"/>
      <c r="W7" s="138"/>
      <c r="X7" s="138"/>
      <c r="Y7" s="138"/>
      <c r="Z7" s="138"/>
      <c r="AA7" s="138"/>
      <c r="AB7" s="138"/>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38"/>
      <c r="U8" s="138"/>
      <c r="V8" s="138"/>
      <c r="W8" s="138"/>
      <c r="X8" s="138"/>
      <c r="Y8" s="138"/>
      <c r="Z8" s="138"/>
      <c r="AA8" s="138"/>
      <c r="AB8" s="138"/>
    </row>
    <row r="9" spans="1:28" s="17" customFormat="1" ht="18.75" x14ac:dyDescent="0.2">
      <c r="A9" s="420" t="s">
        <v>6</v>
      </c>
      <c r="B9" s="420"/>
      <c r="C9" s="420"/>
      <c r="D9" s="420"/>
      <c r="E9" s="420"/>
      <c r="F9" s="420"/>
      <c r="G9" s="420"/>
      <c r="H9" s="420"/>
      <c r="I9" s="420"/>
      <c r="J9" s="420"/>
      <c r="K9" s="420"/>
      <c r="L9" s="420"/>
      <c r="M9" s="420"/>
      <c r="N9" s="420"/>
      <c r="O9" s="420"/>
      <c r="P9" s="420"/>
      <c r="Q9" s="420"/>
      <c r="R9" s="420"/>
      <c r="S9" s="420"/>
      <c r="T9" s="138"/>
      <c r="U9" s="138"/>
      <c r="V9" s="138"/>
      <c r="W9" s="138"/>
      <c r="X9" s="138"/>
      <c r="Y9" s="138"/>
      <c r="Z9" s="138"/>
      <c r="AA9" s="138"/>
      <c r="AB9" s="138"/>
    </row>
    <row r="10" spans="1:28" s="17" customFormat="1" ht="18.75" x14ac:dyDescent="0.2">
      <c r="A10" s="424"/>
      <c r="B10" s="424"/>
      <c r="C10" s="424"/>
      <c r="D10" s="424"/>
      <c r="E10" s="424"/>
      <c r="F10" s="424"/>
      <c r="G10" s="424"/>
      <c r="H10" s="424"/>
      <c r="I10" s="424"/>
      <c r="J10" s="424"/>
      <c r="K10" s="424"/>
      <c r="L10" s="424"/>
      <c r="M10" s="424"/>
      <c r="N10" s="424"/>
      <c r="O10" s="424"/>
      <c r="P10" s="424"/>
      <c r="Q10" s="424"/>
      <c r="R10" s="424"/>
      <c r="S10" s="424"/>
      <c r="T10" s="138"/>
      <c r="U10" s="138"/>
      <c r="V10" s="138"/>
      <c r="W10" s="138"/>
      <c r="X10" s="138"/>
      <c r="Y10" s="138"/>
      <c r="Z10" s="138"/>
      <c r="AA10" s="138"/>
      <c r="AB10" s="138"/>
    </row>
    <row r="11" spans="1:28" s="17" customFormat="1" ht="18.75" x14ac:dyDescent="0.2">
      <c r="A11" s="425" t="str">
        <f>'1. паспорт местоположение'!A12:C12</f>
        <v>L_21-15</v>
      </c>
      <c r="B11" s="425"/>
      <c r="C11" s="425"/>
      <c r="D11" s="425"/>
      <c r="E11" s="425"/>
      <c r="F11" s="425"/>
      <c r="G11" s="425"/>
      <c r="H11" s="425"/>
      <c r="I11" s="425"/>
      <c r="J11" s="425"/>
      <c r="K11" s="425"/>
      <c r="L11" s="425"/>
      <c r="M11" s="425"/>
      <c r="N11" s="425"/>
      <c r="O11" s="425"/>
      <c r="P11" s="425"/>
      <c r="Q11" s="425"/>
      <c r="R11" s="425"/>
      <c r="S11" s="425"/>
      <c r="T11" s="138"/>
      <c r="U11" s="138"/>
      <c r="V11" s="138"/>
      <c r="W11" s="138"/>
      <c r="X11" s="138"/>
      <c r="Y11" s="138"/>
      <c r="Z11" s="138"/>
      <c r="AA11" s="138"/>
      <c r="AB11" s="138"/>
    </row>
    <row r="12" spans="1:28" s="17"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38"/>
      <c r="U12" s="138"/>
      <c r="V12" s="138"/>
      <c r="W12" s="138"/>
      <c r="X12" s="138"/>
      <c r="Y12" s="138"/>
      <c r="Z12" s="138"/>
      <c r="AA12" s="138"/>
      <c r="AB12" s="138"/>
    </row>
    <row r="13" spans="1:28" s="136"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39"/>
      <c r="U13" s="139"/>
      <c r="V13" s="139"/>
      <c r="W13" s="139"/>
      <c r="X13" s="139"/>
      <c r="Y13" s="139"/>
      <c r="Z13" s="139"/>
      <c r="AA13" s="139"/>
      <c r="AB13" s="139"/>
    </row>
    <row r="14" spans="1:28" s="137" customFormat="1" ht="15.75" x14ac:dyDescent="0.2">
      <c r="A14" s="419" t="str">
        <f>'1. паспорт местоположение'!A15:C15</f>
        <v>Строительство сетей электроснабжения жд г. Пионерский (Нивелир)</v>
      </c>
      <c r="B14" s="419"/>
      <c r="C14" s="419"/>
      <c r="D14" s="419"/>
      <c r="E14" s="419"/>
      <c r="F14" s="419"/>
      <c r="G14" s="419"/>
      <c r="H14" s="419"/>
      <c r="I14" s="419"/>
      <c r="J14" s="419"/>
      <c r="K14" s="419"/>
      <c r="L14" s="419"/>
      <c r="M14" s="419"/>
      <c r="N14" s="419"/>
      <c r="O14" s="419"/>
      <c r="P14" s="419"/>
      <c r="Q14" s="419"/>
      <c r="R14" s="419"/>
      <c r="S14" s="419"/>
      <c r="T14" s="140"/>
      <c r="U14" s="140"/>
      <c r="V14" s="140"/>
      <c r="W14" s="140"/>
      <c r="X14" s="140"/>
      <c r="Y14" s="140"/>
      <c r="Z14" s="140"/>
      <c r="AA14" s="140"/>
      <c r="AB14" s="140"/>
    </row>
    <row r="15" spans="1:28" s="137"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141"/>
      <c r="U15" s="141"/>
      <c r="V15" s="141"/>
      <c r="W15" s="141"/>
      <c r="X15" s="141"/>
      <c r="Y15" s="141"/>
      <c r="Z15" s="141"/>
      <c r="AA15" s="141"/>
      <c r="AB15" s="141"/>
    </row>
    <row r="16" spans="1:28" s="137"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142"/>
      <c r="U16" s="142"/>
      <c r="V16" s="142"/>
      <c r="W16" s="142"/>
      <c r="X16" s="142"/>
      <c r="Y16" s="142"/>
    </row>
    <row r="17" spans="1:28" s="137" customFormat="1" ht="45.75" customHeight="1" x14ac:dyDescent="0.2">
      <c r="A17" s="422" t="s">
        <v>382</v>
      </c>
      <c r="B17" s="422"/>
      <c r="C17" s="422"/>
      <c r="D17" s="422"/>
      <c r="E17" s="422"/>
      <c r="F17" s="422"/>
      <c r="G17" s="422"/>
      <c r="H17" s="422"/>
      <c r="I17" s="422"/>
      <c r="J17" s="422"/>
      <c r="K17" s="422"/>
      <c r="L17" s="422"/>
      <c r="M17" s="422"/>
      <c r="N17" s="422"/>
      <c r="O17" s="422"/>
      <c r="P17" s="422"/>
      <c r="Q17" s="422"/>
      <c r="R17" s="422"/>
      <c r="S17" s="422"/>
      <c r="T17" s="143"/>
      <c r="U17" s="143"/>
      <c r="V17" s="143"/>
      <c r="W17" s="143"/>
      <c r="X17" s="143"/>
      <c r="Y17" s="143"/>
      <c r="Z17" s="143"/>
      <c r="AA17" s="143"/>
      <c r="AB17" s="143"/>
    </row>
    <row r="18" spans="1:28" s="137"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142"/>
      <c r="U18" s="142"/>
      <c r="V18" s="142"/>
      <c r="W18" s="142"/>
      <c r="X18" s="142"/>
      <c r="Y18" s="142"/>
    </row>
    <row r="19" spans="1:28" s="137" customFormat="1" ht="54" customHeight="1" x14ac:dyDescent="0.2">
      <c r="A19" s="427" t="s">
        <v>3</v>
      </c>
      <c r="B19" s="427" t="s">
        <v>94</v>
      </c>
      <c r="C19" s="428" t="s">
        <v>303</v>
      </c>
      <c r="D19" s="427" t="s">
        <v>302</v>
      </c>
      <c r="E19" s="427" t="s">
        <v>93</v>
      </c>
      <c r="F19" s="427" t="s">
        <v>92</v>
      </c>
      <c r="G19" s="427" t="s">
        <v>298</v>
      </c>
      <c r="H19" s="427" t="s">
        <v>91</v>
      </c>
      <c r="I19" s="427" t="s">
        <v>90</v>
      </c>
      <c r="J19" s="427" t="s">
        <v>89</v>
      </c>
      <c r="K19" s="427" t="s">
        <v>88</v>
      </c>
      <c r="L19" s="427" t="s">
        <v>87</v>
      </c>
      <c r="M19" s="427" t="s">
        <v>86</v>
      </c>
      <c r="N19" s="427" t="s">
        <v>85</v>
      </c>
      <c r="O19" s="427" t="s">
        <v>84</v>
      </c>
      <c r="P19" s="427" t="s">
        <v>83</v>
      </c>
      <c r="Q19" s="427" t="s">
        <v>301</v>
      </c>
      <c r="R19" s="427"/>
      <c r="S19" s="430" t="s">
        <v>376</v>
      </c>
      <c r="T19" s="142"/>
      <c r="U19" s="142"/>
      <c r="V19" s="142"/>
      <c r="W19" s="142"/>
      <c r="X19" s="142"/>
      <c r="Y19" s="142"/>
    </row>
    <row r="20" spans="1:28" s="137" customFormat="1" ht="180.75" customHeight="1" x14ac:dyDescent="0.2">
      <c r="A20" s="427"/>
      <c r="B20" s="427"/>
      <c r="C20" s="429"/>
      <c r="D20" s="427"/>
      <c r="E20" s="427"/>
      <c r="F20" s="427"/>
      <c r="G20" s="427"/>
      <c r="H20" s="427"/>
      <c r="I20" s="427"/>
      <c r="J20" s="427"/>
      <c r="K20" s="427"/>
      <c r="L20" s="427"/>
      <c r="M20" s="427"/>
      <c r="N20" s="427"/>
      <c r="O20" s="427"/>
      <c r="P20" s="427"/>
      <c r="Q20" s="144" t="s">
        <v>299</v>
      </c>
      <c r="R20" s="145" t="s">
        <v>300</v>
      </c>
      <c r="S20" s="430"/>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639</v>
      </c>
      <c r="C22" s="230" t="s">
        <v>628</v>
      </c>
      <c r="D22" s="230" t="s">
        <v>622</v>
      </c>
      <c r="E22" s="230" t="s">
        <v>629</v>
      </c>
      <c r="F22" s="230" t="s">
        <v>537</v>
      </c>
      <c r="G22" s="230" t="s">
        <v>640</v>
      </c>
      <c r="H22" s="409">
        <v>0.63</v>
      </c>
      <c r="I22" s="230">
        <v>0</v>
      </c>
      <c r="J22" s="409">
        <f>H22</f>
        <v>0.63</v>
      </c>
      <c r="K22" s="230" t="s">
        <v>623</v>
      </c>
      <c r="L22" s="230">
        <v>2</v>
      </c>
      <c r="M22" s="230"/>
      <c r="N22" s="230"/>
      <c r="O22" s="230" t="s">
        <v>537</v>
      </c>
      <c r="P22" s="230" t="s">
        <v>537</v>
      </c>
      <c r="Q22" s="378" t="s">
        <v>641</v>
      </c>
      <c r="R22" s="231" t="s">
        <v>537</v>
      </c>
      <c r="S22" s="407">
        <v>6.000057</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topLeftCell="A17" zoomScale="80" zoomScaleNormal="60" zoomScaleSheetLayoutView="80" workbookViewId="0">
      <selection activeCell="K36" sqref="K36"/>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7" customFormat="1" x14ac:dyDescent="0.2">
      <c r="A7" s="135"/>
      <c r="H7" s="134"/>
    </row>
    <row r="8" spans="1:20" s="17"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7"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7"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7" customFormat="1" ht="18.75" customHeight="1" x14ac:dyDescent="0.2">
      <c r="A13" s="425" t="str">
        <f>'1. паспорт местоположение'!A12:C12</f>
        <v>L_21-15</v>
      </c>
      <c r="B13" s="425"/>
      <c r="C13" s="425"/>
      <c r="D13" s="425"/>
      <c r="E13" s="425"/>
      <c r="F13" s="425"/>
      <c r="G13" s="425"/>
      <c r="H13" s="425"/>
      <c r="I13" s="425"/>
      <c r="J13" s="425"/>
      <c r="K13" s="425"/>
      <c r="L13" s="425"/>
      <c r="M13" s="425"/>
      <c r="N13" s="425"/>
      <c r="O13" s="425"/>
      <c r="P13" s="425"/>
      <c r="Q13" s="425"/>
      <c r="R13" s="425"/>
      <c r="S13" s="425"/>
      <c r="T13" s="425"/>
    </row>
    <row r="14" spans="1:20" s="17"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136"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137" customFormat="1" x14ac:dyDescent="0.2">
      <c r="A16" s="419" t="str">
        <f>'1. паспорт местоположение'!A15:C15</f>
        <v>Строительство сетей электроснабжения жд г. Пионерский (Нивелир)</v>
      </c>
      <c r="B16" s="419"/>
      <c r="C16" s="419"/>
      <c r="D16" s="419"/>
      <c r="E16" s="419"/>
      <c r="F16" s="419"/>
      <c r="G16" s="419"/>
      <c r="H16" s="419"/>
      <c r="I16" s="419"/>
      <c r="J16" s="419"/>
      <c r="K16" s="419"/>
      <c r="L16" s="419"/>
      <c r="M16" s="419"/>
      <c r="N16" s="419"/>
      <c r="O16" s="419"/>
      <c r="P16" s="419"/>
      <c r="Q16" s="419"/>
      <c r="R16" s="419"/>
      <c r="S16" s="419"/>
      <c r="T16" s="419"/>
    </row>
    <row r="17" spans="1:20" s="137"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20" s="137"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137" customFormat="1" ht="15" customHeight="1" x14ac:dyDescent="0.2">
      <c r="A19" s="434" t="s">
        <v>387</v>
      </c>
      <c r="B19" s="434"/>
      <c r="C19" s="434"/>
      <c r="D19" s="434"/>
      <c r="E19" s="434"/>
      <c r="F19" s="434"/>
      <c r="G19" s="434"/>
      <c r="H19" s="434"/>
      <c r="I19" s="434"/>
      <c r="J19" s="434"/>
      <c r="K19" s="434"/>
      <c r="L19" s="434"/>
      <c r="M19" s="434"/>
      <c r="N19" s="434"/>
      <c r="O19" s="434"/>
      <c r="P19" s="434"/>
      <c r="Q19" s="434"/>
      <c r="R19" s="434"/>
      <c r="S19" s="434"/>
      <c r="T19" s="434"/>
    </row>
    <row r="20" spans="1:20" s="41"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20" ht="46.5" customHeight="1" x14ac:dyDescent="0.25">
      <c r="A21" s="436" t="s">
        <v>3</v>
      </c>
      <c r="B21" s="439" t="s">
        <v>200</v>
      </c>
      <c r="C21" s="440"/>
      <c r="D21" s="443" t="s">
        <v>116</v>
      </c>
      <c r="E21" s="439" t="s">
        <v>415</v>
      </c>
      <c r="F21" s="440"/>
      <c r="G21" s="439" t="s">
        <v>239</v>
      </c>
      <c r="H21" s="440"/>
      <c r="I21" s="439" t="s">
        <v>115</v>
      </c>
      <c r="J21" s="440"/>
      <c r="K21" s="443" t="s">
        <v>114</v>
      </c>
      <c r="L21" s="439" t="s">
        <v>113</v>
      </c>
      <c r="M21" s="440"/>
      <c r="N21" s="439" t="s">
        <v>441</v>
      </c>
      <c r="O21" s="440"/>
      <c r="P21" s="443" t="s">
        <v>112</v>
      </c>
      <c r="Q21" s="431" t="s">
        <v>111</v>
      </c>
      <c r="R21" s="432"/>
      <c r="S21" s="431" t="s">
        <v>110</v>
      </c>
      <c r="T21" s="433"/>
    </row>
    <row r="22" spans="1:20" ht="204.75" customHeight="1" x14ac:dyDescent="0.25">
      <c r="A22" s="437"/>
      <c r="B22" s="441"/>
      <c r="C22" s="442"/>
      <c r="D22" s="446"/>
      <c r="E22" s="441"/>
      <c r="F22" s="442"/>
      <c r="G22" s="441"/>
      <c r="H22" s="442"/>
      <c r="I22" s="441"/>
      <c r="J22" s="442"/>
      <c r="K22" s="444"/>
      <c r="L22" s="441"/>
      <c r="M22" s="442"/>
      <c r="N22" s="441"/>
      <c r="O22" s="442"/>
      <c r="P22" s="444"/>
      <c r="Q22" s="72" t="s">
        <v>109</v>
      </c>
      <c r="R22" s="72" t="s">
        <v>386</v>
      </c>
      <c r="S22" s="72" t="s">
        <v>108</v>
      </c>
      <c r="T22" s="72" t="s">
        <v>107</v>
      </c>
    </row>
    <row r="23" spans="1:20" ht="51.75" customHeight="1" x14ac:dyDescent="0.25">
      <c r="A23" s="438"/>
      <c r="B23" s="104" t="s">
        <v>105</v>
      </c>
      <c r="C23" s="104" t="s">
        <v>106</v>
      </c>
      <c r="D23" s="444"/>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ht="47.25" x14ac:dyDescent="0.2">
      <c r="A25" s="380" t="s">
        <v>626</v>
      </c>
      <c r="B25" s="380"/>
      <c r="C25" s="380" t="s">
        <v>642</v>
      </c>
      <c r="D25" s="380" t="s">
        <v>611</v>
      </c>
      <c r="E25" s="382"/>
      <c r="F25" s="382" t="s">
        <v>643</v>
      </c>
      <c r="G25" s="382"/>
      <c r="H25" s="382" t="s">
        <v>644</v>
      </c>
      <c r="I25" s="382"/>
      <c r="J25" s="382" t="s">
        <v>614</v>
      </c>
      <c r="K25" s="382" t="s">
        <v>614</v>
      </c>
      <c r="L25" s="382"/>
      <c r="M25" s="381" t="s">
        <v>645</v>
      </c>
      <c r="N25" s="382"/>
      <c r="O25" s="382"/>
      <c r="P25" s="382"/>
      <c r="Q25" s="382"/>
      <c r="R25" s="382"/>
      <c r="S25" s="382"/>
      <c r="T25" s="382"/>
    </row>
    <row r="26" spans="1:20" s="40" customFormat="1" ht="47.25" x14ac:dyDescent="0.2">
      <c r="A26" s="380"/>
      <c r="B26" s="380"/>
      <c r="C26" s="380"/>
      <c r="D26" s="380" t="s">
        <v>646</v>
      </c>
      <c r="E26" s="382"/>
      <c r="F26" s="382" t="s">
        <v>647</v>
      </c>
      <c r="G26" s="382"/>
      <c r="H26" s="382" t="s">
        <v>648</v>
      </c>
      <c r="I26" s="382"/>
      <c r="J26" s="382">
        <v>2021</v>
      </c>
      <c r="K26" s="382">
        <v>2021</v>
      </c>
      <c r="L26" s="382"/>
      <c r="M26" s="381" t="s">
        <v>649</v>
      </c>
      <c r="N26" s="382"/>
      <c r="O26" s="382"/>
      <c r="P26" s="382"/>
      <c r="Q26" s="382"/>
      <c r="R26" s="382"/>
      <c r="S26" s="382"/>
      <c r="T26" s="382"/>
    </row>
    <row r="27" spans="1:20" s="40" customFormat="1" x14ac:dyDescent="0.2">
      <c r="A27" s="380"/>
      <c r="B27" s="380"/>
      <c r="C27" s="380"/>
      <c r="D27" s="380" t="s">
        <v>650</v>
      </c>
      <c r="E27" s="382"/>
      <c r="F27" s="382" t="s">
        <v>653</v>
      </c>
      <c r="G27" s="382"/>
      <c r="H27" s="382" t="s">
        <v>651</v>
      </c>
      <c r="I27" s="382"/>
      <c r="J27" s="382">
        <v>2021</v>
      </c>
      <c r="K27" s="382">
        <v>2021</v>
      </c>
      <c r="L27" s="382"/>
      <c r="M27" s="381" t="s">
        <v>368</v>
      </c>
      <c r="N27" s="382"/>
      <c r="O27" s="382">
        <v>0.63</v>
      </c>
      <c r="P27" s="382"/>
      <c r="Q27" s="382"/>
      <c r="R27" s="382"/>
      <c r="S27" s="382"/>
      <c r="T27" s="382"/>
    </row>
    <row r="28" spans="1:20" s="40" customFormat="1" x14ac:dyDescent="0.2">
      <c r="A28" s="380"/>
      <c r="B28" s="380"/>
      <c r="C28" s="380"/>
      <c r="D28" s="380" t="s">
        <v>650</v>
      </c>
      <c r="E28" s="382"/>
      <c r="F28" s="382" t="s">
        <v>653</v>
      </c>
      <c r="G28" s="382"/>
      <c r="H28" s="382" t="s">
        <v>652</v>
      </c>
      <c r="I28" s="382"/>
      <c r="J28" s="382">
        <v>2021</v>
      </c>
      <c r="K28" s="382">
        <v>2021</v>
      </c>
      <c r="L28" s="382"/>
      <c r="M28" s="381" t="s">
        <v>368</v>
      </c>
      <c r="N28" s="382"/>
      <c r="O28" s="382">
        <v>0.63</v>
      </c>
      <c r="P28" s="382"/>
      <c r="Q28" s="382"/>
      <c r="R28" s="382"/>
      <c r="S28" s="382"/>
      <c r="T28" s="382"/>
    </row>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x14ac:dyDescent="0.25">
      <c r="B43" s="38" t="s">
        <v>104</v>
      </c>
      <c r="C43" s="38"/>
      <c r="D43" s="38"/>
      <c r="E43" s="38"/>
      <c r="F43" s="38"/>
      <c r="G43" s="38"/>
      <c r="H43" s="38"/>
      <c r="I43" s="38"/>
      <c r="J43" s="38"/>
      <c r="K43" s="38"/>
      <c r="L43" s="38"/>
      <c r="M43" s="38"/>
      <c r="N43" s="38"/>
      <c r="O43" s="38"/>
      <c r="P43" s="38"/>
      <c r="Q43" s="38"/>
      <c r="R43" s="38"/>
    </row>
    <row r="44" spans="2:113" x14ac:dyDescent="0.25">
      <c r="B44" s="445" t="s">
        <v>421</v>
      </c>
      <c r="C44" s="445"/>
      <c r="D44" s="445"/>
      <c r="E44" s="445"/>
      <c r="F44" s="445"/>
      <c r="G44" s="445"/>
      <c r="H44" s="445"/>
      <c r="I44" s="445"/>
      <c r="J44" s="445"/>
      <c r="K44" s="445"/>
      <c r="L44" s="445"/>
      <c r="M44" s="445"/>
      <c r="N44" s="445"/>
      <c r="O44" s="445"/>
      <c r="P44" s="445"/>
      <c r="Q44" s="445"/>
      <c r="R44" s="445"/>
    </row>
    <row r="45" spans="2:113" x14ac:dyDescent="0.25">
      <c r="B45" s="38"/>
      <c r="C45" s="38"/>
      <c r="D45" s="38"/>
      <c r="E45" s="38"/>
      <c r="F45" s="38" t="s">
        <v>611</v>
      </c>
      <c r="G45" s="38"/>
      <c r="H45" s="38"/>
      <c r="I45" s="38"/>
      <c r="J45" s="38"/>
      <c r="K45" s="38"/>
      <c r="L45" s="38"/>
      <c r="M45" s="38"/>
      <c r="N45" s="38"/>
      <c r="O45" s="38"/>
      <c r="P45" s="38"/>
      <c r="Q45" s="38"/>
      <c r="R45" s="38"/>
      <c r="S45" s="38"/>
      <c r="T45" s="38"/>
      <c r="U45" s="38"/>
      <c r="V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2:113" x14ac:dyDescent="0.25">
      <c r="B46" s="37" t="s">
        <v>385</v>
      </c>
      <c r="C46" s="37"/>
      <c r="D46" s="37"/>
      <c r="E46" s="37"/>
      <c r="F46" s="35"/>
      <c r="G46" s="35"/>
      <c r="H46" s="37"/>
      <c r="I46" s="37"/>
      <c r="J46" s="37"/>
      <c r="K46" s="37"/>
      <c r="L46" s="37"/>
      <c r="M46" s="37"/>
      <c r="N46" s="37"/>
      <c r="O46" s="37"/>
      <c r="P46" s="37"/>
      <c r="Q46" s="37"/>
      <c r="R46" s="37"/>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row>
    <row r="47" spans="2:113" x14ac:dyDescent="0.25">
      <c r="B47" s="37" t="s">
        <v>103</v>
      </c>
      <c r="C47" s="37"/>
      <c r="D47" s="37"/>
      <c r="E47" s="37"/>
      <c r="F47" s="35"/>
      <c r="G47" s="35"/>
      <c r="H47" s="37"/>
      <c r="I47" s="37"/>
      <c r="J47" s="37"/>
      <c r="K47" s="37"/>
      <c r="L47" s="37"/>
      <c r="M47" s="37"/>
      <c r="N47" s="37"/>
      <c r="O47" s="37"/>
      <c r="P47" s="37"/>
      <c r="Q47" s="37"/>
      <c r="R47" s="37"/>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2:113" s="35" customFormat="1" x14ac:dyDescent="0.25">
      <c r="B48" s="37" t="s">
        <v>102</v>
      </c>
      <c r="C48" s="37"/>
      <c r="D48" s="37"/>
      <c r="E48" s="37"/>
      <c r="H48" s="37"/>
      <c r="I48" s="37"/>
      <c r="J48" s="37"/>
      <c r="K48" s="37"/>
      <c r="L48" s="37"/>
      <c r="M48" s="37"/>
      <c r="N48" s="37"/>
      <c r="O48" s="37"/>
      <c r="P48" s="37"/>
      <c r="Q48" s="37"/>
      <c r="R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s="35" customFormat="1" x14ac:dyDescent="0.25">
      <c r="B49" s="37" t="s">
        <v>101</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100</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99</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98</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97</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96</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95</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sheetData>
  <mergeCells count="27">
    <mergeCell ref="B44:R4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6" zoomScale="80" zoomScaleSheetLayoutView="80" workbookViewId="0">
      <selection activeCell="X26" sqref="X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9" t="str">
        <f>'1. паспорт местоположение'!A12</f>
        <v>L_21-15</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9" t="str">
        <f>'1. паспорт местоположение'!A15</f>
        <v>Строительство сетей электроснабжения жд г. Пионерский (Нивелир)</v>
      </c>
      <c r="F15" s="419"/>
      <c r="G15" s="419"/>
      <c r="H15" s="419"/>
      <c r="I15" s="419"/>
      <c r="J15" s="419"/>
      <c r="K15" s="419"/>
      <c r="L15" s="419"/>
      <c r="M15" s="419"/>
      <c r="N15" s="419"/>
      <c r="O15" s="419"/>
      <c r="P15" s="419"/>
      <c r="Q15" s="419"/>
      <c r="R15" s="419"/>
      <c r="S15" s="419"/>
      <c r="T15" s="419"/>
      <c r="U15" s="419"/>
      <c r="V15" s="419"/>
      <c r="W15" s="419"/>
      <c r="X15" s="419"/>
      <c r="Y15" s="419"/>
    </row>
    <row r="16" spans="1:27" s="137"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389</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41" customFormat="1" ht="21" customHeight="1" x14ac:dyDescent="0.25"/>
    <row r="21" spans="1:27" ht="15.75" customHeight="1" x14ac:dyDescent="0.25">
      <c r="A21" s="447" t="s">
        <v>3</v>
      </c>
      <c r="B21" s="449" t="s">
        <v>396</v>
      </c>
      <c r="C21" s="450"/>
      <c r="D21" s="449" t="s">
        <v>398</v>
      </c>
      <c r="E21" s="450"/>
      <c r="F21" s="431" t="s">
        <v>88</v>
      </c>
      <c r="G21" s="433"/>
      <c r="H21" s="433"/>
      <c r="I21" s="432"/>
      <c r="J21" s="447" t="s">
        <v>399</v>
      </c>
      <c r="K21" s="449" t="s">
        <v>400</v>
      </c>
      <c r="L21" s="450"/>
      <c r="M21" s="449" t="s">
        <v>401</v>
      </c>
      <c r="N21" s="450"/>
      <c r="O21" s="449" t="s">
        <v>388</v>
      </c>
      <c r="P21" s="450"/>
      <c r="Q21" s="449" t="s">
        <v>121</v>
      </c>
      <c r="R21" s="450"/>
      <c r="S21" s="447" t="s">
        <v>120</v>
      </c>
      <c r="T21" s="447" t="s">
        <v>402</v>
      </c>
      <c r="U21" s="447" t="s">
        <v>397</v>
      </c>
      <c r="V21" s="449" t="s">
        <v>119</v>
      </c>
      <c r="W21" s="450"/>
      <c r="X21" s="431" t="s">
        <v>111</v>
      </c>
      <c r="Y21" s="433"/>
      <c r="Z21" s="431" t="s">
        <v>110</v>
      </c>
      <c r="AA21" s="433"/>
    </row>
    <row r="22" spans="1:27" ht="216" customHeight="1" x14ac:dyDescent="0.25">
      <c r="A22" s="453"/>
      <c r="B22" s="451"/>
      <c r="C22" s="452"/>
      <c r="D22" s="451"/>
      <c r="E22" s="452"/>
      <c r="F22" s="431" t="s">
        <v>118</v>
      </c>
      <c r="G22" s="432"/>
      <c r="H22" s="431" t="s">
        <v>117</v>
      </c>
      <c r="I22" s="432"/>
      <c r="J22" s="448"/>
      <c r="K22" s="451"/>
      <c r="L22" s="452"/>
      <c r="M22" s="451"/>
      <c r="N22" s="452"/>
      <c r="O22" s="451"/>
      <c r="P22" s="452"/>
      <c r="Q22" s="451"/>
      <c r="R22" s="452"/>
      <c r="S22" s="448"/>
      <c r="T22" s="448"/>
      <c r="U22" s="448"/>
      <c r="V22" s="451"/>
      <c r="W22" s="452"/>
      <c r="X22" s="72" t="s">
        <v>109</v>
      </c>
      <c r="Y22" s="72" t="s">
        <v>386</v>
      </c>
      <c r="Z22" s="72" t="s">
        <v>108</v>
      </c>
      <c r="AA22" s="72" t="s">
        <v>107</v>
      </c>
    </row>
    <row r="23" spans="1:27" ht="60" customHeight="1" x14ac:dyDescent="0.25">
      <c r="A23" s="448"/>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c r="K25" s="114" t="s">
        <v>537</v>
      </c>
      <c r="L25" s="114" t="s">
        <v>537</v>
      </c>
      <c r="M25" s="114" t="s">
        <v>537</v>
      </c>
      <c r="N25" s="114" t="s">
        <v>634</v>
      </c>
      <c r="O25" s="114" t="s">
        <v>537</v>
      </c>
      <c r="P25" s="114" t="s">
        <v>585</v>
      </c>
      <c r="Q25" s="114" t="s">
        <v>537</v>
      </c>
      <c r="R25" s="114">
        <v>0.14000000000000001</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627</v>
      </c>
      <c r="D26" s="114"/>
      <c r="E26" s="114" t="s">
        <v>537</v>
      </c>
      <c r="F26" s="114" t="s">
        <v>537</v>
      </c>
      <c r="G26" s="114">
        <v>15</v>
      </c>
      <c r="H26" s="114" t="s">
        <v>537</v>
      </c>
      <c r="I26" s="114">
        <v>15</v>
      </c>
      <c r="J26" s="114"/>
      <c r="K26" s="114" t="s">
        <v>537</v>
      </c>
      <c r="L26" s="114" t="s">
        <v>537</v>
      </c>
      <c r="M26" s="114" t="s">
        <v>537</v>
      </c>
      <c r="N26" s="114" t="s">
        <v>634</v>
      </c>
      <c r="O26" s="114" t="s">
        <v>537</v>
      </c>
      <c r="P26" s="114" t="s">
        <v>585</v>
      </c>
      <c r="Q26" s="114" t="s">
        <v>537</v>
      </c>
      <c r="R26" s="114">
        <v>0.14000000000000001</v>
      </c>
      <c r="S26" s="114"/>
      <c r="T26" s="114"/>
      <c r="U26" s="114"/>
      <c r="V26" s="114"/>
      <c r="W26" s="114"/>
      <c r="X26" s="114"/>
      <c r="Y26" s="114"/>
      <c r="Z26" s="114"/>
      <c r="AA26" s="114"/>
    </row>
    <row r="27" spans="1:27" ht="30" customHeight="1" x14ac:dyDescent="0.25">
      <c r="A27" s="114"/>
      <c r="B27" s="114"/>
      <c r="C27" s="114" t="s">
        <v>654</v>
      </c>
      <c r="D27" s="114"/>
      <c r="E27" s="114" t="s">
        <v>537</v>
      </c>
      <c r="F27" s="114" t="s">
        <v>537</v>
      </c>
      <c r="G27" s="114">
        <v>15</v>
      </c>
      <c r="H27" s="114" t="s">
        <v>537</v>
      </c>
      <c r="I27" s="114">
        <v>15</v>
      </c>
      <c r="J27" s="114"/>
      <c r="K27" s="114" t="s">
        <v>537</v>
      </c>
      <c r="L27" s="114" t="s">
        <v>537</v>
      </c>
      <c r="M27" s="114" t="s">
        <v>537</v>
      </c>
      <c r="N27" s="114" t="s">
        <v>634</v>
      </c>
      <c r="O27" s="114" t="s">
        <v>537</v>
      </c>
      <c r="P27" s="114" t="s">
        <v>585</v>
      </c>
      <c r="Q27" s="114" t="s">
        <v>537</v>
      </c>
      <c r="R27" s="114">
        <v>0.14000000000000001</v>
      </c>
      <c r="S27" s="114"/>
      <c r="T27" s="114"/>
      <c r="U27" s="114"/>
      <c r="V27" s="114"/>
      <c r="W27" s="114"/>
      <c r="X27" s="114"/>
      <c r="Y27" s="114"/>
      <c r="Z27" s="114"/>
      <c r="AA27" s="114"/>
    </row>
    <row r="28" spans="1:27" s="40" customFormat="1" x14ac:dyDescent="0.2">
      <c r="A28" s="114"/>
      <c r="B28" s="114"/>
      <c r="C28" s="114" t="s">
        <v>655</v>
      </c>
      <c r="D28" s="114"/>
      <c r="E28" s="114" t="s">
        <v>537</v>
      </c>
      <c r="F28" s="114" t="s">
        <v>537</v>
      </c>
      <c r="G28" s="114">
        <v>15</v>
      </c>
      <c r="H28" s="114" t="s">
        <v>537</v>
      </c>
      <c r="I28" s="114">
        <v>15</v>
      </c>
      <c r="J28" s="114"/>
      <c r="K28" s="114" t="s">
        <v>537</v>
      </c>
      <c r="L28" s="114" t="s">
        <v>537</v>
      </c>
      <c r="M28" s="114" t="s">
        <v>537</v>
      </c>
      <c r="N28" s="114" t="s">
        <v>634</v>
      </c>
      <c r="O28" s="114" t="s">
        <v>537</v>
      </c>
      <c r="P28" s="114" t="s">
        <v>585</v>
      </c>
      <c r="Q28" s="114" t="s">
        <v>537</v>
      </c>
      <c r="R28" s="114">
        <v>0.14000000000000001</v>
      </c>
      <c r="S28" s="114"/>
      <c r="T28" s="114"/>
      <c r="U28" s="114"/>
      <c r="V28" s="114"/>
      <c r="W28" s="114"/>
      <c r="X28" s="114"/>
      <c r="Y28" s="114"/>
      <c r="Z28" s="114"/>
      <c r="AA28"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8" sqref="C28"/>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4" t="str">
        <f>'1. паспорт местоположение'!A5:C5</f>
        <v>Год раскрытия информации: 2022 год</v>
      </c>
      <c r="B5" s="414"/>
      <c r="C5" s="414"/>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4" t="s">
        <v>7</v>
      </c>
      <c r="B7" s="424"/>
      <c r="C7" s="424"/>
      <c r="D7" s="138"/>
      <c r="E7" s="138"/>
      <c r="F7" s="138"/>
      <c r="G7" s="138"/>
      <c r="H7" s="138"/>
      <c r="I7" s="138"/>
      <c r="J7" s="138"/>
      <c r="K7" s="138"/>
      <c r="L7" s="138"/>
      <c r="M7" s="138"/>
      <c r="N7" s="138"/>
      <c r="O7" s="138"/>
      <c r="P7" s="138"/>
      <c r="Q7" s="138"/>
      <c r="R7" s="138"/>
      <c r="S7" s="138"/>
      <c r="T7" s="138"/>
      <c r="U7" s="138"/>
    </row>
    <row r="8" spans="1:29" s="17" customFormat="1" ht="18.75" x14ac:dyDescent="0.2">
      <c r="A8" s="424"/>
      <c r="B8" s="424"/>
      <c r="C8" s="424"/>
      <c r="D8" s="153"/>
      <c r="E8" s="153"/>
      <c r="F8" s="153"/>
      <c r="G8" s="153"/>
      <c r="H8" s="138"/>
      <c r="I8" s="138"/>
      <c r="J8" s="138"/>
      <c r="K8" s="138"/>
      <c r="L8" s="138"/>
      <c r="M8" s="138"/>
      <c r="N8" s="138"/>
      <c r="O8" s="138"/>
      <c r="P8" s="138"/>
      <c r="Q8" s="138"/>
      <c r="R8" s="138"/>
      <c r="S8" s="138"/>
      <c r="T8" s="138"/>
      <c r="U8" s="138"/>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0"/>
      <c r="E9" s="140"/>
      <c r="F9" s="140"/>
      <c r="G9" s="140"/>
      <c r="H9" s="138"/>
      <c r="I9" s="138"/>
      <c r="J9" s="138"/>
      <c r="K9" s="138"/>
      <c r="L9" s="138"/>
      <c r="M9" s="138"/>
      <c r="N9" s="138"/>
      <c r="O9" s="138"/>
      <c r="P9" s="138"/>
      <c r="Q9" s="138"/>
      <c r="R9" s="138"/>
      <c r="S9" s="138"/>
      <c r="T9" s="138"/>
      <c r="U9" s="138"/>
    </row>
    <row r="10" spans="1:29" s="17" customFormat="1" ht="18.75" x14ac:dyDescent="0.2">
      <c r="A10" s="420" t="s">
        <v>6</v>
      </c>
      <c r="B10" s="420"/>
      <c r="C10" s="420"/>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4"/>
      <c r="B11" s="424"/>
      <c r="C11" s="424"/>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9" t="str">
        <f>'1. паспорт местоположение'!A12:C12</f>
        <v>L_21-15</v>
      </c>
      <c r="B12" s="419"/>
      <c r="C12" s="419"/>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0" t="s">
        <v>5</v>
      </c>
      <c r="B13" s="420"/>
      <c r="C13" s="420"/>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6"/>
      <c r="B14" s="426"/>
      <c r="C14" s="426"/>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4" t="str">
        <f>'1. паспорт местоположение'!A15:C15</f>
        <v>Строительство сетей электроснабжения жд г. Пионерский (Нивелир)</v>
      </c>
      <c r="B15" s="454"/>
      <c r="C15" s="454"/>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0" t="s">
        <v>4</v>
      </c>
      <c r="B16" s="420"/>
      <c r="C16" s="420"/>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1"/>
      <c r="B17" s="421"/>
      <c r="C17" s="421"/>
      <c r="D17" s="142"/>
      <c r="E17" s="142"/>
      <c r="F17" s="142"/>
      <c r="G17" s="142"/>
      <c r="H17" s="142"/>
      <c r="I17" s="142"/>
      <c r="J17" s="142"/>
      <c r="K17" s="142"/>
      <c r="L17" s="142"/>
      <c r="M17" s="142"/>
      <c r="N17" s="142"/>
      <c r="O17" s="142"/>
      <c r="P17" s="142"/>
      <c r="Q17" s="142"/>
      <c r="R17" s="142"/>
    </row>
    <row r="18" spans="1:21" s="137" customFormat="1" ht="27.75" customHeight="1" x14ac:dyDescent="0.2">
      <c r="A18" s="422" t="s">
        <v>381</v>
      </c>
      <c r="B18" s="422"/>
      <c r="C18" s="422"/>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жд г. Пионерский (Нивелир)</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657</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656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630</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2022</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632</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38"/>
      <c r="AB6" s="138"/>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38"/>
      <c r="AB7" s="138"/>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0"/>
      <c r="AB8" s="140"/>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1"/>
      <c r="AB9" s="141"/>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38"/>
      <c r="AB10" s="138"/>
    </row>
    <row r="11" spans="1:28" ht="15.75" x14ac:dyDescent="0.25">
      <c r="A11" s="425" t="str">
        <f>'1. паспорт местоположение'!A12:C12</f>
        <v>L_21-15</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0"/>
      <c r="AB11" s="140"/>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1"/>
      <c r="AB12" s="141"/>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60"/>
      <c r="AB13" s="160"/>
    </row>
    <row r="14" spans="1:28" ht="15.75" x14ac:dyDescent="0.25">
      <c r="A14" s="419" t="str">
        <f>'1. паспорт местоположение'!A15:C15</f>
        <v>Строительство сетей электроснабжения жд г. Пионерский (Нивелир)</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0"/>
      <c r="AB14" s="140"/>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1"/>
      <c r="AB15" s="141"/>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1"/>
      <c r="AB16" s="161"/>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1"/>
      <c r="AB17" s="161"/>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1"/>
      <c r="AB18" s="161"/>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1"/>
      <c r="AB19" s="161"/>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2"/>
      <c r="AB20" s="162"/>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2"/>
      <c r="AB21" s="162"/>
    </row>
    <row r="22" spans="1:28" x14ac:dyDescent="0.25">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3"/>
      <c r="AB22" s="163"/>
    </row>
    <row r="23" spans="1:28" ht="32.25" customHeight="1" x14ac:dyDescent="0.25">
      <c r="A23" s="459" t="s">
        <v>295</v>
      </c>
      <c r="B23" s="460"/>
      <c r="C23" s="460"/>
      <c r="D23" s="460"/>
      <c r="E23" s="460"/>
      <c r="F23" s="460"/>
      <c r="G23" s="460"/>
      <c r="H23" s="460"/>
      <c r="I23" s="460"/>
      <c r="J23" s="460"/>
      <c r="K23" s="460"/>
      <c r="L23" s="461"/>
      <c r="M23" s="458" t="s">
        <v>296</v>
      </c>
      <c r="N23" s="458"/>
      <c r="O23" s="458"/>
      <c r="P23" s="458"/>
      <c r="Q23" s="458"/>
      <c r="R23" s="458"/>
      <c r="S23" s="458"/>
      <c r="T23" s="458"/>
      <c r="U23" s="458"/>
      <c r="V23" s="458"/>
      <c r="W23" s="458"/>
      <c r="X23" s="458"/>
      <c r="Y23" s="458"/>
      <c r="Z23" s="458"/>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4" t="s">
        <v>7</v>
      </c>
      <c r="B7" s="424"/>
      <c r="C7" s="424"/>
      <c r="D7" s="424"/>
      <c r="E7" s="424"/>
      <c r="F7" s="424"/>
      <c r="G7" s="424"/>
      <c r="H7" s="424"/>
      <c r="I7" s="424"/>
      <c r="J7" s="424"/>
      <c r="K7" s="424"/>
      <c r="L7" s="424"/>
      <c r="M7" s="424"/>
      <c r="N7" s="424"/>
      <c r="O7" s="424"/>
      <c r="P7" s="138"/>
      <c r="Q7" s="138"/>
      <c r="R7" s="138"/>
      <c r="S7" s="138"/>
      <c r="T7" s="138"/>
      <c r="U7" s="138"/>
      <c r="V7" s="138"/>
      <c r="W7" s="138"/>
      <c r="X7" s="138"/>
      <c r="Y7" s="138"/>
      <c r="Z7" s="138"/>
    </row>
    <row r="8" spans="1:28" s="17" customFormat="1" ht="18.75" x14ac:dyDescent="0.2">
      <c r="A8" s="424"/>
      <c r="B8" s="424"/>
      <c r="C8" s="424"/>
      <c r="D8" s="424"/>
      <c r="E8" s="424"/>
      <c r="F8" s="424"/>
      <c r="G8" s="424"/>
      <c r="H8" s="424"/>
      <c r="I8" s="424"/>
      <c r="J8" s="424"/>
      <c r="K8" s="424"/>
      <c r="L8" s="424"/>
      <c r="M8" s="424"/>
      <c r="N8" s="424"/>
      <c r="O8" s="424"/>
      <c r="P8" s="138"/>
      <c r="Q8" s="138"/>
      <c r="R8" s="138"/>
      <c r="S8" s="138"/>
      <c r="T8" s="138"/>
      <c r="U8" s="138"/>
      <c r="V8" s="138"/>
      <c r="W8" s="138"/>
      <c r="X8" s="138"/>
      <c r="Y8" s="138"/>
      <c r="Z8" s="138"/>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38"/>
      <c r="Q9" s="138"/>
      <c r="R9" s="138"/>
      <c r="S9" s="138"/>
      <c r="T9" s="138"/>
      <c r="U9" s="138"/>
      <c r="V9" s="138"/>
      <c r="W9" s="138"/>
      <c r="X9" s="138"/>
      <c r="Y9" s="138"/>
      <c r="Z9" s="138"/>
    </row>
    <row r="10" spans="1:28" s="17" customFormat="1" ht="18.75" x14ac:dyDescent="0.2">
      <c r="A10" s="420" t="s">
        <v>6</v>
      </c>
      <c r="B10" s="420"/>
      <c r="C10" s="420"/>
      <c r="D10" s="420"/>
      <c r="E10" s="420"/>
      <c r="F10" s="420"/>
      <c r="G10" s="420"/>
      <c r="H10" s="420"/>
      <c r="I10" s="420"/>
      <c r="J10" s="420"/>
      <c r="K10" s="420"/>
      <c r="L10" s="420"/>
      <c r="M10" s="420"/>
      <c r="N10" s="420"/>
      <c r="O10" s="420"/>
      <c r="P10" s="138"/>
      <c r="Q10" s="138"/>
      <c r="R10" s="138"/>
      <c r="S10" s="138"/>
      <c r="T10" s="138"/>
      <c r="U10" s="138"/>
      <c r="V10" s="138"/>
      <c r="W10" s="138"/>
      <c r="X10" s="138"/>
      <c r="Y10" s="138"/>
      <c r="Z10" s="138"/>
    </row>
    <row r="11" spans="1:28" s="17" customFormat="1" ht="18.75" x14ac:dyDescent="0.2">
      <c r="A11" s="424"/>
      <c r="B11" s="424"/>
      <c r="C11" s="424"/>
      <c r="D11" s="424"/>
      <c r="E11" s="424"/>
      <c r="F11" s="424"/>
      <c r="G11" s="424"/>
      <c r="H11" s="424"/>
      <c r="I11" s="424"/>
      <c r="J11" s="424"/>
      <c r="K11" s="424"/>
      <c r="L11" s="424"/>
      <c r="M11" s="424"/>
      <c r="N11" s="424"/>
      <c r="O11" s="424"/>
      <c r="P11" s="138"/>
      <c r="Q11" s="138"/>
      <c r="R11" s="138"/>
      <c r="S11" s="138"/>
      <c r="T11" s="138"/>
      <c r="U11" s="138"/>
      <c r="V11" s="138"/>
      <c r="W11" s="138"/>
      <c r="X11" s="138"/>
      <c r="Y11" s="138"/>
      <c r="Z11" s="138"/>
    </row>
    <row r="12" spans="1:28" s="17" customFormat="1" ht="18.75" x14ac:dyDescent="0.2">
      <c r="A12" s="425" t="str">
        <f>'1. паспорт местоположение'!A12:C12</f>
        <v>L_21-15</v>
      </c>
      <c r="B12" s="425"/>
      <c r="C12" s="425"/>
      <c r="D12" s="425"/>
      <c r="E12" s="425"/>
      <c r="F12" s="425"/>
      <c r="G12" s="425"/>
      <c r="H12" s="425"/>
      <c r="I12" s="425"/>
      <c r="J12" s="425"/>
      <c r="K12" s="425"/>
      <c r="L12" s="425"/>
      <c r="M12" s="425"/>
      <c r="N12" s="425"/>
      <c r="O12" s="425"/>
      <c r="P12" s="138"/>
      <c r="Q12" s="138"/>
      <c r="R12" s="138"/>
      <c r="S12" s="138"/>
      <c r="T12" s="138"/>
      <c r="U12" s="138"/>
      <c r="V12" s="138"/>
      <c r="W12" s="138"/>
      <c r="X12" s="138"/>
      <c r="Y12" s="138"/>
      <c r="Z12" s="138"/>
    </row>
    <row r="13" spans="1:28" s="17" customFormat="1" ht="18.75" x14ac:dyDescent="0.2">
      <c r="A13" s="420" t="s">
        <v>5</v>
      </c>
      <c r="B13" s="420"/>
      <c r="C13" s="420"/>
      <c r="D13" s="420"/>
      <c r="E13" s="420"/>
      <c r="F13" s="420"/>
      <c r="G13" s="420"/>
      <c r="H13" s="420"/>
      <c r="I13" s="420"/>
      <c r="J13" s="420"/>
      <c r="K13" s="420"/>
      <c r="L13" s="420"/>
      <c r="M13" s="420"/>
      <c r="N13" s="420"/>
      <c r="O13" s="420"/>
      <c r="P13" s="138"/>
      <c r="Q13" s="138"/>
      <c r="R13" s="138"/>
      <c r="S13" s="138"/>
      <c r="T13" s="138"/>
      <c r="U13" s="138"/>
      <c r="V13" s="138"/>
      <c r="W13" s="138"/>
      <c r="X13" s="138"/>
      <c r="Y13" s="138"/>
      <c r="Z13" s="138"/>
    </row>
    <row r="14" spans="1:28" s="136" customFormat="1" ht="15.75" customHeight="1" x14ac:dyDescent="0.2">
      <c r="A14" s="426"/>
      <c r="B14" s="426"/>
      <c r="C14" s="426"/>
      <c r="D14" s="426"/>
      <c r="E14" s="426"/>
      <c r="F14" s="426"/>
      <c r="G14" s="426"/>
      <c r="H14" s="426"/>
      <c r="I14" s="426"/>
      <c r="J14" s="426"/>
      <c r="K14" s="426"/>
      <c r="L14" s="426"/>
      <c r="M14" s="426"/>
      <c r="N14" s="426"/>
      <c r="O14" s="426"/>
      <c r="P14" s="139"/>
      <c r="Q14" s="139"/>
      <c r="R14" s="139"/>
      <c r="S14" s="139"/>
      <c r="T14" s="139"/>
      <c r="U14" s="139"/>
      <c r="V14" s="139"/>
      <c r="W14" s="139"/>
      <c r="X14" s="139"/>
      <c r="Y14" s="139"/>
      <c r="Z14" s="139"/>
    </row>
    <row r="15" spans="1:28" s="137" customFormat="1" ht="15.75" x14ac:dyDescent="0.2">
      <c r="A15" s="419" t="str">
        <f>'1. паспорт местоположение'!A15:C15</f>
        <v>Строительство сетей электроснабжения жд г. Пионерский (Нивелир)</v>
      </c>
      <c r="B15" s="419"/>
      <c r="C15" s="419"/>
      <c r="D15" s="419"/>
      <c r="E15" s="419"/>
      <c r="F15" s="419"/>
      <c r="G15" s="419"/>
      <c r="H15" s="419"/>
      <c r="I15" s="419"/>
      <c r="J15" s="419"/>
      <c r="K15" s="419"/>
      <c r="L15" s="419"/>
      <c r="M15" s="419"/>
      <c r="N15" s="419"/>
      <c r="O15" s="419"/>
      <c r="P15" s="140"/>
      <c r="Q15" s="140"/>
      <c r="R15" s="140"/>
      <c r="S15" s="140"/>
      <c r="T15" s="140"/>
      <c r="U15" s="140"/>
      <c r="V15" s="140"/>
      <c r="W15" s="140"/>
      <c r="X15" s="140"/>
      <c r="Y15" s="140"/>
      <c r="Z15" s="140"/>
    </row>
    <row r="16" spans="1:28" s="137" customFormat="1" ht="15" customHeight="1" x14ac:dyDescent="0.2">
      <c r="A16" s="420" t="s">
        <v>4</v>
      </c>
      <c r="B16" s="420"/>
      <c r="C16" s="420"/>
      <c r="D16" s="420"/>
      <c r="E16" s="420"/>
      <c r="F16" s="420"/>
      <c r="G16" s="420"/>
      <c r="H16" s="420"/>
      <c r="I16" s="420"/>
      <c r="J16" s="420"/>
      <c r="K16" s="420"/>
      <c r="L16" s="420"/>
      <c r="M16" s="420"/>
      <c r="N16" s="420"/>
      <c r="O16" s="420"/>
      <c r="P16" s="141"/>
      <c r="Q16" s="141"/>
      <c r="R16" s="141"/>
      <c r="S16" s="141"/>
      <c r="T16" s="141"/>
      <c r="U16" s="141"/>
      <c r="V16" s="141"/>
      <c r="W16" s="141"/>
      <c r="X16" s="141"/>
      <c r="Y16" s="141"/>
      <c r="Z16" s="141"/>
    </row>
    <row r="17" spans="1:26" s="137" customFormat="1" ht="15" customHeight="1" x14ac:dyDescent="0.2">
      <c r="A17" s="421"/>
      <c r="B17" s="421"/>
      <c r="C17" s="421"/>
      <c r="D17" s="421"/>
      <c r="E17" s="421"/>
      <c r="F17" s="421"/>
      <c r="G17" s="421"/>
      <c r="H17" s="421"/>
      <c r="I17" s="421"/>
      <c r="J17" s="421"/>
      <c r="K17" s="421"/>
      <c r="L17" s="421"/>
      <c r="M17" s="421"/>
      <c r="N17" s="421"/>
      <c r="O17" s="421"/>
      <c r="P17" s="142"/>
      <c r="Q17" s="142"/>
      <c r="R17" s="142"/>
      <c r="S17" s="142"/>
      <c r="T17" s="142"/>
      <c r="U17" s="142"/>
      <c r="V17" s="142"/>
      <c r="W17" s="142"/>
    </row>
    <row r="18" spans="1:26" s="137" customFormat="1" ht="91.5" customHeight="1" x14ac:dyDescent="0.2">
      <c r="A18" s="462" t="s">
        <v>390</v>
      </c>
      <c r="B18" s="462"/>
      <c r="C18" s="462"/>
      <c r="D18" s="462"/>
      <c r="E18" s="462"/>
      <c r="F18" s="462"/>
      <c r="G18" s="462"/>
      <c r="H18" s="462"/>
      <c r="I18" s="462"/>
      <c r="J18" s="462"/>
      <c r="K18" s="462"/>
      <c r="L18" s="462"/>
      <c r="M18" s="462"/>
      <c r="N18" s="462"/>
      <c r="O18" s="462"/>
      <c r="P18" s="143"/>
      <c r="Q18" s="143"/>
      <c r="R18" s="143"/>
      <c r="S18" s="143"/>
      <c r="T18" s="143"/>
      <c r="U18" s="143"/>
      <c r="V18" s="143"/>
      <c r="W18" s="143"/>
      <c r="X18" s="143"/>
      <c r="Y18" s="143"/>
      <c r="Z18" s="143"/>
    </row>
    <row r="19" spans="1:26" s="137"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2"/>
      <c r="Q19" s="142"/>
      <c r="R19" s="142"/>
      <c r="S19" s="142"/>
      <c r="T19" s="142"/>
      <c r="U19" s="142"/>
      <c r="V19" s="142"/>
      <c r="W19" s="142"/>
    </row>
    <row r="20" spans="1:26" s="137" customFormat="1" ht="51" customHeight="1" x14ac:dyDescent="0.2">
      <c r="A20" s="463"/>
      <c r="B20" s="463"/>
      <c r="C20" s="463"/>
      <c r="D20" s="463"/>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7" zoomScale="90" zoomScaleNormal="90" workbookViewId="0">
      <selection activeCell="C68" sqref="C68"/>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2" t="str">
        <f>'1. паспорт местоположение'!A5:C5</f>
        <v>Год раскрытия информации: 2022 год</v>
      </c>
      <c r="B5" s="472"/>
      <c r="C5" s="472"/>
      <c r="D5" s="472"/>
      <c r="E5" s="472"/>
      <c r="F5" s="472"/>
      <c r="G5" s="472"/>
      <c r="H5" s="47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3" t="s">
        <v>7</v>
      </c>
      <c r="B7" s="473"/>
      <c r="C7" s="473"/>
      <c r="D7" s="473"/>
      <c r="E7" s="473"/>
      <c r="F7" s="473"/>
      <c r="G7" s="473"/>
      <c r="H7" s="47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4" t="str">
        <f>'1. паспорт местоположение'!A9:C10</f>
        <v xml:space="preserve">Акционерное общество "Западная энергетическая компания" </v>
      </c>
      <c r="B9" s="474"/>
      <c r="C9" s="474"/>
      <c r="D9" s="474"/>
      <c r="E9" s="474"/>
      <c r="F9" s="474"/>
      <c r="G9" s="474"/>
      <c r="H9" s="47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5" t="s">
        <v>6</v>
      </c>
      <c r="B10" s="475"/>
      <c r="C10" s="475"/>
      <c r="D10" s="475"/>
      <c r="E10" s="475"/>
      <c r="F10" s="475"/>
      <c r="G10" s="475"/>
      <c r="H10" s="47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4" t="str">
        <f>'1. паспорт местоположение'!A12:C12</f>
        <v>L_21-15</v>
      </c>
      <c r="B12" s="474"/>
      <c r="C12" s="474"/>
      <c r="D12" s="474"/>
      <c r="E12" s="474"/>
      <c r="F12" s="474"/>
      <c r="G12" s="474"/>
      <c r="H12" s="47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5" t="s">
        <v>5</v>
      </c>
      <c r="B13" s="475"/>
      <c r="C13" s="475"/>
      <c r="D13" s="475"/>
      <c r="E13" s="475"/>
      <c r="F13" s="475"/>
      <c r="G13" s="475"/>
      <c r="H13" s="47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6" t="str">
        <f>'1. паспорт местоположение'!A15:C15</f>
        <v>Строительство сетей электроснабжения жд г. Пионерский (Нивелир)</v>
      </c>
      <c r="B15" s="476"/>
      <c r="C15" s="476"/>
      <c r="D15" s="476"/>
      <c r="E15" s="476"/>
      <c r="F15" s="476"/>
      <c r="G15" s="476"/>
      <c r="H15" s="47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5" t="s">
        <v>4</v>
      </c>
      <c r="B16" s="475"/>
      <c r="C16" s="475"/>
      <c r="D16" s="475"/>
      <c r="E16" s="475"/>
      <c r="F16" s="475"/>
      <c r="G16" s="475"/>
      <c r="H16" s="47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4" t="s">
        <v>391</v>
      </c>
      <c r="B18" s="474"/>
      <c r="C18" s="474"/>
      <c r="D18" s="474"/>
      <c r="E18" s="474"/>
      <c r="F18" s="474"/>
      <c r="G18" s="474"/>
      <c r="H18" s="47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2083333.3333333335</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7" t="s">
        <v>285</v>
      </c>
      <c r="E28" s="468"/>
      <c r="F28" s="469"/>
      <c r="G28" s="470" t="str">
        <f ca="1">IF(SUM(B89:L89)=0,"не окупается",SUM(B89:L89))</f>
        <v>не окупается</v>
      </c>
      <c r="H28" s="47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2083.3333333333335</v>
      </c>
      <c r="C29" s="238"/>
      <c r="D29" s="467" t="s">
        <v>283</v>
      </c>
      <c r="E29" s="468"/>
      <c r="F29" s="469"/>
      <c r="G29" s="470" t="str">
        <f ca="1">IF(SUM(B90:L90)=0,"не окупается",SUM(B90:L90))</f>
        <v>не окупается</v>
      </c>
      <c r="H29" s="47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7" t="s">
        <v>546</v>
      </c>
      <c r="E30" s="468"/>
      <c r="F30" s="469"/>
      <c r="G30" s="479">
        <f ca="1">L87</f>
        <v>-11745449.922356887</v>
      </c>
      <c r="H30" s="480"/>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1"/>
      <c r="E31" s="482"/>
      <c r="F31" s="483"/>
      <c r="G31" s="481"/>
      <c r="H31" s="483"/>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f>6000057/1.2</f>
        <v>5000047.5</v>
      </c>
      <c r="C50" s="290">
        <f>C108*(1+C49)</f>
        <v>0</v>
      </c>
      <c r="D50" s="290">
        <f>H108*(1+H49)</f>
        <v>307559.93860899296</v>
      </c>
      <c r="E50" s="290">
        <f t="shared" ref="E50:M50" si="3">I108*(1+E49)</f>
        <v>535944.37379502703</v>
      </c>
      <c r="F50" s="290">
        <f t="shared" si="3"/>
        <v>841700.63904508995</v>
      </c>
      <c r="G50" s="290">
        <f t="shared" si="3"/>
        <v>1175014.0921069453</v>
      </c>
      <c r="H50" s="290">
        <f t="shared" si="3"/>
        <v>1537799.6930449647</v>
      </c>
      <c r="I50" s="290">
        <f t="shared" si="3"/>
        <v>2254106.790065309</v>
      </c>
      <c r="J50" s="290">
        <f t="shared" si="3"/>
        <v>2360049.8091983786</v>
      </c>
      <c r="K50" s="290">
        <f t="shared" si="3"/>
        <v>2470972.150230702</v>
      </c>
      <c r="L50" s="290">
        <f t="shared" si="3"/>
        <v>2587107.841291545</v>
      </c>
      <c r="M50" s="290">
        <f t="shared" si="3"/>
        <v>2708701.9098322475</v>
      </c>
      <c r="N50" s="290">
        <f t="shared" ref="N50:AP50" si="4">N108*(1+N49)</f>
        <v>2836010.8995943628</v>
      </c>
      <c r="O50" s="290">
        <f t="shared" si="4"/>
        <v>2969303.4118752973</v>
      </c>
      <c r="P50" s="290">
        <f t="shared" si="4"/>
        <v>3108860.6722334363</v>
      </c>
      <c r="Q50" s="290">
        <f t="shared" si="4"/>
        <v>3254977.1238284078</v>
      </c>
      <c r="R50" s="290">
        <f t="shared" si="4"/>
        <v>3407961.0486483425</v>
      </c>
      <c r="S50" s="290">
        <f t="shared" si="4"/>
        <v>3568135.2179348147</v>
      </c>
      <c r="T50" s="290">
        <f t="shared" si="4"/>
        <v>3735837.5731777507</v>
      </c>
      <c r="U50" s="290">
        <f t="shared" si="4"/>
        <v>3911421.9391171047</v>
      </c>
      <c r="V50" s="290">
        <f t="shared" si="4"/>
        <v>4095258.770255608</v>
      </c>
      <c r="W50" s="290">
        <f t="shared" si="4"/>
        <v>4287735.9324576212</v>
      </c>
      <c r="X50" s="290">
        <f t="shared" si="4"/>
        <v>4489259.5212831292</v>
      </c>
      <c r="Y50" s="290">
        <f t="shared" si="4"/>
        <v>4700254.7187834363</v>
      </c>
      <c r="Z50" s="290">
        <f t="shared" si="4"/>
        <v>4921166.6905662576</v>
      </c>
      <c r="AA50" s="290">
        <f t="shared" si="4"/>
        <v>5152461.5250228709</v>
      </c>
      <c r="AB50" s="290">
        <f t="shared" si="4"/>
        <v>5394627.2166989455</v>
      </c>
      <c r="AC50" s="290">
        <f t="shared" si="4"/>
        <v>5648174.6958837947</v>
      </c>
      <c r="AD50" s="290">
        <f t="shared" si="4"/>
        <v>5913638.9065903323</v>
      </c>
      <c r="AE50" s="290">
        <f t="shared" si="4"/>
        <v>6191579.9352000775</v>
      </c>
      <c r="AF50" s="290">
        <f t="shared" si="4"/>
        <v>6482584.1921544811</v>
      </c>
      <c r="AG50" s="290">
        <f t="shared" si="4"/>
        <v>6787265.6491857413</v>
      </c>
      <c r="AH50" s="290">
        <f t="shared" si="4"/>
        <v>7106267.1346974708</v>
      </c>
      <c r="AI50" s="290">
        <f t="shared" si="4"/>
        <v>7440261.6900282521</v>
      </c>
      <c r="AJ50" s="290">
        <f t="shared" si="4"/>
        <v>7789953.9894595789</v>
      </c>
      <c r="AK50" s="290">
        <f t="shared" si="4"/>
        <v>8156081.8269641791</v>
      </c>
      <c r="AL50" s="290">
        <f t="shared" si="4"/>
        <v>8539417.6728314944</v>
      </c>
      <c r="AM50" s="290">
        <f t="shared" si="4"/>
        <v>8940770.3034545742</v>
      </c>
      <c r="AN50" s="290">
        <f t="shared" si="4"/>
        <v>9360986.5077169389</v>
      </c>
      <c r="AO50" s="290">
        <f t="shared" si="4"/>
        <v>9800952.8735796325</v>
      </c>
      <c r="AP50" s="290">
        <f t="shared" si="4"/>
        <v>10261597.658637876</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5000047.5</v>
      </c>
      <c r="C59" s="301">
        <f>C50*$B$28</f>
        <v>0</v>
      </c>
      <c r="D59" s="301">
        <f t="shared" ref="D59:AP59" si="10">D50*$B$28</f>
        <v>307559.93860899296</v>
      </c>
      <c r="E59" s="301">
        <f t="shared" si="10"/>
        <v>535944.37379502703</v>
      </c>
      <c r="F59" s="301">
        <f t="shared" si="10"/>
        <v>841700.63904508995</v>
      </c>
      <c r="G59" s="301">
        <f>G50*$B$28</f>
        <v>1175014.0921069453</v>
      </c>
      <c r="H59" s="301">
        <f t="shared" si="10"/>
        <v>1537799.6930449647</v>
      </c>
      <c r="I59" s="301">
        <f t="shared" si="10"/>
        <v>2254106.790065309</v>
      </c>
      <c r="J59" s="301">
        <f t="shared" si="10"/>
        <v>2360049.8091983786</v>
      </c>
      <c r="K59" s="301">
        <f t="shared" si="10"/>
        <v>2470972.150230702</v>
      </c>
      <c r="L59" s="301">
        <f t="shared" si="10"/>
        <v>2587107.841291545</v>
      </c>
      <c r="M59" s="301">
        <f t="shared" si="10"/>
        <v>2708701.9098322475</v>
      </c>
      <c r="N59" s="301">
        <f t="shared" si="10"/>
        <v>2836010.8995943628</v>
      </c>
      <c r="O59" s="301">
        <f t="shared" si="10"/>
        <v>2969303.4118752973</v>
      </c>
      <c r="P59" s="301">
        <f t="shared" si="10"/>
        <v>3108860.6722334363</v>
      </c>
      <c r="Q59" s="301">
        <f t="shared" si="10"/>
        <v>3254977.1238284078</v>
      </c>
      <c r="R59" s="301">
        <f t="shared" si="10"/>
        <v>3407961.0486483425</v>
      </c>
      <c r="S59" s="301">
        <f t="shared" si="10"/>
        <v>3568135.2179348147</v>
      </c>
      <c r="T59" s="301">
        <f t="shared" si="10"/>
        <v>3735837.5731777507</v>
      </c>
      <c r="U59" s="301">
        <f t="shared" si="10"/>
        <v>3911421.9391171047</v>
      </c>
      <c r="V59" s="301">
        <f t="shared" si="10"/>
        <v>4095258.770255608</v>
      </c>
      <c r="W59" s="301">
        <f t="shared" si="10"/>
        <v>4287735.9324576212</v>
      </c>
      <c r="X59" s="301">
        <f t="shared" si="10"/>
        <v>4489259.5212831292</v>
      </c>
      <c r="Y59" s="301">
        <f t="shared" si="10"/>
        <v>4700254.7187834363</v>
      </c>
      <c r="Z59" s="301">
        <f t="shared" si="10"/>
        <v>4921166.6905662576</v>
      </c>
      <c r="AA59" s="301">
        <f t="shared" si="10"/>
        <v>5152461.5250228709</v>
      </c>
      <c r="AB59" s="301">
        <f t="shared" si="10"/>
        <v>5394627.2166989455</v>
      </c>
      <c r="AC59" s="301">
        <f t="shared" si="10"/>
        <v>5648174.6958837947</v>
      </c>
      <c r="AD59" s="301">
        <f t="shared" si="10"/>
        <v>5913638.9065903323</v>
      </c>
      <c r="AE59" s="301">
        <f t="shared" si="10"/>
        <v>6191579.9352000775</v>
      </c>
      <c r="AF59" s="301">
        <f t="shared" si="10"/>
        <v>6482584.1921544811</v>
      </c>
      <c r="AG59" s="301">
        <f t="shared" si="10"/>
        <v>6787265.6491857413</v>
      </c>
      <c r="AH59" s="301">
        <f t="shared" si="10"/>
        <v>7106267.1346974708</v>
      </c>
      <c r="AI59" s="301">
        <f t="shared" si="10"/>
        <v>7440261.6900282521</v>
      </c>
      <c r="AJ59" s="301">
        <f t="shared" si="10"/>
        <v>7789953.9894595789</v>
      </c>
      <c r="AK59" s="301">
        <f t="shared" si="10"/>
        <v>8156081.8269641791</v>
      </c>
      <c r="AL59" s="301">
        <f t="shared" si="10"/>
        <v>8539417.6728314944</v>
      </c>
      <c r="AM59" s="301">
        <f t="shared" si="10"/>
        <v>8940770.3034545742</v>
      </c>
      <c r="AN59" s="301">
        <f t="shared" si="10"/>
        <v>9360986.5077169389</v>
      </c>
      <c r="AO59" s="301">
        <f t="shared" si="10"/>
        <v>9800952.8735796325</v>
      </c>
      <c r="AP59" s="301">
        <f t="shared" si="10"/>
        <v>10261597.658637876</v>
      </c>
    </row>
    <row r="60" spans="1:45" x14ac:dyDescent="0.2">
      <c r="A60" s="293" t="s">
        <v>261</v>
      </c>
      <c r="B60" s="294">
        <f t="shared" ref="B60:AP60" si="11">SUM(B61:B65)</f>
        <v>0</v>
      </c>
      <c r="C60" s="294">
        <f t="shared" si="11"/>
        <v>-44305.555555555555</v>
      </c>
      <c r="D60" s="294">
        <f>SUM(D61:D65)</f>
        <v>-42777.777777777774</v>
      </c>
      <c r="E60" s="294">
        <f>SUM(E61:E65)</f>
        <v>-44172.943097504096</v>
      </c>
      <c r="F60" s="294">
        <f t="shared" si="11"/>
        <v>-42782.543645309008</v>
      </c>
      <c r="G60" s="294">
        <f t="shared" si="11"/>
        <v>-41398.600974416309</v>
      </c>
      <c r="H60" s="294">
        <f t="shared" si="11"/>
        <v>-40021.418553547213</v>
      </c>
      <c r="I60" s="294">
        <f t="shared" si="11"/>
        <v>-38651.314114452813</v>
      </c>
      <c r="J60" s="294">
        <f t="shared" si="11"/>
        <v>-37288.62032227654</v>
      </c>
      <c r="K60" s="294">
        <f t="shared" si="11"/>
        <v>-35933.68547742354</v>
      </c>
      <c r="L60" s="294">
        <f t="shared" si="11"/>
        <v>-34586.874250417997</v>
      </c>
      <c r="M60" s="294">
        <f t="shared" si="11"/>
        <v>-33248.56845129875</v>
      </c>
      <c r="N60" s="294">
        <f t="shared" si="11"/>
        <v>-31919.167835176464</v>
      </c>
      <c r="O60" s="294">
        <f t="shared" si="11"/>
        <v>-30599.090945651973</v>
      </c>
      <c r="P60" s="294">
        <f t="shared" si="11"/>
        <v>-29288.775997875397</v>
      </c>
      <c r="Q60" s="294">
        <f t="shared" si="11"/>
        <v>-27988.681803108873</v>
      </c>
      <c r="R60" s="294">
        <f t="shared" si="11"/>
        <v>-26699.288736743878</v>
      </c>
      <c r="S60" s="294">
        <f t="shared" si="11"/>
        <v>-25421.099751815287</v>
      </c>
      <c r="T60" s="294">
        <f t="shared" si="11"/>
        <v>-24154.641440150601</v>
      </c>
      <c r="U60" s="294">
        <f t="shared" si="11"/>
        <v>-22900.465143393234</v>
      </c>
      <c r="V60" s="294">
        <f t="shared" si="11"/>
        <v>-21659.148116243829</v>
      </c>
      <c r="W60" s="294">
        <f t="shared" si="11"/>
        <v>-20431.294744373954</v>
      </c>
      <c r="X60" s="294">
        <f t="shared" si="11"/>
        <v>-19217.53781958175</v>
      </c>
      <c r="Y60" s="294">
        <f t="shared" si="11"/>
        <v>-18018.539874879873</v>
      </c>
      <c r="Z60" s="294">
        <f t="shared" si="11"/>
        <v>-16834.994582332562</v>
      </c>
      <c r="AA60" s="294">
        <f t="shared" si="11"/>
        <v>-15667.62821659108</v>
      </c>
      <c r="AB60" s="294">
        <f t="shared" si="11"/>
        <v>-14517.201187215305</v>
      </c>
      <c r="AC60" s="294">
        <f t="shared" si="11"/>
        <v>-13384.509643014424</v>
      </c>
      <c r="AD60" s="294">
        <f t="shared" si="11"/>
        <v>-12270.387151791658</v>
      </c>
      <c r="AE60" s="294">
        <f t="shared" si="11"/>
        <v>-11175.706459036977</v>
      </c>
      <c r="AF60" s="294">
        <f t="shared" si="11"/>
        <v>-10101.381329278382</v>
      </c>
      <c r="AG60" s="294">
        <f t="shared" si="11"/>
        <v>-10576.146251754488</v>
      </c>
      <c r="AH60" s="294">
        <f t="shared" si="11"/>
        <v>-11073.225125586949</v>
      </c>
      <c r="AI60" s="294">
        <f t="shared" si="11"/>
        <v>-11593.666706489535</v>
      </c>
      <c r="AJ60" s="294">
        <f t="shared" si="11"/>
        <v>-12138.569041694542</v>
      </c>
      <c r="AK60" s="294">
        <f t="shared" si="11"/>
        <v>-12709.081786654186</v>
      </c>
      <c r="AL60" s="294">
        <f t="shared" si="11"/>
        <v>-13306.408630626931</v>
      </c>
      <c r="AM60" s="294">
        <f t="shared" si="11"/>
        <v>-13931.809836266395</v>
      </c>
      <c r="AN60" s="294">
        <f t="shared" si="11"/>
        <v>-14586.604898570915</v>
      </c>
      <c r="AO60" s="294">
        <f t="shared" si="11"/>
        <v>-15272.175328803745</v>
      </c>
      <c r="AP60" s="294">
        <f t="shared" si="11"/>
        <v>-15989.967569257522</v>
      </c>
    </row>
    <row r="61" spans="1:45" x14ac:dyDescent="0.2">
      <c r="A61" s="302" t="s">
        <v>260</v>
      </c>
      <c r="B61" s="294"/>
      <c r="C61" s="294">
        <f>-IF(C$47&lt;=$B$30,0,$B$29*(1+C$49)*$B$28)</f>
        <v>0</v>
      </c>
      <c r="D61" s="294">
        <f>-IF(D$47&lt;=$B$30,0,$B$29*(1+D$49)*$B$28)</f>
        <v>0</v>
      </c>
      <c r="E61" s="294">
        <f>-IF(E$47&lt;=$B$30,0,$B$29*(1+E$49)*$B$28)</f>
        <v>-2922.9430975040982</v>
      </c>
      <c r="F61" s="294">
        <f t="shared" ref="F61:AP61" si="12">-IF(F$47&lt;=$B$30,0,$B$29*(1+F$49)*$B$28)</f>
        <v>-3060.3214230867907</v>
      </c>
      <c r="G61" s="294">
        <f t="shared" si="12"/>
        <v>-3204.1565299718695</v>
      </c>
      <c r="H61" s="294">
        <f t="shared" si="12"/>
        <v>-3354.7518868805473</v>
      </c>
      <c r="I61" s="294">
        <f t="shared" si="12"/>
        <v>-3512.4252255639326</v>
      </c>
      <c r="J61" s="294">
        <f t="shared" si="12"/>
        <v>-3677.5092111654371</v>
      </c>
      <c r="K61" s="294">
        <f t="shared" si="12"/>
        <v>-3850.3521440902127</v>
      </c>
      <c r="L61" s="294">
        <f t="shared" si="12"/>
        <v>-4031.3186948624525</v>
      </c>
      <c r="M61" s="294">
        <f t="shared" si="12"/>
        <v>-4220.7906735209872</v>
      </c>
      <c r="N61" s="294">
        <f t="shared" si="12"/>
        <v>-4419.1678351764731</v>
      </c>
      <c r="O61" s="294">
        <f t="shared" si="12"/>
        <v>-4626.8687234297668</v>
      </c>
      <c r="P61" s="294">
        <f t="shared" si="12"/>
        <v>-4844.3315534309659</v>
      </c>
      <c r="Q61" s="294">
        <f t="shared" si="12"/>
        <v>-5072.0151364422209</v>
      </c>
      <c r="R61" s="294">
        <f t="shared" si="12"/>
        <v>-5310.3998478550047</v>
      </c>
      <c r="S61" s="294">
        <f t="shared" si="12"/>
        <v>-5559.9886407041904</v>
      </c>
      <c r="T61" s="294">
        <f t="shared" si="12"/>
        <v>-5821.3081068172869</v>
      </c>
      <c r="U61" s="294">
        <f t="shared" si="12"/>
        <v>-6094.9095878376984</v>
      </c>
      <c r="V61" s="294">
        <f t="shared" si="12"/>
        <v>-6381.3703384660694</v>
      </c>
      <c r="W61" s="294">
        <f t="shared" si="12"/>
        <v>-6681.2947443739749</v>
      </c>
      <c r="X61" s="294">
        <f t="shared" si="12"/>
        <v>-6995.3155973595512</v>
      </c>
      <c r="Y61" s="294">
        <f t="shared" si="12"/>
        <v>-7324.09543043545</v>
      </c>
      <c r="Z61" s="294">
        <f t="shared" si="12"/>
        <v>-7668.3279156659155</v>
      </c>
      <c r="AA61" s="294">
        <f t="shared" si="12"/>
        <v>-8028.7393277022129</v>
      </c>
      <c r="AB61" s="294">
        <f t="shared" si="12"/>
        <v>-8406.0900761042158</v>
      </c>
      <c r="AC61" s="294">
        <f t="shared" si="12"/>
        <v>-8801.1763096811119</v>
      </c>
      <c r="AD61" s="294">
        <f t="shared" si="12"/>
        <v>-9214.831596236123</v>
      </c>
      <c r="AE61" s="294">
        <f t="shared" si="12"/>
        <v>-9647.92868125922</v>
      </c>
      <c r="AF61" s="294">
        <f t="shared" si="12"/>
        <v>-10101.381329278403</v>
      </c>
      <c r="AG61" s="294">
        <f t="shared" si="12"/>
        <v>-10576.146251754488</v>
      </c>
      <c r="AH61" s="294">
        <f t="shared" si="12"/>
        <v>-11073.225125586949</v>
      </c>
      <c r="AI61" s="294">
        <f t="shared" si="12"/>
        <v>-11593.666706489535</v>
      </c>
      <c r="AJ61" s="294">
        <f t="shared" si="12"/>
        <v>-12138.569041694542</v>
      </c>
      <c r="AK61" s="294">
        <f t="shared" si="12"/>
        <v>-12709.081786654186</v>
      </c>
      <c r="AL61" s="294">
        <f t="shared" si="12"/>
        <v>-13306.408630626931</v>
      </c>
      <c r="AM61" s="294">
        <f t="shared" si="12"/>
        <v>-13931.809836266395</v>
      </c>
      <c r="AN61" s="294">
        <f t="shared" si="12"/>
        <v>-14586.604898570915</v>
      </c>
      <c r="AO61" s="294">
        <f t="shared" si="12"/>
        <v>-15272.175328803745</v>
      </c>
      <c r="AP61" s="294">
        <f t="shared" si="12"/>
        <v>-15989.967569257522</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-44305.555555555555</v>
      </c>
      <c r="D65" s="405">
        <f>-($B$25+D67+C67)*0.022</f>
        <v>-42777.777777777774</v>
      </c>
      <c r="E65" s="406">
        <f>-($B$25+E67+C67+D67)*0.022</f>
        <v>-41250</v>
      </c>
      <c r="F65" s="406">
        <f>-($B$25+F67+D67+E67+C67)*0.022</f>
        <v>-39722.222222222219</v>
      </c>
      <c r="G65" s="406">
        <f>-($B$25+G67+E67+F67+D67+C67)*0.022</f>
        <v>-38194.444444444438</v>
      </c>
      <c r="H65" s="406">
        <f>-($B$25+H67+F67+G67+E67+C67+D67)*0.022</f>
        <v>-36666.666666666664</v>
      </c>
      <c r="I65" s="406">
        <f>-($B$25+C67+I67+G67+H67+F67+D67+E67)*0.022</f>
        <v>-35138.888888888883</v>
      </c>
      <c r="J65" s="406">
        <f>-($B$25+D67+J67+H67+I67+G67+E67+F67+C67)*0.022</f>
        <v>-33611.111111111102</v>
      </c>
      <c r="K65" s="406">
        <f>-($B$25+E67+K67+I67+J67+H67+F67+G67+C67+D67)*0.022</f>
        <v>-32083.333333333325</v>
      </c>
      <c r="L65" s="406">
        <f>-($B$25+F67+L67+J67+K67+I67+G67+H67+E67+D67+C67)*0.022</f>
        <v>-30555.555555555547</v>
      </c>
      <c r="M65" s="406">
        <f>-($B$25+G67+M67+K67+L67+J67+H67+I67+F67+E67+C67+D67)*0.022</f>
        <v>-29027.777777777766</v>
      </c>
      <c r="N65" s="406">
        <f>-($B$25+H67+N67+L67+M67+K67+I67+J67+G67+F67+E67+C67+D67)*0.022</f>
        <v>-27499.999999999989</v>
      </c>
      <c r="O65" s="406">
        <f>-($B$25+I67+O67+M67+N67+L67+J67+K67+H67+G67+F67+D67+C67+E67)*0.022</f>
        <v>-25972.222222222208</v>
      </c>
      <c r="P65" s="406">
        <f>-($B$25+J67+P67+N67+O67+M67+K67+L67+I67+H67+G67+E67+F67+C67+D67)*0.022</f>
        <v>-24444.444444444431</v>
      </c>
      <c r="Q65" s="406">
        <f>-($B$25+K67+Q67+O67+P67+N67+L67+M67+J67+I67+H67+F67+G67+D67+C67+E67)*0.022</f>
        <v>-22916.666666666653</v>
      </c>
      <c r="R65" s="406">
        <f>-($B$25+L67+R67+P67+Q67+O67+M67+N67+K67+J67+I67+G67+H67+E67+D67+C67+F67)*0.022</f>
        <v>-21388.888888888872</v>
      </c>
      <c r="S65" s="406">
        <f>-($B$25+M67+S67+Q67+R67+P67+N67+O67+L67+K67+J67+H67+I67+F67+E67+D67+C67+G67)*0.022</f>
        <v>-19861.111111111095</v>
      </c>
      <c r="T65" s="406">
        <f>-($B$25+N67+T67+R67+S67+Q67+O67+P67+M67+L67+K67+I67+J67+G67+F67+E67+D67+C67+H67)*0.022</f>
        <v>-18333.333333333314</v>
      </c>
      <c r="U65" s="406">
        <f>-($B$25+O67+U67+S67+T67+R67+P67+Q67+N67+M67+L67+J67+K67+H67+G67+F67+E67+C67+D67++I67)*0.022</f>
        <v>-16805.555555555537</v>
      </c>
      <c r="V65" s="406">
        <f>-($B$25+P67+V67+T67+U67+S67+Q67+R67+O67+N67+M67+K67+L67+I67+H67+G67+F67+D67+E67+C67+J67)*0.022</f>
        <v>-15277.777777777757</v>
      </c>
      <c r="W65" s="406">
        <f>-($B$25+Q67+W67+U67+V67+T67+R67+S67+P67+O67+N67+L67+M67+J67+I67+H67+G67+E67+F67+D67+C67+K67)*0.022</f>
        <v>-13749.999999999978</v>
      </c>
      <c r="X65" s="406">
        <f>-($B$25+R67+X67+V67+W67+U67+S67+T67+Q67+P67+O67+M67+N67+K67+J67+I67+H67+F67+G67+E67+D67+C67+L67)*0.022</f>
        <v>-12222.222222222199</v>
      </c>
      <c r="Y65" s="406">
        <f>-($B$25+S67+Y67+W67+X67+V67+T67+U67+R67+Q67+P67+N67+O67+L67+K67+J67+I67+G67+H67+F67+E67+D67+C67+M67)*0.022</f>
        <v>-10694.444444444422</v>
      </c>
      <c r="Z65" s="406">
        <f>-($B$25+T67+Z67+X67+Y67+W67+U67+V67+S67+R67+Q67+O67+P67+M67+L67+K67+J67+H67+I67+G67+F67+E67+D67+C67+N67)*0.022</f>
        <v>-9166.6666666666442</v>
      </c>
      <c r="AA65" s="406">
        <f>-($B$25+U67+AA67+Y67+Z67+X67+V67+W67+T67+S67+R67+P67+Q67+N67+M67+L67+K67+I67+J67+H67+G67+F67+E67+D67+C67+O67)*0.022</f>
        <v>-7638.8888888888669</v>
      </c>
      <c r="AB65" s="406">
        <f>-($B$25+V67+AB67+Z67+AA67+Y67+W67+X67+U67+T67+S67+Q67+R67+O67+N67+M67+L67+J67+K67+I67+H67+G67+F67+E67+D67+C67+P67)*0.022</f>
        <v>-6111.1111111110895</v>
      </c>
      <c r="AC65" s="406">
        <f>-($B$25+W67+AC67+AA67+AB67+Z67+X67+Y67+V67+U67+T67+R67+S67+P67+O67+N67+M67+K67+L67+J67+I67+H67+G67+F67+E67+D67+C67+Q67)*0.022</f>
        <v>-4583.3333333333121</v>
      </c>
      <c r="AD65" s="406">
        <f>-($B$25+X67+AD67+AB67+AC67+AA67+Y67+Z67+W67+V67+U67+S67+T67+Q67+P67+O67+N67+L67+M67+K67+J67+I67+H67+G67+F67+E67+D67+C67+R67)*0.022</f>
        <v>-3055.5555555555347</v>
      </c>
      <c r="AE65" s="406">
        <f>-($B$25+Y67+AE67+AC67+AD67+AB67+Z67+AA67+X67+W67+V67+T67+U67+R67+Q67+P67+O67+M67+N67+L67+K67+J67+I67+H67+G67+F67+E67+D67+C67+S67)*0.022</f>
        <v>-1527.7777777777567</v>
      </c>
      <c r="AF65" s="406">
        <f>-($B$25+Z67+AF67+AD67+AE67+AC67+AA67+AB67+Y67+X67+W67+U67+V67+S67+R67+Q67+P67+N67+O67+M67+L67+K67+J67+I67+H67+G67+F67+E67+D67+C67+T67)*0.022</f>
        <v>2.1129380911588668E-11</v>
      </c>
      <c r="AG65" s="294"/>
      <c r="AH65" s="294"/>
      <c r="AI65" s="294"/>
      <c r="AJ65" s="294"/>
      <c r="AK65" s="294"/>
      <c r="AL65" s="294"/>
      <c r="AM65" s="294"/>
      <c r="AN65" s="294"/>
      <c r="AO65" s="294"/>
      <c r="AP65" s="294"/>
    </row>
    <row r="66" spans="1:45" ht="28.5" x14ac:dyDescent="0.2">
      <c r="A66" s="303" t="s">
        <v>549</v>
      </c>
      <c r="B66" s="301">
        <f t="shared" ref="B66:AO66" si="13">B59+B60</f>
        <v>5000047.5</v>
      </c>
      <c r="C66" s="301">
        <f t="shared" si="13"/>
        <v>-44305.555555555555</v>
      </c>
      <c r="D66" s="301">
        <f t="shared" si="13"/>
        <v>264782.16083121521</v>
      </c>
      <c r="E66" s="301">
        <f t="shared" si="13"/>
        <v>491771.43069752294</v>
      </c>
      <c r="F66" s="301">
        <f t="shared" si="13"/>
        <v>798918.0953997809</v>
      </c>
      <c r="G66" s="301">
        <f t="shared" si="13"/>
        <v>1133615.491132529</v>
      </c>
      <c r="H66" s="301">
        <f t="shared" si="13"/>
        <v>1497778.2744914175</v>
      </c>
      <c r="I66" s="301">
        <f t="shared" si="13"/>
        <v>2215455.4759508562</v>
      </c>
      <c r="J66" s="301">
        <f t="shared" si="13"/>
        <v>2322761.1888761022</v>
      </c>
      <c r="K66" s="301">
        <f t="shared" si="13"/>
        <v>2435038.4647532785</v>
      </c>
      <c r="L66" s="301">
        <f t="shared" si="13"/>
        <v>2552520.9670411269</v>
      </c>
      <c r="M66" s="301">
        <f t="shared" si="13"/>
        <v>2675453.3413809487</v>
      </c>
      <c r="N66" s="301">
        <f t="shared" si="13"/>
        <v>2804091.7317591864</v>
      </c>
      <c r="O66" s="301">
        <f t="shared" si="13"/>
        <v>2938704.3209296456</v>
      </c>
      <c r="P66" s="301">
        <f t="shared" si="13"/>
        <v>3079571.896235561</v>
      </c>
      <c r="Q66" s="301">
        <f t="shared" si="13"/>
        <v>3226988.4420252992</v>
      </c>
      <c r="R66" s="301">
        <f t="shared" si="13"/>
        <v>3381261.7599115986</v>
      </c>
      <c r="S66" s="301">
        <f t="shared" si="13"/>
        <v>3542714.1181829995</v>
      </c>
      <c r="T66" s="301">
        <f t="shared" si="13"/>
        <v>3711682.9317375999</v>
      </c>
      <c r="U66" s="301">
        <f t="shared" si="13"/>
        <v>3888521.4739737115</v>
      </c>
      <c r="V66" s="301">
        <f t="shared" si="13"/>
        <v>4073599.622139364</v>
      </c>
      <c r="W66" s="301">
        <f t="shared" si="13"/>
        <v>4267304.637713247</v>
      </c>
      <c r="X66" s="301">
        <f t="shared" si="13"/>
        <v>4470041.9834635472</v>
      </c>
      <c r="Y66" s="301">
        <f t="shared" si="13"/>
        <v>4682236.1789085567</v>
      </c>
      <c r="Z66" s="301">
        <f t="shared" si="13"/>
        <v>4904331.6959839249</v>
      </c>
      <c r="AA66" s="301">
        <f t="shared" si="13"/>
        <v>5136793.8968062801</v>
      </c>
      <c r="AB66" s="301">
        <f t="shared" si="13"/>
        <v>5380110.0155117298</v>
      </c>
      <c r="AC66" s="301">
        <f t="shared" si="13"/>
        <v>5634790.1862407802</v>
      </c>
      <c r="AD66" s="301">
        <f t="shared" si="13"/>
        <v>5901368.5194385406</v>
      </c>
      <c r="AE66" s="301">
        <f t="shared" si="13"/>
        <v>6180404.2287410405</v>
      </c>
      <c r="AF66" s="301">
        <f t="shared" si="13"/>
        <v>6472482.8108252026</v>
      </c>
      <c r="AG66" s="301">
        <f t="shared" si="13"/>
        <v>6776689.5029339865</v>
      </c>
      <c r="AH66" s="301">
        <f t="shared" si="13"/>
        <v>7095193.9095718842</v>
      </c>
      <c r="AI66" s="301">
        <f t="shared" si="13"/>
        <v>7428668.0233217627</v>
      </c>
      <c r="AJ66" s="301">
        <f t="shared" si="13"/>
        <v>7777815.4204178844</v>
      </c>
      <c r="AK66" s="301">
        <f t="shared" si="13"/>
        <v>8143372.7451775251</v>
      </c>
      <c r="AL66" s="301">
        <f t="shared" si="13"/>
        <v>8526111.2642008681</v>
      </c>
      <c r="AM66" s="301">
        <f t="shared" si="13"/>
        <v>8926838.4936183076</v>
      </c>
      <c r="AN66" s="301">
        <f t="shared" si="13"/>
        <v>9346399.9028183687</v>
      </c>
      <c r="AO66" s="301">
        <f t="shared" si="13"/>
        <v>9785680.6982508283</v>
      </c>
      <c r="AP66" s="301">
        <f>AP59+AP60</f>
        <v>10245607.691068618</v>
      </c>
    </row>
    <row r="67" spans="1:45" x14ac:dyDescent="0.2">
      <c r="A67" s="302" t="s">
        <v>255</v>
      </c>
      <c r="B67" s="304"/>
      <c r="C67" s="390">
        <f>-($B$25)*$B$28/$B$27</f>
        <v>-69444.444444444453</v>
      </c>
      <c r="D67" s="390">
        <f>C67</f>
        <v>-69444.444444444453</v>
      </c>
      <c r="E67" s="390">
        <f t="shared" ref="E67:L67" si="14">D67</f>
        <v>-69444.444444444453</v>
      </c>
      <c r="F67" s="390">
        <f t="shared" si="14"/>
        <v>-69444.444444444453</v>
      </c>
      <c r="G67" s="390">
        <f t="shared" si="14"/>
        <v>-69444.444444444453</v>
      </c>
      <c r="H67" s="390">
        <f t="shared" si="14"/>
        <v>-69444.444444444453</v>
      </c>
      <c r="I67" s="390">
        <f t="shared" si="14"/>
        <v>-69444.444444444453</v>
      </c>
      <c r="J67" s="390">
        <f t="shared" si="14"/>
        <v>-69444.444444444453</v>
      </c>
      <c r="K67" s="390">
        <f t="shared" si="14"/>
        <v>-69444.444444444453</v>
      </c>
      <c r="L67" s="390">
        <f t="shared" si="14"/>
        <v>-69444.444444444453</v>
      </c>
      <c r="M67" s="294">
        <f t="shared" ref="M67:AP67" si="15">L67</f>
        <v>-69444.444444444453</v>
      </c>
      <c r="N67" s="294">
        <f t="shared" si="15"/>
        <v>-69444.444444444453</v>
      </c>
      <c r="O67" s="294">
        <f t="shared" si="15"/>
        <v>-69444.444444444453</v>
      </c>
      <c r="P67" s="294">
        <f t="shared" si="15"/>
        <v>-69444.444444444453</v>
      </c>
      <c r="Q67" s="294">
        <f t="shared" si="15"/>
        <v>-69444.444444444453</v>
      </c>
      <c r="R67" s="294">
        <f t="shared" si="15"/>
        <v>-69444.444444444453</v>
      </c>
      <c r="S67" s="294">
        <f t="shared" si="15"/>
        <v>-69444.444444444453</v>
      </c>
      <c r="T67" s="294">
        <f t="shared" si="15"/>
        <v>-69444.444444444453</v>
      </c>
      <c r="U67" s="294">
        <f t="shared" si="15"/>
        <v>-69444.444444444453</v>
      </c>
      <c r="V67" s="294">
        <f t="shared" si="15"/>
        <v>-69444.444444444453</v>
      </c>
      <c r="W67" s="294">
        <f t="shared" si="15"/>
        <v>-69444.444444444453</v>
      </c>
      <c r="X67" s="294">
        <f t="shared" si="15"/>
        <v>-69444.444444444453</v>
      </c>
      <c r="Y67" s="294">
        <f t="shared" si="15"/>
        <v>-69444.444444444453</v>
      </c>
      <c r="Z67" s="294">
        <f t="shared" si="15"/>
        <v>-69444.444444444453</v>
      </c>
      <c r="AA67" s="294">
        <f t="shared" si="15"/>
        <v>-69444.444444444453</v>
      </c>
      <c r="AB67" s="294">
        <f t="shared" si="15"/>
        <v>-69444.444444444453</v>
      </c>
      <c r="AC67" s="294">
        <f t="shared" si="15"/>
        <v>-69444.444444444453</v>
      </c>
      <c r="AD67" s="294">
        <f t="shared" si="15"/>
        <v>-69444.444444444453</v>
      </c>
      <c r="AE67" s="294">
        <f t="shared" si="15"/>
        <v>-69444.444444444453</v>
      </c>
      <c r="AF67" s="294">
        <f t="shared" si="15"/>
        <v>-69444.444444444453</v>
      </c>
      <c r="AG67" s="294">
        <f t="shared" si="15"/>
        <v>-69444.444444444453</v>
      </c>
      <c r="AH67" s="294">
        <f t="shared" si="15"/>
        <v>-69444.444444444453</v>
      </c>
      <c r="AI67" s="294">
        <f t="shared" si="15"/>
        <v>-69444.444444444453</v>
      </c>
      <c r="AJ67" s="294">
        <f t="shared" si="15"/>
        <v>-69444.444444444453</v>
      </c>
      <c r="AK67" s="294">
        <f t="shared" si="15"/>
        <v>-69444.444444444453</v>
      </c>
      <c r="AL67" s="294">
        <f t="shared" si="15"/>
        <v>-69444.444444444453</v>
      </c>
      <c r="AM67" s="294">
        <f t="shared" si="15"/>
        <v>-69444.444444444453</v>
      </c>
      <c r="AN67" s="294">
        <f t="shared" si="15"/>
        <v>-69444.444444444453</v>
      </c>
      <c r="AO67" s="294">
        <f t="shared" si="15"/>
        <v>-69444.444444444453</v>
      </c>
      <c r="AP67" s="294">
        <f t="shared" si="15"/>
        <v>-69444.444444444453</v>
      </c>
      <c r="AQ67" s="305"/>
      <c r="AR67" s="306"/>
      <c r="AS67" s="306"/>
    </row>
    <row r="68" spans="1:45" ht="28.5" x14ac:dyDescent="0.2">
      <c r="A68" s="303" t="s">
        <v>550</v>
      </c>
      <c r="B68" s="301">
        <f t="shared" ref="B68:J68" si="16">B66+B67</f>
        <v>5000047.5</v>
      </c>
      <c r="C68" s="301">
        <f>C66+C67</f>
        <v>-113750</v>
      </c>
      <c r="D68" s="301">
        <f>D66+D67</f>
        <v>195337.71638677077</v>
      </c>
      <c r="E68" s="301">
        <f t="shared" si="16"/>
        <v>422326.9862530785</v>
      </c>
      <c r="F68" s="301">
        <f>F66+C67</f>
        <v>729473.6509553364</v>
      </c>
      <c r="G68" s="301">
        <f t="shared" si="16"/>
        <v>1064171.0466880845</v>
      </c>
      <c r="H68" s="301">
        <f t="shared" si="16"/>
        <v>1428333.830046973</v>
      </c>
      <c r="I68" s="301">
        <f t="shared" si="16"/>
        <v>2146011.0315064117</v>
      </c>
      <c r="J68" s="301">
        <f t="shared" si="16"/>
        <v>2253316.7444316577</v>
      </c>
      <c r="K68" s="301">
        <f>K66+K67</f>
        <v>2365594.020308834</v>
      </c>
      <c r="L68" s="301">
        <f>L66+L67</f>
        <v>2483076.5225966824</v>
      </c>
      <c r="M68" s="301">
        <f t="shared" ref="M68:AO68" si="17">M66+M67</f>
        <v>2606008.8969365042</v>
      </c>
      <c r="N68" s="301">
        <f t="shared" si="17"/>
        <v>2734647.2873147419</v>
      </c>
      <c r="O68" s="301">
        <f t="shared" si="17"/>
        <v>2869259.8764852011</v>
      </c>
      <c r="P68" s="301">
        <f t="shared" si="17"/>
        <v>3010127.4517911165</v>
      </c>
      <c r="Q68" s="301">
        <f t="shared" si="17"/>
        <v>3157543.9975808547</v>
      </c>
      <c r="R68" s="301">
        <f t="shared" si="17"/>
        <v>3311817.3154671541</v>
      </c>
      <c r="S68" s="301">
        <f t="shared" si="17"/>
        <v>3473269.6737385551</v>
      </c>
      <c r="T68" s="301">
        <f t="shared" si="17"/>
        <v>3642238.4872931554</v>
      </c>
      <c r="U68" s="301">
        <f t="shared" si="17"/>
        <v>3819077.029529267</v>
      </c>
      <c r="V68" s="301">
        <f t="shared" si="17"/>
        <v>4004155.1776949195</v>
      </c>
      <c r="W68" s="301">
        <f t="shared" si="17"/>
        <v>4197860.1932688029</v>
      </c>
      <c r="X68" s="301">
        <f t="shared" si="17"/>
        <v>4400597.5390191032</v>
      </c>
      <c r="Y68" s="301">
        <f t="shared" si="17"/>
        <v>4612791.7344641127</v>
      </c>
      <c r="Z68" s="301">
        <f t="shared" si="17"/>
        <v>4834887.2515394809</v>
      </c>
      <c r="AA68" s="301">
        <f t="shared" si="17"/>
        <v>5067349.4523618361</v>
      </c>
      <c r="AB68" s="301">
        <f t="shared" si="17"/>
        <v>5310665.5710672857</v>
      </c>
      <c r="AC68" s="301">
        <f t="shared" si="17"/>
        <v>5565345.7417963361</v>
      </c>
      <c r="AD68" s="301">
        <f t="shared" si="17"/>
        <v>5831924.0749940965</v>
      </c>
      <c r="AE68" s="301">
        <f t="shared" si="17"/>
        <v>6110959.7842965964</v>
      </c>
      <c r="AF68" s="301">
        <f t="shared" si="17"/>
        <v>6403038.3663807586</v>
      </c>
      <c r="AG68" s="301">
        <f t="shared" si="17"/>
        <v>6707245.0584895425</v>
      </c>
      <c r="AH68" s="301">
        <f t="shared" si="17"/>
        <v>7025749.4651274402</v>
      </c>
      <c r="AI68" s="301">
        <f t="shared" si="17"/>
        <v>7359223.5788773187</v>
      </c>
      <c r="AJ68" s="301">
        <f t="shared" si="17"/>
        <v>7708370.9759734403</v>
      </c>
      <c r="AK68" s="301">
        <f t="shared" si="17"/>
        <v>8073928.3007330811</v>
      </c>
      <c r="AL68" s="301">
        <f t="shared" si="17"/>
        <v>8456666.8197564241</v>
      </c>
      <c r="AM68" s="301">
        <f t="shared" si="17"/>
        <v>8857394.0491738636</v>
      </c>
      <c r="AN68" s="301">
        <f t="shared" si="17"/>
        <v>9276955.4583739247</v>
      </c>
      <c r="AO68" s="301">
        <f t="shared" si="17"/>
        <v>9716236.2538063843</v>
      </c>
      <c r="AP68" s="301">
        <f>AP66+AP67</f>
        <v>10176163.246624174</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5000047.5</v>
      </c>
      <c r="C70" s="301">
        <f t="shared" si="19"/>
        <v>-113750</v>
      </c>
      <c r="D70" s="301">
        <f t="shared" si="19"/>
        <v>195337.71638677077</v>
      </c>
      <c r="E70" s="301">
        <f t="shared" si="19"/>
        <v>422326.9862530785</v>
      </c>
      <c r="F70" s="301">
        <f t="shared" si="19"/>
        <v>729473.6509553364</v>
      </c>
      <c r="G70" s="301">
        <f t="shared" si="19"/>
        <v>1064171.0466880845</v>
      </c>
      <c r="H70" s="301">
        <f t="shared" si="19"/>
        <v>1428333.830046973</v>
      </c>
      <c r="I70" s="301">
        <f t="shared" si="19"/>
        <v>2146011.0315064117</v>
      </c>
      <c r="J70" s="301">
        <f t="shared" si="19"/>
        <v>2253316.7444316577</v>
      </c>
      <c r="K70" s="301">
        <f t="shared" si="19"/>
        <v>2365594.020308834</v>
      </c>
      <c r="L70" s="301">
        <f t="shared" si="19"/>
        <v>2483076.5225966824</v>
      </c>
      <c r="M70" s="301">
        <f t="shared" si="19"/>
        <v>2606008.8969365042</v>
      </c>
      <c r="N70" s="301">
        <f t="shared" si="19"/>
        <v>2734647.2873147419</v>
      </c>
      <c r="O70" s="301">
        <f t="shared" si="19"/>
        <v>2869259.8764852011</v>
      </c>
      <c r="P70" s="301">
        <f t="shared" si="19"/>
        <v>3010127.4517911165</v>
      </c>
      <c r="Q70" s="301">
        <f t="shared" si="19"/>
        <v>3157543.9975808547</v>
      </c>
      <c r="R70" s="301">
        <f t="shared" si="19"/>
        <v>3311817.3154671541</v>
      </c>
      <c r="S70" s="301">
        <f t="shared" si="19"/>
        <v>3473269.6737385551</v>
      </c>
      <c r="T70" s="301">
        <f t="shared" si="19"/>
        <v>3642238.4872931554</v>
      </c>
      <c r="U70" s="301">
        <f t="shared" si="19"/>
        <v>3819077.029529267</v>
      </c>
      <c r="V70" s="301">
        <f t="shared" si="19"/>
        <v>4004155.1776949195</v>
      </c>
      <c r="W70" s="301">
        <f t="shared" si="19"/>
        <v>4197860.1932688029</v>
      </c>
      <c r="X70" s="301">
        <f t="shared" si="19"/>
        <v>4400597.5390191032</v>
      </c>
      <c r="Y70" s="301">
        <f t="shared" si="19"/>
        <v>4612791.7344641127</v>
      </c>
      <c r="Z70" s="301">
        <f t="shared" si="19"/>
        <v>4834887.2515394809</v>
      </c>
      <c r="AA70" s="301">
        <f t="shared" si="19"/>
        <v>5067349.4523618361</v>
      </c>
      <c r="AB70" s="301">
        <f t="shared" si="19"/>
        <v>5310665.5710672857</v>
      </c>
      <c r="AC70" s="301">
        <f t="shared" si="19"/>
        <v>5565345.7417963361</v>
      </c>
      <c r="AD70" s="301">
        <f t="shared" si="19"/>
        <v>5831924.0749940965</v>
      </c>
      <c r="AE70" s="301">
        <f t="shared" si="19"/>
        <v>6110959.7842965964</v>
      </c>
      <c r="AF70" s="301">
        <f t="shared" si="19"/>
        <v>6403038.3663807586</v>
      </c>
      <c r="AG70" s="301">
        <f t="shared" si="19"/>
        <v>6707245.0584895425</v>
      </c>
      <c r="AH70" s="301">
        <f t="shared" si="19"/>
        <v>7025749.4651274402</v>
      </c>
      <c r="AI70" s="301">
        <f t="shared" si="19"/>
        <v>7359223.5788773187</v>
      </c>
      <c r="AJ70" s="301">
        <f t="shared" si="19"/>
        <v>7708370.9759734403</v>
      </c>
      <c r="AK70" s="301">
        <f t="shared" si="19"/>
        <v>8073928.3007330811</v>
      </c>
      <c r="AL70" s="301">
        <f t="shared" si="19"/>
        <v>8456666.8197564241</v>
      </c>
      <c r="AM70" s="301">
        <f t="shared" si="19"/>
        <v>8857394.0491738636</v>
      </c>
      <c r="AN70" s="301">
        <f t="shared" si="19"/>
        <v>9276955.4583739247</v>
      </c>
      <c r="AO70" s="301">
        <f t="shared" si="19"/>
        <v>9716236.2538063843</v>
      </c>
      <c r="AP70" s="301">
        <f>AP68+AP69</f>
        <v>10176163.246624174</v>
      </c>
    </row>
    <row r="71" spans="1:45" x14ac:dyDescent="0.2">
      <c r="A71" s="302" t="s">
        <v>253</v>
      </c>
      <c r="B71" s="294">
        <f t="shared" ref="B71:AP71" si="20">-B70*$B$36</f>
        <v>-1000009.5</v>
      </c>
      <c r="C71" s="294">
        <f t="shared" si="20"/>
        <v>22750</v>
      </c>
      <c r="D71" s="294">
        <f t="shared" si="20"/>
        <v>-39067.543277354154</v>
      </c>
      <c r="E71" s="294">
        <f t="shared" si="20"/>
        <v>-84465.397250615701</v>
      </c>
      <c r="F71" s="294">
        <f t="shared" si="20"/>
        <v>-145894.7301910673</v>
      </c>
      <c r="G71" s="294">
        <f t="shared" si="20"/>
        <v>-212834.20933761692</v>
      </c>
      <c r="H71" s="294">
        <f t="shared" si="20"/>
        <v>-285666.7660093946</v>
      </c>
      <c r="I71" s="294">
        <f t="shared" si="20"/>
        <v>-429202.20630128239</v>
      </c>
      <c r="J71" s="294">
        <f t="shared" si="20"/>
        <v>-450663.34888633154</v>
      </c>
      <c r="K71" s="294">
        <f t="shared" si="20"/>
        <v>-473118.80406176683</v>
      </c>
      <c r="L71" s="294">
        <f t="shared" si="20"/>
        <v>-496615.3045193365</v>
      </c>
      <c r="M71" s="294">
        <f t="shared" si="20"/>
        <v>-521201.77938730083</v>
      </c>
      <c r="N71" s="294">
        <f t="shared" si="20"/>
        <v>-546929.4574629484</v>
      </c>
      <c r="O71" s="294">
        <f t="shared" si="20"/>
        <v>-573851.97529704019</v>
      </c>
      <c r="P71" s="294">
        <f t="shared" si="20"/>
        <v>-602025.49035822332</v>
      </c>
      <c r="Q71" s="294">
        <f t="shared" si="20"/>
        <v>-631508.79951617098</v>
      </c>
      <c r="R71" s="294">
        <f t="shared" si="20"/>
        <v>-662363.46309343085</v>
      </c>
      <c r="S71" s="294">
        <f t="shared" si="20"/>
        <v>-694653.93474771106</v>
      </c>
      <c r="T71" s="294">
        <f t="shared" si="20"/>
        <v>-728447.69745863113</v>
      </c>
      <c r="U71" s="294">
        <f t="shared" si="20"/>
        <v>-763815.40590585349</v>
      </c>
      <c r="V71" s="294">
        <f t="shared" si="20"/>
        <v>-800831.035538984</v>
      </c>
      <c r="W71" s="294">
        <f t="shared" si="20"/>
        <v>-839572.03865376068</v>
      </c>
      <c r="X71" s="294">
        <f t="shared" si="20"/>
        <v>-880119.50780382066</v>
      </c>
      <c r="Y71" s="294">
        <f t="shared" si="20"/>
        <v>-922558.34689282253</v>
      </c>
      <c r="Z71" s="294">
        <f t="shared" si="20"/>
        <v>-966977.45030789624</v>
      </c>
      <c r="AA71" s="294">
        <f t="shared" si="20"/>
        <v>-1013469.8904723673</v>
      </c>
      <c r="AB71" s="294">
        <f t="shared" si="20"/>
        <v>-1062133.1142134571</v>
      </c>
      <c r="AC71" s="294">
        <f t="shared" si="20"/>
        <v>-1113069.1483592673</v>
      </c>
      <c r="AD71" s="294">
        <f t="shared" si="20"/>
        <v>-1166384.8149988193</v>
      </c>
      <c r="AE71" s="294">
        <f t="shared" si="20"/>
        <v>-1222191.9568593192</v>
      </c>
      <c r="AF71" s="294">
        <f t="shared" si="20"/>
        <v>-1280607.6732761518</v>
      </c>
      <c r="AG71" s="294">
        <f t="shared" si="20"/>
        <v>-1341449.0116979086</v>
      </c>
      <c r="AH71" s="294">
        <f t="shared" si="20"/>
        <v>-1405149.8930254881</v>
      </c>
      <c r="AI71" s="294">
        <f t="shared" si="20"/>
        <v>-1471844.7157754637</v>
      </c>
      <c r="AJ71" s="294">
        <f t="shared" si="20"/>
        <v>-1541674.1951946882</v>
      </c>
      <c r="AK71" s="294">
        <f t="shared" si="20"/>
        <v>-1614785.6601466164</v>
      </c>
      <c r="AL71" s="294">
        <f t="shared" si="20"/>
        <v>-1691333.3639512849</v>
      </c>
      <c r="AM71" s="294">
        <f t="shared" si="20"/>
        <v>-1771478.8098347727</v>
      </c>
      <c r="AN71" s="294">
        <f t="shared" si="20"/>
        <v>-1855391.0916747851</v>
      </c>
      <c r="AO71" s="294">
        <f t="shared" si="20"/>
        <v>-1943247.250761277</v>
      </c>
      <c r="AP71" s="294">
        <f t="shared" si="20"/>
        <v>-2035232.6493248348</v>
      </c>
    </row>
    <row r="72" spans="1:45" ht="15" thickBot="1" x14ac:dyDescent="0.25">
      <c r="A72" s="307" t="s">
        <v>257</v>
      </c>
      <c r="B72" s="308">
        <f t="shared" ref="B72:AO72" si="21">B70+B71</f>
        <v>4000038</v>
      </c>
      <c r="C72" s="308">
        <f t="shared" si="21"/>
        <v>-91000</v>
      </c>
      <c r="D72" s="308">
        <f t="shared" si="21"/>
        <v>156270.17310941662</v>
      </c>
      <c r="E72" s="308">
        <f t="shared" si="21"/>
        <v>337861.5890024628</v>
      </c>
      <c r="F72" s="308">
        <f t="shared" si="21"/>
        <v>583578.92076426907</v>
      </c>
      <c r="G72" s="308">
        <f t="shared" si="21"/>
        <v>851336.83735046757</v>
      </c>
      <c r="H72" s="308">
        <f t="shared" si="21"/>
        <v>1142667.0640375784</v>
      </c>
      <c r="I72" s="308">
        <f t="shared" si="21"/>
        <v>1716808.8252051293</v>
      </c>
      <c r="J72" s="308">
        <f t="shared" si="21"/>
        <v>1802653.3955453262</v>
      </c>
      <c r="K72" s="308">
        <f t="shared" si="21"/>
        <v>1892475.2162470673</v>
      </c>
      <c r="L72" s="308">
        <f t="shared" si="21"/>
        <v>1986461.218077346</v>
      </c>
      <c r="M72" s="308">
        <f t="shared" si="21"/>
        <v>2084807.1175492033</v>
      </c>
      <c r="N72" s="308">
        <f t="shared" si="21"/>
        <v>2187717.8298517936</v>
      </c>
      <c r="O72" s="308">
        <f t="shared" si="21"/>
        <v>2295407.9011881608</v>
      </c>
      <c r="P72" s="308">
        <f t="shared" si="21"/>
        <v>2408101.9614328933</v>
      </c>
      <c r="Q72" s="308">
        <f t="shared" si="21"/>
        <v>2526035.1980646839</v>
      </c>
      <c r="R72" s="308">
        <f t="shared" si="21"/>
        <v>2649453.8523737234</v>
      </c>
      <c r="S72" s="308">
        <f t="shared" si="21"/>
        <v>2778615.7389908442</v>
      </c>
      <c r="T72" s="308">
        <f t="shared" si="21"/>
        <v>2913790.7898345245</v>
      </c>
      <c r="U72" s="308">
        <f t="shared" si="21"/>
        <v>3055261.6236234135</v>
      </c>
      <c r="V72" s="308">
        <f t="shared" si="21"/>
        <v>3203324.1421559355</v>
      </c>
      <c r="W72" s="308">
        <f t="shared" si="21"/>
        <v>3358288.1546150423</v>
      </c>
      <c r="X72" s="308">
        <f t="shared" si="21"/>
        <v>3520478.0312152826</v>
      </c>
      <c r="Y72" s="308">
        <f t="shared" si="21"/>
        <v>3690233.3875712901</v>
      </c>
      <c r="Z72" s="308">
        <f t="shared" si="21"/>
        <v>3867909.8012315845</v>
      </c>
      <c r="AA72" s="308">
        <f t="shared" si="21"/>
        <v>4053879.5618894687</v>
      </c>
      <c r="AB72" s="308">
        <f t="shared" si="21"/>
        <v>4248532.4568538284</v>
      </c>
      <c r="AC72" s="308">
        <f t="shared" si="21"/>
        <v>4452276.5934370691</v>
      </c>
      <c r="AD72" s="308">
        <f t="shared" si="21"/>
        <v>4665539.259995277</v>
      </c>
      <c r="AE72" s="308">
        <f t="shared" si="21"/>
        <v>4888767.827437277</v>
      </c>
      <c r="AF72" s="308">
        <f t="shared" si="21"/>
        <v>5122430.6931046071</v>
      </c>
      <c r="AG72" s="308">
        <f t="shared" si="21"/>
        <v>5365796.0467916336</v>
      </c>
      <c r="AH72" s="308">
        <f t="shared" si="21"/>
        <v>5620599.5721019525</v>
      </c>
      <c r="AI72" s="308">
        <f t="shared" si="21"/>
        <v>5887378.8631018549</v>
      </c>
      <c r="AJ72" s="308">
        <f t="shared" si="21"/>
        <v>6166696.7807787526</v>
      </c>
      <c r="AK72" s="308">
        <f t="shared" si="21"/>
        <v>6459142.6405864647</v>
      </c>
      <c r="AL72" s="308">
        <f t="shared" si="21"/>
        <v>6765333.4558051396</v>
      </c>
      <c r="AM72" s="308">
        <f t="shared" si="21"/>
        <v>7085915.2393390909</v>
      </c>
      <c r="AN72" s="308">
        <f t="shared" si="21"/>
        <v>7421564.3666991396</v>
      </c>
      <c r="AO72" s="308">
        <f t="shared" si="21"/>
        <v>7772989.0030451072</v>
      </c>
      <c r="AP72" s="308">
        <f>AP70+AP71</f>
        <v>8140930.5972993392</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5000047.5</v>
      </c>
      <c r="C75" s="301">
        <f t="shared" si="24"/>
        <v>-113750</v>
      </c>
      <c r="D75" s="301">
        <f>D68</f>
        <v>195337.71638677077</v>
      </c>
      <c r="E75" s="301">
        <f t="shared" si="24"/>
        <v>422326.9862530785</v>
      </c>
      <c r="F75" s="301">
        <f t="shared" si="24"/>
        <v>729473.6509553364</v>
      </c>
      <c r="G75" s="301">
        <f t="shared" si="24"/>
        <v>1064171.0466880845</v>
      </c>
      <c r="H75" s="301">
        <f t="shared" si="24"/>
        <v>1428333.830046973</v>
      </c>
      <c r="I75" s="301">
        <f t="shared" si="24"/>
        <v>2146011.0315064117</v>
      </c>
      <c r="J75" s="301">
        <f t="shared" si="24"/>
        <v>2253316.7444316577</v>
      </c>
      <c r="K75" s="301">
        <f t="shared" si="24"/>
        <v>2365594.020308834</v>
      </c>
      <c r="L75" s="301">
        <f t="shared" si="24"/>
        <v>2483076.5225966824</v>
      </c>
      <c r="M75" s="301">
        <f t="shared" si="24"/>
        <v>2606008.8969365042</v>
      </c>
      <c r="N75" s="301">
        <f t="shared" si="24"/>
        <v>2734647.2873147419</v>
      </c>
      <c r="O75" s="301">
        <f t="shared" si="24"/>
        <v>2869259.8764852011</v>
      </c>
      <c r="P75" s="301">
        <f t="shared" si="24"/>
        <v>3010127.4517911165</v>
      </c>
      <c r="Q75" s="301">
        <f t="shared" si="24"/>
        <v>3157543.9975808547</v>
      </c>
      <c r="R75" s="301">
        <f t="shared" si="24"/>
        <v>3311817.3154671541</v>
      </c>
      <c r="S75" s="301">
        <f t="shared" si="24"/>
        <v>3473269.6737385551</v>
      </c>
      <c r="T75" s="301">
        <f t="shared" si="24"/>
        <v>3642238.4872931554</v>
      </c>
      <c r="U75" s="301">
        <f t="shared" si="24"/>
        <v>3819077.029529267</v>
      </c>
      <c r="V75" s="301">
        <f t="shared" si="24"/>
        <v>4004155.1776949195</v>
      </c>
      <c r="W75" s="301">
        <f t="shared" si="24"/>
        <v>4197860.1932688029</v>
      </c>
      <c r="X75" s="301">
        <f t="shared" si="24"/>
        <v>4400597.5390191032</v>
      </c>
      <c r="Y75" s="301">
        <f t="shared" si="24"/>
        <v>4612791.7344641127</v>
      </c>
      <c r="Z75" s="301">
        <f t="shared" si="24"/>
        <v>4834887.2515394809</v>
      </c>
      <c r="AA75" s="301">
        <f t="shared" si="24"/>
        <v>5067349.4523618361</v>
      </c>
      <c r="AB75" s="301">
        <f t="shared" si="24"/>
        <v>5310665.5710672857</v>
      </c>
      <c r="AC75" s="301">
        <f t="shared" si="24"/>
        <v>5565345.7417963361</v>
      </c>
      <c r="AD75" s="301">
        <f t="shared" si="24"/>
        <v>5831924.0749940965</v>
      </c>
      <c r="AE75" s="301">
        <f t="shared" si="24"/>
        <v>6110959.7842965964</v>
      </c>
      <c r="AF75" s="301">
        <f t="shared" si="24"/>
        <v>6403038.3663807586</v>
      </c>
      <c r="AG75" s="301">
        <f t="shared" si="24"/>
        <v>6707245.0584895425</v>
      </c>
      <c r="AH75" s="301">
        <f t="shared" si="24"/>
        <v>7025749.4651274402</v>
      </c>
      <c r="AI75" s="301">
        <f t="shared" si="24"/>
        <v>7359223.5788773187</v>
      </c>
      <c r="AJ75" s="301">
        <f t="shared" si="24"/>
        <v>7708370.9759734403</v>
      </c>
      <c r="AK75" s="301">
        <f t="shared" si="24"/>
        <v>8073928.3007330811</v>
      </c>
      <c r="AL75" s="301">
        <f t="shared" si="24"/>
        <v>8456666.8197564241</v>
      </c>
      <c r="AM75" s="301">
        <f t="shared" si="24"/>
        <v>8857394.0491738636</v>
      </c>
      <c r="AN75" s="301">
        <f t="shared" si="24"/>
        <v>9276955.4583739247</v>
      </c>
      <c r="AO75" s="301">
        <f t="shared" si="24"/>
        <v>9716236.2538063843</v>
      </c>
      <c r="AP75" s="301">
        <f>AP68</f>
        <v>10176163.246624174</v>
      </c>
    </row>
    <row r="76" spans="1:45" x14ac:dyDescent="0.2">
      <c r="A76" s="302" t="s">
        <v>255</v>
      </c>
      <c r="B76" s="294">
        <f t="shared" ref="B76:AO76" si="25">-B67</f>
        <v>0</v>
      </c>
      <c r="C76" s="294">
        <f>-C67</f>
        <v>69444.444444444453</v>
      </c>
      <c r="D76" s="294">
        <f t="shared" si="25"/>
        <v>69444.444444444453</v>
      </c>
      <c r="E76" s="294">
        <f t="shared" si="25"/>
        <v>69444.444444444453</v>
      </c>
      <c r="F76" s="294">
        <f>-C67</f>
        <v>69444.444444444453</v>
      </c>
      <c r="G76" s="294">
        <f t="shared" si="25"/>
        <v>69444.444444444453</v>
      </c>
      <c r="H76" s="294">
        <f t="shared" si="25"/>
        <v>69444.444444444453</v>
      </c>
      <c r="I76" s="294">
        <f t="shared" si="25"/>
        <v>69444.444444444453</v>
      </c>
      <c r="J76" s="294">
        <f t="shared" si="25"/>
        <v>69444.444444444453</v>
      </c>
      <c r="K76" s="294">
        <f t="shared" si="25"/>
        <v>69444.444444444453</v>
      </c>
      <c r="L76" s="294">
        <f>-L67</f>
        <v>69444.444444444453</v>
      </c>
      <c r="M76" s="294">
        <f>-M67</f>
        <v>69444.444444444453</v>
      </c>
      <c r="N76" s="294">
        <f t="shared" si="25"/>
        <v>69444.444444444453</v>
      </c>
      <c r="O76" s="294">
        <f t="shared" si="25"/>
        <v>69444.444444444453</v>
      </c>
      <c r="P76" s="294">
        <f t="shared" si="25"/>
        <v>69444.444444444453</v>
      </c>
      <c r="Q76" s="294">
        <f t="shared" si="25"/>
        <v>69444.444444444453</v>
      </c>
      <c r="R76" s="294">
        <f t="shared" si="25"/>
        <v>69444.444444444453</v>
      </c>
      <c r="S76" s="294">
        <f t="shared" si="25"/>
        <v>69444.444444444453</v>
      </c>
      <c r="T76" s="294">
        <f t="shared" si="25"/>
        <v>69444.444444444453</v>
      </c>
      <c r="U76" s="294">
        <f t="shared" si="25"/>
        <v>69444.444444444453</v>
      </c>
      <c r="V76" s="294">
        <f t="shared" si="25"/>
        <v>69444.444444444453</v>
      </c>
      <c r="W76" s="294">
        <f t="shared" si="25"/>
        <v>69444.444444444453</v>
      </c>
      <c r="X76" s="294">
        <f t="shared" si="25"/>
        <v>69444.444444444453</v>
      </c>
      <c r="Y76" s="294">
        <f t="shared" si="25"/>
        <v>69444.444444444453</v>
      </c>
      <c r="Z76" s="294">
        <f t="shared" si="25"/>
        <v>69444.444444444453</v>
      </c>
      <c r="AA76" s="294">
        <f t="shared" si="25"/>
        <v>69444.444444444453</v>
      </c>
      <c r="AB76" s="294">
        <f t="shared" si="25"/>
        <v>69444.444444444453</v>
      </c>
      <c r="AC76" s="294">
        <f t="shared" si="25"/>
        <v>69444.444444444453</v>
      </c>
      <c r="AD76" s="294">
        <f t="shared" si="25"/>
        <v>69444.444444444453</v>
      </c>
      <c r="AE76" s="294">
        <f t="shared" si="25"/>
        <v>69444.444444444453</v>
      </c>
      <c r="AF76" s="294">
        <f t="shared" si="25"/>
        <v>69444.444444444453</v>
      </c>
      <c r="AG76" s="294">
        <f t="shared" si="25"/>
        <v>69444.444444444453</v>
      </c>
      <c r="AH76" s="294">
        <f t="shared" si="25"/>
        <v>69444.444444444453</v>
      </c>
      <c r="AI76" s="294">
        <f t="shared" si="25"/>
        <v>69444.444444444453</v>
      </c>
      <c r="AJ76" s="294">
        <f t="shared" si="25"/>
        <v>69444.444444444453</v>
      </c>
      <c r="AK76" s="294">
        <f t="shared" si="25"/>
        <v>69444.444444444453</v>
      </c>
      <c r="AL76" s="294">
        <f t="shared" si="25"/>
        <v>69444.444444444453</v>
      </c>
      <c r="AM76" s="294">
        <f t="shared" si="25"/>
        <v>69444.444444444453</v>
      </c>
      <c r="AN76" s="294">
        <f t="shared" si="25"/>
        <v>69444.444444444453</v>
      </c>
      <c r="AO76" s="294">
        <f t="shared" si="25"/>
        <v>69444.444444444453</v>
      </c>
      <c r="AP76" s="294">
        <f>-AP67</f>
        <v>69444.444444444453</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-1000009.5</v>
      </c>
      <c r="C78" s="294">
        <f>IF(SUM($B$71:C71)+SUM($A$78:B78)&gt;0,0,SUM($B$71:C71)-SUM($A$78:B78))</f>
        <v>22750</v>
      </c>
      <c r="D78" s="294">
        <f>IF(SUM($B$71:D71)+SUM($A$78:C78)&gt;0,0,SUM($B$71:D71)-SUM($A$78:C78))</f>
        <v>-39067.543277354212</v>
      </c>
      <c r="E78" s="294">
        <f>IF(SUM($B$71:E71)+SUM($A$78:D78)&gt;0,0,SUM($B$71:E71)-SUM($A$78:D78))</f>
        <v>-84465.397250615759</v>
      </c>
      <c r="F78" s="294">
        <f>IF(SUM($B$71:F71)+SUM($A$78:E78)&gt;0,0,SUM($B$71:F71)-SUM($A$78:E78))</f>
        <v>-145894.73019106733</v>
      </c>
      <c r="G78" s="294">
        <f>IF(SUM($B$71:G71)+SUM($A$78:F78)&gt;0,0,SUM($B$71:G71)-SUM($A$78:F78))</f>
        <v>-212834.2093376168</v>
      </c>
      <c r="H78" s="294">
        <f>IF(SUM($B$71:H71)+SUM($A$78:G78)&gt;0,0,SUM($B$71:H71)-SUM($A$78:G78))</f>
        <v>-285666.76600939455</v>
      </c>
      <c r="I78" s="294">
        <f>IF(SUM($B$71:I71)+SUM($A$78:H78)&gt;0,0,SUM($B$71:I71)-SUM($A$78:H78))</f>
        <v>-429202.20630128263</v>
      </c>
      <c r="J78" s="294">
        <f>IF(SUM($B$71:J71)+SUM($A$78:I78)&gt;0,0,SUM($B$71:J71)-SUM($A$78:I78))</f>
        <v>-450663.34888633154</v>
      </c>
      <c r="K78" s="294">
        <f>IF(SUM($B$71:K71)+SUM($A$78:J78)&gt;0,0,SUM($B$71:K71)-SUM($A$78:J78))</f>
        <v>-473118.80406176671</v>
      </c>
      <c r="L78" s="294">
        <f>IF(SUM($B$71:L71)+SUM($A$78:K78)&gt;0,0,SUM($B$71:L71)-SUM($A$78:K78))</f>
        <v>-496615.30451933667</v>
      </c>
      <c r="M78" s="294">
        <f>IF(SUM($B$71:M71)+SUM($A$78:L78)&gt;0,0,SUM($B$71:M71)-SUM($A$78:L78))</f>
        <v>-521201.77938730083</v>
      </c>
      <c r="N78" s="294">
        <f>IF(SUM($B$71:N71)+SUM($A$78:M78)&gt;0,0,SUM($B$71:N71)-SUM($A$78:M78))</f>
        <v>-546929.45746294875</v>
      </c>
      <c r="O78" s="294">
        <f>IF(SUM($B$71:O71)+SUM($A$78:N78)&gt;0,0,SUM($B$71:O71)-SUM($A$78:N78))</f>
        <v>-573851.97529704031</v>
      </c>
      <c r="P78" s="294">
        <f>IF(SUM($B$71:P71)+SUM($A$78:O78)&gt;0,0,SUM($B$71:P71)-SUM($A$78:O78))</f>
        <v>-602025.49035822321</v>
      </c>
      <c r="Q78" s="294">
        <f>IF(SUM($B$71:Q71)+SUM($A$78:P78)&gt;0,0,SUM($B$71:Q71)-SUM($A$78:P78))</f>
        <v>-631508.79951617122</v>
      </c>
      <c r="R78" s="294">
        <f>IF(SUM($B$71:R71)+SUM($A$78:Q78)&gt;0,0,SUM($B$71:R71)-SUM($A$78:Q78))</f>
        <v>-662363.46309343074</v>
      </c>
      <c r="S78" s="294">
        <f>IF(SUM($B$71:S71)+SUM($A$78:R78)&gt;0,0,SUM($B$71:S71)-SUM($A$78:R78))</f>
        <v>-694653.93474771082</v>
      </c>
      <c r="T78" s="294">
        <f>IF(SUM($B$71:T71)+SUM($A$78:S78)&gt;0,0,SUM($B$71:T71)-SUM($A$78:S78))</f>
        <v>-728447.69745863136</v>
      </c>
      <c r="U78" s="294">
        <f>IF(SUM($B$71:U71)+SUM($A$78:T78)&gt;0,0,SUM($B$71:U71)-SUM($A$78:T78))</f>
        <v>-763815.40590585396</v>
      </c>
      <c r="V78" s="294">
        <f>IF(SUM($B$71:V71)+SUM($A$78:U78)&gt;0,0,SUM($B$71:V71)-SUM($A$78:U78))</f>
        <v>-800831.03553898446</v>
      </c>
      <c r="W78" s="294">
        <f>IF(SUM($B$71:W71)+SUM($A$78:V78)&gt;0,0,SUM($B$71:W71)-SUM($A$78:V78))</f>
        <v>-839572.03865376115</v>
      </c>
      <c r="X78" s="294">
        <f>IF(SUM($B$71:X71)+SUM($A$78:W78)&gt;0,0,SUM($B$71:X71)-SUM($A$78:W78))</f>
        <v>-880119.50780382007</v>
      </c>
      <c r="Y78" s="294">
        <f>IF(SUM($B$71:Y71)+SUM($A$78:X78)&gt;0,0,SUM($B$71:Y71)-SUM($A$78:X78))</f>
        <v>-922558.34689282253</v>
      </c>
      <c r="Z78" s="294">
        <f>IF(SUM($B$71:Z71)+SUM($A$78:Y78)&gt;0,0,SUM($B$71:Z71)-SUM($A$78:Y78))</f>
        <v>-966977.45030789636</v>
      </c>
      <c r="AA78" s="294">
        <f>IF(SUM($B$71:AA71)+SUM($A$78:Z78)&gt;0,0,SUM($B$71:AA71)-SUM($A$78:Z78))</f>
        <v>-1013469.8904723674</v>
      </c>
      <c r="AB78" s="294">
        <f>IF(SUM($B$71:AB71)+SUM($A$78:AA78)&gt;0,0,SUM($B$71:AB71)-SUM($A$78:AA78))</f>
        <v>-1062133.1142134573</v>
      </c>
      <c r="AC78" s="294">
        <f>IF(SUM($B$71:AC71)+SUM($A$78:AB78)&gt;0,0,SUM($B$71:AC71)-SUM($A$78:AB78))</f>
        <v>-1113069.1483592689</v>
      </c>
      <c r="AD78" s="294">
        <f>IF(SUM($B$71:AD71)+SUM($A$78:AC78)&gt;0,0,SUM($B$71:AD71)-SUM($A$78:AC78))</f>
        <v>-1166384.8149988204</v>
      </c>
      <c r="AE78" s="294">
        <f>IF(SUM($B$71:AE71)+SUM($A$78:AD78)&gt;0,0,SUM($B$71:AE71)-SUM($A$78:AD78))</f>
        <v>-1222191.9568593204</v>
      </c>
      <c r="AF78" s="294">
        <f>IF(SUM($B$71:AF71)+SUM($A$78:AE78)&gt;0,0,SUM($B$71:AF71)-SUM($A$78:AE78))</f>
        <v>-1280607.6732761525</v>
      </c>
      <c r="AG78" s="294">
        <f>IF(SUM($B$71:AG71)+SUM($A$78:AF78)&gt;0,0,SUM($B$71:AG71)-SUM($A$78:AF78))</f>
        <v>-1341449.011697907</v>
      </c>
      <c r="AH78" s="294">
        <f>IF(SUM($B$71:AH71)+SUM($A$78:AG78)&gt;0,0,SUM($B$71:AH71)-SUM($A$78:AG78))</f>
        <v>-1405149.8930254877</v>
      </c>
      <c r="AI78" s="294">
        <f>IF(SUM($B$71:AI71)+SUM($A$78:AH78)&gt;0,0,SUM($B$71:AI71)-SUM($A$78:AH78))</f>
        <v>-1471844.7157754637</v>
      </c>
      <c r="AJ78" s="294">
        <f>IF(SUM($B$71:AJ71)+SUM($A$78:AI78)&gt;0,0,SUM($B$71:AJ71)-SUM($A$78:AI78))</f>
        <v>-1541674.1951946877</v>
      </c>
      <c r="AK78" s="294">
        <f>IF(SUM($B$71:AK71)+SUM($A$78:AJ78)&gt;0,0,SUM($B$71:AK71)-SUM($A$78:AJ78))</f>
        <v>-1614785.6601466164</v>
      </c>
      <c r="AL78" s="294">
        <f>IF(SUM($B$71:AL71)+SUM($A$78:AK78)&gt;0,0,SUM($B$71:AL71)-SUM($A$78:AK78))</f>
        <v>-1691333.3639512844</v>
      </c>
      <c r="AM78" s="294">
        <f>IF(SUM($B$71:AM71)+SUM($A$78:AL78)&gt;0,0,SUM($B$71:AM71)-SUM($A$78:AL78))</f>
        <v>-1771478.8098347709</v>
      </c>
      <c r="AN78" s="294">
        <f>IF(SUM($B$71:AN71)+SUM($A$78:AM78)&gt;0,0,SUM($B$71:AN71)-SUM($A$78:AM78))</f>
        <v>-1855391.0916747861</v>
      </c>
      <c r="AO78" s="294">
        <f>IF(SUM($B$71:AO71)+SUM($A$78:AN78)&gt;0,0,SUM($B$71:AO71)-SUM($A$78:AN78))</f>
        <v>-1943247.2507612742</v>
      </c>
      <c r="AP78" s="294">
        <f>IF(SUM($B$71:AP71)+SUM($A$78:AO78)&gt;0,0,SUM($B$71:AP71)-SUM($A$78:AO78))</f>
        <v>-2035232.6493248343</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-2500000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-2500000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4" t="s">
        <v>562</v>
      </c>
      <c r="B97" s="484"/>
      <c r="C97" s="484"/>
      <c r="D97" s="484"/>
      <c r="E97" s="484"/>
      <c r="F97" s="484"/>
      <c r="G97" s="484"/>
      <c r="H97" s="484"/>
      <c r="I97" s="484"/>
      <c r="J97" s="484"/>
      <c r="K97" s="484"/>
      <c r="L97" s="484"/>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-2385066.2470890721</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-2385066.2470890721</v>
      </c>
      <c r="AR99" s="324"/>
      <c r="AS99" s="324"/>
    </row>
    <row r="100" spans="1:71" s="328" customFormat="1" hidden="1" x14ac:dyDescent="0.2">
      <c r="A100" s="326">
        <f>AQ99</f>
        <v>-2385066.2470890721</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190997.69333400001</v>
      </c>
      <c r="I108" s="342">
        <f t="shared" si="38"/>
        <v>381995.38666800002</v>
      </c>
      <c r="J108" s="342">
        <f t="shared" si="38"/>
        <v>572993.08000200009</v>
      </c>
      <c r="K108" s="342">
        <f t="shared" si="38"/>
        <v>763990.77333600004</v>
      </c>
      <c r="L108" s="342">
        <f t="shared" si="38"/>
        <v>954988.46667000011</v>
      </c>
      <c r="M108" s="342">
        <f t="shared" si="38"/>
        <v>1336983.8533380001</v>
      </c>
      <c r="N108" s="342">
        <f t="shared" si="38"/>
        <v>1336983.8533380001</v>
      </c>
      <c r="O108" s="342">
        <f t="shared" si="38"/>
        <v>1336983.8533380001</v>
      </c>
      <c r="P108" s="342">
        <f t="shared" si="38"/>
        <v>1336983.8533380001</v>
      </c>
      <c r="Q108" s="342">
        <f t="shared" si="38"/>
        <v>1336983.8533380001</v>
      </c>
      <c r="R108" s="342">
        <f t="shared" si="38"/>
        <v>1336983.8533380001</v>
      </c>
      <c r="S108" s="342">
        <f t="shared" si="38"/>
        <v>1336983.8533380001</v>
      </c>
      <c r="T108" s="342">
        <f t="shared" si="38"/>
        <v>1336983.8533380001</v>
      </c>
      <c r="U108" s="342">
        <f t="shared" si="38"/>
        <v>1336983.8533380001</v>
      </c>
      <c r="V108" s="342">
        <f t="shared" si="38"/>
        <v>1336983.8533380001</v>
      </c>
      <c r="W108" s="342">
        <f t="shared" si="38"/>
        <v>1336983.8533380001</v>
      </c>
      <c r="X108" s="342">
        <f t="shared" si="38"/>
        <v>1336983.8533380001</v>
      </c>
      <c r="Y108" s="342">
        <f t="shared" si="38"/>
        <v>1336983.8533380001</v>
      </c>
      <c r="Z108" s="342">
        <f t="shared" si="38"/>
        <v>1336983.8533380001</v>
      </c>
      <c r="AA108" s="342">
        <f t="shared" si="38"/>
        <v>1336983.8533380001</v>
      </c>
      <c r="AB108" s="342">
        <f t="shared" si="38"/>
        <v>1336983.8533380001</v>
      </c>
      <c r="AC108" s="342">
        <f t="shared" si="38"/>
        <v>1336983.8533380001</v>
      </c>
      <c r="AD108" s="342">
        <f t="shared" si="38"/>
        <v>1336983.8533380001</v>
      </c>
      <c r="AE108" s="342">
        <f t="shared" si="38"/>
        <v>1336983.8533380001</v>
      </c>
      <c r="AF108" s="342">
        <f t="shared" si="38"/>
        <v>1336983.8533380001</v>
      </c>
      <c r="AG108" s="342">
        <f t="shared" si="38"/>
        <v>1336983.8533380001</v>
      </c>
      <c r="AH108" s="342">
        <f t="shared" si="38"/>
        <v>1336983.8533380001</v>
      </c>
      <c r="AI108" s="342">
        <f t="shared" si="38"/>
        <v>1336983.8533380001</v>
      </c>
      <c r="AJ108" s="342">
        <f t="shared" si="38"/>
        <v>1336983.8533380001</v>
      </c>
      <c r="AK108" s="342">
        <f t="shared" si="38"/>
        <v>1336983.8533380001</v>
      </c>
      <c r="AL108" s="342">
        <f t="shared" si="38"/>
        <v>1336983.8533380001</v>
      </c>
      <c r="AM108" s="342">
        <f t="shared" si="38"/>
        <v>1336983.8533380001</v>
      </c>
      <c r="AN108" s="342">
        <f t="shared" si="38"/>
        <v>1336983.8533380001</v>
      </c>
      <c r="AO108" s="342">
        <f t="shared" si="38"/>
        <v>1336983.8533380001</v>
      </c>
      <c r="AP108" s="342">
        <f t="shared" si="38"/>
        <v>1336983.8533380001</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5.859000000000001E-2</v>
      </c>
      <c r="I109" s="340">
        <f t="shared" si="39"/>
        <v>0.11718000000000002</v>
      </c>
      <c r="J109" s="340">
        <f t="shared" si="39"/>
        <v>0.17577000000000004</v>
      </c>
      <c r="K109" s="340">
        <f t="shared" si="39"/>
        <v>0.23436000000000004</v>
      </c>
      <c r="L109" s="340">
        <f t="shared" si="39"/>
        <v>0.29295000000000004</v>
      </c>
      <c r="M109" s="340">
        <f t="shared" si="39"/>
        <v>0.41013000000000005</v>
      </c>
      <c r="N109" s="340">
        <f t="shared" si="39"/>
        <v>0.41013000000000005</v>
      </c>
      <c r="O109" s="340">
        <f t="shared" si="39"/>
        <v>0.41013000000000005</v>
      </c>
      <c r="P109" s="340">
        <f t="shared" si="39"/>
        <v>0.41013000000000005</v>
      </c>
      <c r="Q109" s="340">
        <f t="shared" si="39"/>
        <v>0.41013000000000005</v>
      </c>
      <c r="R109" s="340">
        <f t="shared" si="39"/>
        <v>0.41013000000000005</v>
      </c>
      <c r="S109" s="340">
        <f t="shared" si="39"/>
        <v>0.41013000000000005</v>
      </c>
      <c r="T109" s="340">
        <f t="shared" si="39"/>
        <v>0.41013000000000005</v>
      </c>
      <c r="U109" s="340">
        <f t="shared" si="39"/>
        <v>0.41013000000000005</v>
      </c>
      <c r="V109" s="340">
        <f t="shared" si="39"/>
        <v>0.41013000000000005</v>
      </c>
      <c r="W109" s="340">
        <f t="shared" si="39"/>
        <v>0.41013000000000005</v>
      </c>
      <c r="X109" s="340">
        <f t="shared" si="39"/>
        <v>0.41013000000000005</v>
      </c>
      <c r="Y109" s="340">
        <f t="shared" si="39"/>
        <v>0.41013000000000005</v>
      </c>
      <c r="Z109" s="340">
        <f t="shared" si="39"/>
        <v>0.41013000000000005</v>
      </c>
      <c r="AA109" s="340">
        <f t="shared" si="39"/>
        <v>0.41013000000000005</v>
      </c>
      <c r="AB109" s="340">
        <f t="shared" si="39"/>
        <v>0.41013000000000005</v>
      </c>
      <c r="AC109" s="340">
        <f t="shared" si="39"/>
        <v>0.41013000000000005</v>
      </c>
      <c r="AD109" s="340">
        <f t="shared" si="39"/>
        <v>0.41013000000000005</v>
      </c>
      <c r="AE109" s="340">
        <f t="shared" si="39"/>
        <v>0.41013000000000005</v>
      </c>
      <c r="AF109" s="340">
        <f t="shared" si="39"/>
        <v>0.41013000000000005</v>
      </c>
      <c r="AG109" s="340">
        <f t="shared" si="39"/>
        <v>0.41013000000000005</v>
      </c>
      <c r="AH109" s="340">
        <f t="shared" si="39"/>
        <v>0.41013000000000005</v>
      </c>
      <c r="AI109" s="340">
        <f t="shared" si="39"/>
        <v>0.41013000000000005</v>
      </c>
      <c r="AJ109" s="340">
        <f t="shared" si="39"/>
        <v>0.41013000000000005</v>
      </c>
      <c r="AK109" s="340">
        <f t="shared" si="39"/>
        <v>0.41013000000000005</v>
      </c>
      <c r="AL109" s="340">
        <f t="shared" si="39"/>
        <v>0.41013000000000005</v>
      </c>
      <c r="AM109" s="340">
        <f t="shared" si="39"/>
        <v>0.41013000000000005</v>
      </c>
      <c r="AN109" s="340">
        <f t="shared" si="39"/>
        <v>0.41013000000000005</v>
      </c>
      <c r="AO109" s="340">
        <f t="shared" si="39"/>
        <v>0.41013000000000005</v>
      </c>
      <c r="AP109" s="340">
        <f t="shared" si="39"/>
        <v>0.41013000000000005</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5" t="s">
        <v>576</v>
      </c>
      <c r="C116" s="486"/>
      <c r="D116" s="485" t="s">
        <v>577</v>
      </c>
      <c r="E116" s="486"/>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1.26</v>
      </c>
      <c r="H118" s="338" t="s">
        <v>579</v>
      </c>
      <c r="I118" s="338">
        <f>$B$110*G118</f>
        <v>1.1718000000000002</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1.26</v>
      </c>
      <c r="H120" s="338" t="s">
        <v>579</v>
      </c>
      <c r="I120" s="343">
        <f>I118</f>
        <v>1.1718000000000002</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77" t="s">
        <v>284</v>
      </c>
      <c r="E122" s="353" t="s">
        <v>584</v>
      </c>
      <c r="F122" s="354">
        <v>35</v>
      </c>
      <c r="G122" s="478"/>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7"/>
      <c r="E123" s="353" t="s">
        <v>585</v>
      </c>
      <c r="F123" s="354">
        <v>30</v>
      </c>
      <c r="G123" s="478"/>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7"/>
      <c r="E124" s="353" t="s">
        <v>588</v>
      </c>
      <c r="F124" s="354">
        <v>30</v>
      </c>
      <c r="G124" s="478"/>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7"/>
      <c r="E125" s="353" t="s">
        <v>589</v>
      </c>
      <c r="F125" s="354">
        <v>30</v>
      </c>
      <c r="G125" s="478"/>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2500000</v>
      </c>
      <c r="C126" s="359">
        <f>'6.2. Паспорт фин осв ввод'!D24*1000000</f>
        <v>2500000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J49" sqref="J49"/>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4" t="str">
        <f>'1. паспорт местоположение'!A5:C5</f>
        <v>Год раскрытия информации: 2022 год</v>
      </c>
      <c r="B5" s="414"/>
      <c r="C5" s="414"/>
      <c r="D5" s="414"/>
      <c r="E5" s="414"/>
      <c r="F5" s="414"/>
      <c r="G5" s="414"/>
      <c r="H5" s="414"/>
      <c r="I5" s="414"/>
      <c r="J5" s="414"/>
      <c r="K5" s="414"/>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4" t="s">
        <v>7</v>
      </c>
      <c r="B7" s="424"/>
      <c r="C7" s="424"/>
      <c r="D7" s="424"/>
      <c r="E7" s="424"/>
      <c r="F7" s="424"/>
      <c r="G7" s="424"/>
      <c r="H7" s="424"/>
      <c r="I7" s="424"/>
      <c r="J7" s="424"/>
      <c r="K7" s="424"/>
    </row>
    <row r="8" spans="1:43" ht="18.75" x14ac:dyDescent="0.25">
      <c r="A8" s="424"/>
      <c r="B8" s="424"/>
      <c r="C8" s="424"/>
      <c r="D8" s="424"/>
      <c r="E8" s="424"/>
      <c r="F8" s="424"/>
      <c r="G8" s="424"/>
      <c r="H8" s="424"/>
      <c r="I8" s="424"/>
      <c r="J8" s="424"/>
      <c r="K8" s="424"/>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0" t="s">
        <v>6</v>
      </c>
      <c r="B10" s="420"/>
      <c r="C10" s="420"/>
      <c r="D10" s="420"/>
      <c r="E10" s="420"/>
      <c r="F10" s="420"/>
      <c r="G10" s="420"/>
      <c r="H10" s="420"/>
      <c r="I10" s="420"/>
      <c r="J10" s="420"/>
      <c r="K10" s="420"/>
    </row>
    <row r="11" spans="1:43" ht="18.75" x14ac:dyDescent="0.25">
      <c r="A11" s="424"/>
      <c r="B11" s="424"/>
      <c r="C11" s="424"/>
      <c r="D11" s="424"/>
      <c r="E11" s="424"/>
      <c r="F11" s="424"/>
      <c r="G11" s="424"/>
      <c r="H11" s="424"/>
      <c r="I11" s="424"/>
      <c r="J11" s="424"/>
      <c r="K11" s="424"/>
    </row>
    <row r="12" spans="1:43" x14ac:dyDescent="0.25">
      <c r="A12" s="425" t="str">
        <f>'1. паспорт местоположение'!A12:C12</f>
        <v>L_21-15</v>
      </c>
      <c r="B12" s="425"/>
      <c r="C12" s="425"/>
      <c r="D12" s="425"/>
      <c r="E12" s="425"/>
      <c r="F12" s="425"/>
      <c r="G12" s="425"/>
      <c r="H12" s="425"/>
      <c r="I12" s="425"/>
      <c r="J12" s="425"/>
      <c r="K12" s="425"/>
    </row>
    <row r="13" spans="1:43" x14ac:dyDescent="0.25">
      <c r="A13" s="420" t="s">
        <v>5</v>
      </c>
      <c r="B13" s="420"/>
      <c r="C13" s="420"/>
      <c r="D13" s="420"/>
      <c r="E13" s="420"/>
      <c r="F13" s="420"/>
      <c r="G13" s="420"/>
      <c r="H13" s="420"/>
      <c r="I13" s="420"/>
      <c r="J13" s="420"/>
      <c r="K13" s="420"/>
    </row>
    <row r="14" spans="1:43" ht="18.75" x14ac:dyDescent="0.25">
      <c r="A14" s="426"/>
      <c r="B14" s="426"/>
      <c r="C14" s="426"/>
      <c r="D14" s="426"/>
      <c r="E14" s="426"/>
      <c r="F14" s="426"/>
      <c r="G14" s="426"/>
      <c r="H14" s="426"/>
      <c r="I14" s="426"/>
      <c r="J14" s="426"/>
      <c r="K14" s="426"/>
    </row>
    <row r="15" spans="1:43" x14ac:dyDescent="0.25">
      <c r="A15" s="419" t="str">
        <f>'1. паспорт местоположение'!A15:C15</f>
        <v>Строительство сетей электроснабжения жд г. Пионерский (Нивелир)</v>
      </c>
      <c r="B15" s="419"/>
      <c r="C15" s="419"/>
      <c r="D15" s="419"/>
      <c r="E15" s="419"/>
      <c r="F15" s="419"/>
      <c r="G15" s="419"/>
      <c r="H15" s="419"/>
      <c r="I15" s="419"/>
      <c r="J15" s="419"/>
      <c r="K15" s="419"/>
    </row>
    <row r="16" spans="1:43" x14ac:dyDescent="0.25">
      <c r="A16" s="415" t="s">
        <v>4</v>
      </c>
      <c r="B16" s="415"/>
      <c r="C16" s="415"/>
      <c r="D16" s="415"/>
      <c r="E16" s="415"/>
      <c r="F16" s="415"/>
      <c r="G16" s="415"/>
      <c r="H16" s="415"/>
      <c r="I16" s="415"/>
      <c r="J16" s="415"/>
      <c r="K16" s="415"/>
    </row>
    <row r="17" spans="1:11" ht="15.75" customHeight="1" x14ac:dyDescent="0.25"/>
    <row r="18" spans="1:11" x14ac:dyDescent="0.25">
      <c r="K18" s="70"/>
    </row>
    <row r="19" spans="1:11" ht="15.75" customHeight="1" x14ac:dyDescent="0.25">
      <c r="A19" s="487" t="s">
        <v>392</v>
      </c>
      <c r="B19" s="487"/>
      <c r="C19" s="487"/>
      <c r="D19" s="487"/>
      <c r="E19" s="487"/>
      <c r="F19" s="487"/>
      <c r="G19" s="487"/>
      <c r="H19" s="487"/>
      <c r="I19" s="487"/>
      <c r="J19" s="487"/>
      <c r="K19" s="487"/>
    </row>
    <row r="20" spans="1:11" x14ac:dyDescent="0.25">
      <c r="A20" s="48"/>
      <c r="B20" s="48"/>
      <c r="C20" s="69"/>
      <c r="D20" s="69"/>
      <c r="E20" s="69"/>
      <c r="F20" s="69"/>
      <c r="G20" s="69"/>
      <c r="H20" s="69"/>
      <c r="I20" s="69"/>
      <c r="J20" s="69"/>
      <c r="K20" s="69"/>
    </row>
    <row r="21" spans="1:11" ht="28.5" customHeight="1" x14ac:dyDescent="0.25">
      <c r="A21" s="488" t="s">
        <v>199</v>
      </c>
      <c r="B21" s="488" t="s">
        <v>483</v>
      </c>
      <c r="C21" s="488" t="s">
        <v>351</v>
      </c>
      <c r="D21" s="488"/>
      <c r="E21" s="488"/>
      <c r="F21" s="488"/>
      <c r="G21" s="488"/>
      <c r="H21" s="488"/>
      <c r="I21" s="489" t="s">
        <v>198</v>
      </c>
      <c r="J21" s="490" t="s">
        <v>352</v>
      </c>
      <c r="K21" s="488" t="s">
        <v>197</v>
      </c>
    </row>
    <row r="22" spans="1:11" ht="58.5" customHeight="1" x14ac:dyDescent="0.25">
      <c r="A22" s="488"/>
      <c r="B22" s="488"/>
      <c r="C22" s="493" t="s">
        <v>534</v>
      </c>
      <c r="D22" s="493"/>
      <c r="E22" s="493" t="s">
        <v>9</v>
      </c>
      <c r="F22" s="493"/>
      <c r="G22" s="493" t="s">
        <v>535</v>
      </c>
      <c r="H22" s="493"/>
      <c r="I22" s="489"/>
      <c r="J22" s="491"/>
      <c r="K22" s="488"/>
    </row>
    <row r="23" spans="1:11" ht="31.5" x14ac:dyDescent="0.25">
      <c r="A23" s="488"/>
      <c r="B23" s="488"/>
      <c r="C23" s="199" t="s">
        <v>196</v>
      </c>
      <c r="D23" s="199" t="s">
        <v>195</v>
      </c>
      <c r="E23" s="199" t="s">
        <v>196</v>
      </c>
      <c r="F23" s="199" t="s">
        <v>195</v>
      </c>
      <c r="G23" s="199" t="s">
        <v>196</v>
      </c>
      <c r="H23" s="199" t="s">
        <v>195</v>
      </c>
      <c r="I23" s="489"/>
      <c r="J23" s="492"/>
      <c r="K23" s="488"/>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44636</v>
      </c>
      <c r="H40" s="206">
        <v>44864</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44650</v>
      </c>
      <c r="H43" s="206">
        <v>44864</v>
      </c>
      <c r="I43" s="218"/>
      <c r="J43" s="196"/>
      <c r="K43" s="196"/>
    </row>
    <row r="44" spans="1:11" x14ac:dyDescent="0.25">
      <c r="A44" s="204" t="s">
        <v>516</v>
      </c>
      <c r="B44" s="209" t="s">
        <v>189</v>
      </c>
      <c r="C44" s="233" t="s">
        <v>537</v>
      </c>
      <c r="D44" s="233" t="s">
        <v>537</v>
      </c>
      <c r="E44" s="217">
        <v>43084</v>
      </c>
      <c r="F44" s="217">
        <v>43266</v>
      </c>
      <c r="G44" s="206">
        <v>44864</v>
      </c>
      <c r="H44" s="206">
        <v>44896</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44896</v>
      </c>
      <c r="H47" s="234">
        <v>44926</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44896</v>
      </c>
      <c r="H49" s="234">
        <v>44926</v>
      </c>
      <c r="I49" s="218"/>
      <c r="J49" s="196"/>
      <c r="K49" s="196"/>
    </row>
    <row r="50" spans="1:11" ht="78.75" x14ac:dyDescent="0.25">
      <c r="A50" s="207" t="s">
        <v>523</v>
      </c>
      <c r="B50" s="209" t="s">
        <v>522</v>
      </c>
      <c r="C50" s="206" t="s">
        <v>537</v>
      </c>
      <c r="D50" s="206" t="s">
        <v>537</v>
      </c>
      <c r="E50" s="217">
        <v>43343</v>
      </c>
      <c r="F50" s="217">
        <v>43343</v>
      </c>
      <c r="G50" s="234">
        <v>44896</v>
      </c>
      <c r="H50" s="206">
        <v>44926</v>
      </c>
      <c r="I50" s="218"/>
      <c r="J50" s="196"/>
      <c r="K50" s="196"/>
    </row>
    <row r="51" spans="1:11" ht="63" x14ac:dyDescent="0.25">
      <c r="A51" s="204" t="s">
        <v>525</v>
      </c>
      <c r="B51" s="209" t="s">
        <v>524</v>
      </c>
      <c r="C51" s="206" t="s">
        <v>537</v>
      </c>
      <c r="D51" s="206" t="s">
        <v>537</v>
      </c>
      <c r="E51" s="217">
        <v>43343</v>
      </c>
      <c r="F51" s="217">
        <v>43343</v>
      </c>
      <c r="G51" s="234">
        <v>44896</v>
      </c>
      <c r="H51" s="206">
        <v>44926</v>
      </c>
      <c r="I51" s="218"/>
      <c r="J51" s="196"/>
      <c r="K51" s="196"/>
    </row>
    <row r="52" spans="1:11" ht="63" x14ac:dyDescent="0.25">
      <c r="A52" s="204" t="s">
        <v>526</v>
      </c>
      <c r="B52" s="209" t="s">
        <v>185</v>
      </c>
      <c r="C52" s="206" t="s">
        <v>537</v>
      </c>
      <c r="D52" s="206" t="s">
        <v>537</v>
      </c>
      <c r="E52" s="217"/>
      <c r="F52" s="217"/>
      <c r="G52" s="234">
        <v>44896</v>
      </c>
      <c r="H52" s="206">
        <v>44926</v>
      </c>
      <c r="I52" s="218"/>
      <c r="J52" s="196"/>
      <c r="K52" s="196"/>
    </row>
    <row r="53" spans="1:11" ht="31.5" x14ac:dyDescent="0.25">
      <c r="A53" s="204" t="s">
        <v>528</v>
      </c>
      <c r="B53" s="209" t="s">
        <v>527</v>
      </c>
      <c r="C53" s="235" t="s">
        <v>537</v>
      </c>
      <c r="D53" s="235" t="s">
        <v>537</v>
      </c>
      <c r="E53" s="217">
        <v>43343</v>
      </c>
      <c r="F53" s="217">
        <v>43343</v>
      </c>
      <c r="G53" s="234">
        <v>44896</v>
      </c>
      <c r="H53" s="206">
        <v>44926</v>
      </c>
      <c r="I53" s="218"/>
      <c r="J53" s="196"/>
      <c r="K53" s="196"/>
    </row>
    <row r="54" spans="1:11" ht="31.5" x14ac:dyDescent="0.25">
      <c r="A54" s="204" t="s">
        <v>532</v>
      </c>
      <c r="B54" s="209" t="s">
        <v>184</v>
      </c>
      <c r="C54" s="235" t="s">
        <v>537</v>
      </c>
      <c r="D54" s="235" t="s">
        <v>537</v>
      </c>
      <c r="E54" s="217">
        <v>43353</v>
      </c>
      <c r="F54" s="217">
        <v>43353</v>
      </c>
      <c r="G54" s="234">
        <v>44896</v>
      </c>
      <c r="H54" s="206">
        <v>44926</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2022-02-25T12:46:01Z</dcterms:modified>
</cp:coreProperties>
</file>