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24226"/>
  <mc:AlternateContent xmlns:mc="http://schemas.openxmlformats.org/markup-compatibility/2006">
    <mc:Choice Requires="x15">
      <x15ac:absPath xmlns:x15ac="http://schemas.microsoft.com/office/spreadsheetml/2010/11/ac" url="C:\Users\Пользователь\Desktop\2024_ЗЭК\2024_март\паспорта\"/>
    </mc:Choice>
  </mc:AlternateContent>
  <xr:revisionPtr revIDLastSave="0" documentId="13_ncr:1_{A6312B40-2EE9-4233-8FE2-C37CB6967811}" xr6:coauthVersionLast="47" xr6:coauthVersionMax="47" xr10:uidLastSave="{00000000-0000-0000-0000-000000000000}"/>
  <bookViews>
    <workbookView xWindow="-120" yWindow="-120" windowWidth="29040" windowHeight="15840" tabRatio="859" firstSheet="3" activeTab="7"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ввод'!$A$1:$AK$64</definedName>
    <definedName name="Определен_источник">#REF!</definedName>
    <definedName name="Снижение">#REF!</definedName>
    <definedName name="Стадия_реализации">#REF!</definedName>
    <definedName name="Тип_проекта">#REF!</definedName>
  </definedNames>
  <calcPr calcId="181029"/>
</workbook>
</file>

<file path=xl/calcChain.xml><?xml version="1.0" encoding="utf-8"?>
<calcChain xmlns="http://schemas.openxmlformats.org/spreadsheetml/2006/main">
  <c r="M47" i="27" l="1"/>
  <c r="N47" i="27"/>
  <c r="O47" i="27"/>
  <c r="P47" i="27"/>
  <c r="Q47" i="27"/>
  <c r="R47" i="27"/>
  <c r="S47" i="27"/>
  <c r="T47" i="27"/>
  <c r="U47" i="27"/>
  <c r="V47" i="27"/>
  <c r="W47" i="27"/>
  <c r="X47" i="27"/>
  <c r="Y47" i="27"/>
  <c r="Z47" i="27"/>
  <c r="AA47" i="27"/>
  <c r="AB47" i="27"/>
  <c r="AC47" i="27"/>
  <c r="AD47" i="27"/>
  <c r="AE47" i="27"/>
  <c r="C47" i="27"/>
  <c r="D47" i="27"/>
  <c r="E47" i="27"/>
  <c r="F47" i="27"/>
  <c r="G47" i="27"/>
  <c r="H47" i="27"/>
  <c r="I47" i="27"/>
  <c r="J47" i="27"/>
  <c r="K47" i="27"/>
  <c r="L47" i="27"/>
  <c r="B47" i="27"/>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A5" i="27"/>
  <c r="D33" i="15"/>
  <c r="D30" i="15"/>
  <c r="B24" i="27" s="1"/>
  <c r="A15" i="27"/>
  <c r="D81" i="27"/>
  <c r="C81" i="27"/>
  <c r="A12" i="27"/>
  <c r="D179" i="27"/>
  <c r="E179" i="27" s="1"/>
  <c r="F179" i="27" s="1"/>
  <c r="G179" i="27" s="1"/>
  <c r="H179" i="27" s="1"/>
  <c r="I179" i="27" s="1"/>
  <c r="J179" i="27" s="1"/>
  <c r="K179" i="27" s="1"/>
  <c r="L179" i="27" s="1"/>
  <c r="M179" i="27" s="1"/>
  <c r="F139" i="27"/>
  <c r="E139" i="27"/>
  <c r="D139" i="27"/>
  <c r="C139" i="27"/>
  <c r="B139" i="27"/>
  <c r="G138" i="27"/>
  <c r="G139" i="27" s="1"/>
  <c r="C137" i="27"/>
  <c r="D137" i="27" s="1"/>
  <c r="E137" i="27" s="1"/>
  <c r="F137" i="27" s="1"/>
  <c r="G137" i="27" s="1"/>
  <c r="H137" i="27" s="1"/>
  <c r="I137" i="27" s="1"/>
  <c r="J137" i="27" s="1"/>
  <c r="K137" i="27" s="1"/>
  <c r="L137" i="27" s="1"/>
  <c r="M137" i="27" s="1"/>
  <c r="N137" i="27" s="1"/>
  <c r="O137" i="27" s="1"/>
  <c r="P137" i="27" s="1"/>
  <c r="Q137" i="27" s="1"/>
  <c r="R137" i="27" s="1"/>
  <c r="S137" i="27" s="1"/>
  <c r="T137" i="27" s="1"/>
  <c r="U137" i="27" s="1"/>
  <c r="V137" i="27" s="1"/>
  <c r="W137" i="27" s="1"/>
  <c r="X137" i="27" s="1"/>
  <c r="Y137" i="27" s="1"/>
  <c r="Z137" i="27" s="1"/>
  <c r="AA137" i="27" s="1"/>
  <c r="AB137" i="27" s="1"/>
  <c r="AC137" i="27" s="1"/>
  <c r="AD137" i="27" s="1"/>
  <c r="AE137" i="27" s="1"/>
  <c r="AF137" i="27" s="1"/>
  <c r="AG137" i="27" s="1"/>
  <c r="AH137" i="27" s="1"/>
  <c r="AI137" i="27" s="1"/>
  <c r="AJ137" i="27" s="1"/>
  <c r="AK137" i="27" s="1"/>
  <c r="AL137" i="27" s="1"/>
  <c r="AM137" i="27" s="1"/>
  <c r="AN137" i="27" s="1"/>
  <c r="AO137" i="27" s="1"/>
  <c r="AP137" i="27" s="1"/>
  <c r="AQ137" i="27" s="1"/>
  <c r="AR137" i="27" s="1"/>
  <c r="AS137" i="27" s="1"/>
  <c r="AT137" i="27" s="1"/>
  <c r="AU137" i="27" s="1"/>
  <c r="AV137" i="27" s="1"/>
  <c r="AW137" i="27" s="1"/>
  <c r="AX137" i="27" s="1"/>
  <c r="AY137" i="27" s="1"/>
  <c r="C135" i="27"/>
  <c r="D135" i="27" s="1"/>
  <c r="E135" i="27" s="1"/>
  <c r="F135" i="27" s="1"/>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Z135" i="27" s="1"/>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C133" i="27"/>
  <c r="D133" i="27" s="1"/>
  <c r="E133" i="27" s="1"/>
  <c r="F133" i="27" s="1"/>
  <c r="G133" i="27" s="1"/>
  <c r="H133" i="27" s="1"/>
  <c r="I133" i="27" s="1"/>
  <c r="J133" i="27" s="1"/>
  <c r="K133" i="27" s="1"/>
  <c r="L133" i="27" s="1"/>
  <c r="M133" i="27" s="1"/>
  <c r="N133" i="27" s="1"/>
  <c r="O133" i="27" s="1"/>
  <c r="P133" i="27" s="1"/>
  <c r="Q133" i="27" s="1"/>
  <c r="R133" i="27" s="1"/>
  <c r="S133" i="27" s="1"/>
  <c r="T133" i="27" s="1"/>
  <c r="U133" i="27" s="1"/>
  <c r="V133" i="27" s="1"/>
  <c r="W133" i="27" s="1"/>
  <c r="X133" i="27" s="1"/>
  <c r="Y133" i="27" s="1"/>
  <c r="Z133" i="27" s="1"/>
  <c r="AA133" i="27" s="1"/>
  <c r="AB133" i="27" s="1"/>
  <c r="AC133" i="27" s="1"/>
  <c r="AD133" i="27" s="1"/>
  <c r="AE133" i="27" s="1"/>
  <c r="AF133" i="27" s="1"/>
  <c r="AG133" i="27" s="1"/>
  <c r="AH133" i="27" s="1"/>
  <c r="AI133" i="27" s="1"/>
  <c r="AJ133" i="27" s="1"/>
  <c r="AK133" i="27" s="1"/>
  <c r="AL133" i="27" s="1"/>
  <c r="AM133" i="27" s="1"/>
  <c r="AN133" i="27" s="1"/>
  <c r="AO133" i="27" s="1"/>
  <c r="AP133" i="27" s="1"/>
  <c r="AQ133" i="27" s="1"/>
  <c r="AR133" i="27" s="1"/>
  <c r="AS133" i="27" s="1"/>
  <c r="AT133" i="27" s="1"/>
  <c r="AU133" i="27" s="1"/>
  <c r="AV133" i="27" s="1"/>
  <c r="AW133" i="27" s="1"/>
  <c r="AX133" i="27" s="1"/>
  <c r="AY133" i="27" s="1"/>
  <c r="B126" i="27"/>
  <c r="B124" i="27" s="1"/>
  <c r="B120" i="27" s="1"/>
  <c r="G116" i="27"/>
  <c r="G118" i="27" s="1"/>
  <c r="D116" i="27"/>
  <c r="B110" i="27"/>
  <c r="B116" i="27" s="1"/>
  <c r="C107" i="27"/>
  <c r="D105" i="27"/>
  <c r="E105" i="27" s="1"/>
  <c r="F105" i="27" s="1"/>
  <c r="G105" i="27" s="1"/>
  <c r="H105" i="27" s="1"/>
  <c r="I105" i="27" s="1"/>
  <c r="J105" i="27" s="1"/>
  <c r="K105" i="27" s="1"/>
  <c r="L105" i="27" s="1"/>
  <c r="M105" i="27" s="1"/>
  <c r="N105" i="27" s="1"/>
  <c r="O105" i="27" s="1"/>
  <c r="P105" i="27" s="1"/>
  <c r="Q105" i="27" s="1"/>
  <c r="R105" i="27" s="1"/>
  <c r="S105" i="27" s="1"/>
  <c r="T105" i="27" s="1"/>
  <c r="U105" i="27" s="1"/>
  <c r="V105" i="27" s="1"/>
  <c r="W105" i="27" s="1"/>
  <c r="X105" i="27" s="1"/>
  <c r="Y105" i="27" s="1"/>
  <c r="Z105" i="27" s="1"/>
  <c r="AA105" i="27" s="1"/>
  <c r="AB105" i="27" s="1"/>
  <c r="AC105" i="27" s="1"/>
  <c r="AD105" i="27" s="1"/>
  <c r="AE105" i="27" s="1"/>
  <c r="AF105" i="27" s="1"/>
  <c r="AG105" i="27" s="1"/>
  <c r="AH105" i="27" s="1"/>
  <c r="AI105" i="27" s="1"/>
  <c r="AJ105" i="27" s="1"/>
  <c r="AK105" i="27" s="1"/>
  <c r="AL105" i="27" s="1"/>
  <c r="AM105" i="27" s="1"/>
  <c r="AN105" i="27" s="1"/>
  <c r="AO105" i="27" s="1"/>
  <c r="AP105" i="27" s="1"/>
  <c r="C103" i="27"/>
  <c r="B100" i="27"/>
  <c r="K92" i="27"/>
  <c r="L92" i="27" s="1"/>
  <c r="M92" i="27" s="1"/>
  <c r="N92" i="27" s="1"/>
  <c r="O92" i="27" s="1"/>
  <c r="P92" i="27" s="1"/>
  <c r="Q92" i="27" s="1"/>
  <c r="R92" i="27" s="1"/>
  <c r="S92" i="27" s="1"/>
  <c r="T92" i="27" s="1"/>
  <c r="U92" i="27" s="1"/>
  <c r="V92" i="27" s="1"/>
  <c r="W92" i="27" s="1"/>
  <c r="X92" i="27" s="1"/>
  <c r="Y92" i="27" s="1"/>
  <c r="Z92" i="27" s="1"/>
  <c r="AA92" i="27" s="1"/>
  <c r="AB92" i="27" s="1"/>
  <c r="AC92" i="27" s="1"/>
  <c r="AD92" i="27" s="1"/>
  <c r="AE92" i="27" s="1"/>
  <c r="D92" i="27"/>
  <c r="E92" i="27" s="1"/>
  <c r="F92" i="27" s="1"/>
  <c r="G92" i="27" s="1"/>
  <c r="H92" i="27" s="1"/>
  <c r="I92" i="27" s="1"/>
  <c r="J92" i="27" s="1"/>
  <c r="C92" i="27"/>
  <c r="C91" i="27"/>
  <c r="D91" i="27" s="1"/>
  <c r="E91" i="27" s="1"/>
  <c r="F91" i="27" s="1"/>
  <c r="G91" i="27" s="1"/>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E85" i="27"/>
  <c r="AD85" i="27"/>
  <c r="AC85" i="27"/>
  <c r="AB85" i="27"/>
  <c r="AA85" i="27"/>
  <c r="Z85" i="27"/>
  <c r="Y85" i="27"/>
  <c r="X85" i="27"/>
  <c r="W85" i="27"/>
  <c r="V85" i="27"/>
  <c r="U85" i="27"/>
  <c r="T85" i="27"/>
  <c r="S85" i="27"/>
  <c r="R85" i="27"/>
  <c r="Q85" i="27"/>
  <c r="P85" i="27"/>
  <c r="O85" i="27"/>
  <c r="N85" i="27"/>
  <c r="M85" i="27"/>
  <c r="L85" i="27"/>
  <c r="K85" i="27"/>
  <c r="J85" i="27"/>
  <c r="I85" i="27"/>
  <c r="H85" i="27"/>
  <c r="G85" i="27"/>
  <c r="F85" i="27"/>
  <c r="E85" i="27"/>
  <c r="D85" i="27"/>
  <c r="C85" i="27"/>
  <c r="B85" i="27"/>
  <c r="AE77" i="27"/>
  <c r="AD77" i="27"/>
  <c r="AC77" i="27"/>
  <c r="AB77" i="27"/>
  <c r="AA77" i="27"/>
  <c r="Z77" i="27"/>
  <c r="Y77" i="27"/>
  <c r="X77" i="27"/>
  <c r="W77" i="27"/>
  <c r="V77" i="27"/>
  <c r="U77" i="27"/>
  <c r="T77" i="27"/>
  <c r="S77" i="27"/>
  <c r="R77" i="27"/>
  <c r="Q77" i="27"/>
  <c r="P77" i="27"/>
  <c r="O77" i="27"/>
  <c r="N77" i="27"/>
  <c r="M77" i="27"/>
  <c r="L77" i="27"/>
  <c r="K77" i="27"/>
  <c r="J77" i="27"/>
  <c r="I77" i="27"/>
  <c r="H77" i="27"/>
  <c r="G77" i="27"/>
  <c r="F77" i="27"/>
  <c r="E77" i="27"/>
  <c r="D77" i="27"/>
  <c r="C77" i="27"/>
  <c r="B77" i="27"/>
  <c r="AC76" i="27"/>
  <c r="B76" i="27"/>
  <c r="AE67" i="27"/>
  <c r="AE76" i="27" s="1"/>
  <c r="AD67" i="27"/>
  <c r="AD76" i="27" s="1"/>
  <c r="AE59" i="27"/>
  <c r="AC59" i="27"/>
  <c r="B59" i="27"/>
  <c r="E58" i="27"/>
  <c r="E80" i="27" s="1"/>
  <c r="D58" i="27"/>
  <c r="D80" i="27" s="1"/>
  <c r="C58" i="27"/>
  <c r="B48" i="27"/>
  <c r="B45" i="27"/>
  <c r="C48" i="27" l="1"/>
  <c r="I116" i="27"/>
  <c r="I118" i="27" s="1"/>
  <c r="D48" i="27"/>
  <c r="E48" i="27" s="1"/>
  <c r="F48" i="27" s="1"/>
  <c r="G48" i="27" s="1"/>
  <c r="H48" i="27" s="1"/>
  <c r="I48" i="27" s="1"/>
  <c r="J48" i="27" s="1"/>
  <c r="K48" i="27" s="1"/>
  <c r="L48" i="27" s="1"/>
  <c r="M48" i="27" s="1"/>
  <c r="N48" i="27" s="1"/>
  <c r="O48" i="27" s="1"/>
  <c r="P48" i="27" s="1"/>
  <c r="Q48" i="27" s="1"/>
  <c r="R48" i="27" s="1"/>
  <c r="S48" i="27" s="1"/>
  <c r="T48" i="27" s="1"/>
  <c r="U48" i="27" s="1"/>
  <c r="V48" i="27" s="1"/>
  <c r="W48" i="27" s="1"/>
  <c r="X48" i="27" s="1"/>
  <c r="Y48" i="27" s="1"/>
  <c r="Z48" i="27" s="1"/>
  <c r="AA48" i="27" s="1"/>
  <c r="AB48" i="27" s="1"/>
  <c r="AC48" i="27" s="1"/>
  <c r="AD48" i="27" s="1"/>
  <c r="AE48" i="27" s="1"/>
  <c r="H138" i="27"/>
  <c r="I138" i="27" s="1"/>
  <c r="B49" i="27"/>
  <c r="B58" i="27" s="1"/>
  <c r="B80" i="27" s="1"/>
  <c r="B34" i="27"/>
  <c r="N62" i="27" s="1"/>
  <c r="V62" i="27" s="1"/>
  <c r="B28" i="27"/>
  <c r="L60" i="27" s="1"/>
  <c r="C106" i="27"/>
  <c r="D107" i="27"/>
  <c r="C80" i="27"/>
  <c r="B66" i="27"/>
  <c r="B68" i="27" s="1"/>
  <c r="H139" i="27"/>
  <c r="B70" i="27" l="1"/>
  <c r="B75" i="27"/>
  <c r="E107" i="27"/>
  <c r="D106" i="27"/>
  <c r="AD62" i="27"/>
  <c r="AD59" i="27" s="1"/>
  <c r="J138" i="27"/>
  <c r="J139" i="27"/>
  <c r="I139" i="27"/>
  <c r="K138" i="27" l="1"/>
  <c r="K139" i="27" s="1"/>
  <c r="F107" i="27"/>
  <c r="E106" i="27"/>
  <c r="B71" i="27"/>
  <c r="F106" i="27" l="1"/>
  <c r="G107" i="27"/>
  <c r="B78" i="27"/>
  <c r="B72" i="27"/>
  <c r="L138" i="27"/>
  <c r="L139" i="27" s="1"/>
  <c r="M138" i="27" l="1"/>
  <c r="M139" i="27" s="1"/>
  <c r="G106" i="27"/>
  <c r="H107" i="27"/>
  <c r="I107" i="27" s="1"/>
  <c r="N138" i="27" l="1"/>
  <c r="H106" i="27"/>
  <c r="J107" i="27"/>
  <c r="K107" i="27" l="1"/>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J106" i="27"/>
  <c r="O138" i="27"/>
  <c r="O139" i="27" s="1"/>
  <c r="I106" i="27"/>
  <c r="N139" i="27"/>
  <c r="F49" i="27" l="1"/>
  <c r="F58" i="27" s="1"/>
  <c r="P138" i="27"/>
  <c r="P139" i="27" s="1"/>
  <c r="K106" i="27" l="1"/>
  <c r="G49" i="27" s="1"/>
  <c r="G58" i="27" s="1"/>
  <c r="Q138" i="27"/>
  <c r="F80" i="27"/>
  <c r="R138" i="27" l="1"/>
  <c r="R139" i="27"/>
  <c r="L106" i="27"/>
  <c r="H49" i="27" s="1"/>
  <c r="H58" i="27" s="1"/>
  <c r="Q139" i="27"/>
  <c r="G80" i="27"/>
  <c r="S138" i="27" l="1"/>
  <c r="S139" i="27"/>
  <c r="H80" i="27"/>
  <c r="M106" i="27"/>
  <c r="I49" i="27" s="1"/>
  <c r="I58" i="27" s="1"/>
  <c r="T138" i="27" l="1"/>
  <c r="T139" i="27" s="1"/>
  <c r="I80" i="27"/>
  <c r="N106" i="27"/>
  <c r="J49" i="27" s="1"/>
  <c r="J58" i="27" s="1"/>
  <c r="O106" i="27" l="1"/>
  <c r="K49" i="27" s="1"/>
  <c r="K58" i="27" s="1"/>
  <c r="J80" i="27"/>
  <c r="U138" i="27"/>
  <c r="U139" i="27" s="1"/>
  <c r="K80" i="27" l="1"/>
  <c r="P106" i="27"/>
  <c r="L49" i="27" s="1"/>
  <c r="L58" i="27" s="1"/>
  <c r="V138" i="27"/>
  <c r="V139" i="27"/>
  <c r="L80" i="27" l="1"/>
  <c r="W138" i="27"/>
  <c r="Q106" i="27"/>
  <c r="M49" i="27" s="1"/>
  <c r="M58" i="27" s="1"/>
  <c r="M80" i="27" l="1"/>
  <c r="X138" i="27"/>
  <c r="X139" i="27" s="1"/>
  <c r="R106" i="27"/>
  <c r="N49" i="27" s="1"/>
  <c r="N58" i="27" s="1"/>
  <c r="W139" i="27"/>
  <c r="S106" i="27" l="1"/>
  <c r="O49" i="27" s="1"/>
  <c r="O58" i="27" s="1"/>
  <c r="N80" i="27"/>
  <c r="Y138" i="27"/>
  <c r="Z138" i="27" l="1"/>
  <c r="Z139" i="27"/>
  <c r="Y139" i="27"/>
  <c r="O80" i="27"/>
  <c r="T106" i="27"/>
  <c r="P49" i="27" s="1"/>
  <c r="P58" i="27" s="1"/>
  <c r="P80" i="27" l="1"/>
  <c r="U106" i="27"/>
  <c r="Q49" i="27" s="1"/>
  <c r="Q58" i="27" s="1"/>
  <c r="AA138" i="27"/>
  <c r="AA139" i="27"/>
  <c r="V106" i="27" l="1"/>
  <c r="R49" i="27" s="1"/>
  <c r="R58" i="27" s="1"/>
  <c r="AB138" i="27"/>
  <c r="Q80" i="27"/>
  <c r="R80" i="27" l="1"/>
  <c r="AC138" i="27"/>
  <c r="AC139" i="27" s="1"/>
  <c r="AB139" i="27"/>
  <c r="W106" i="27"/>
  <c r="S49" i="27" s="1"/>
  <c r="S58" i="27" s="1"/>
  <c r="S80" i="27" l="1"/>
  <c r="AD138" i="27"/>
  <c r="AD139" i="27" s="1"/>
  <c r="X106" i="27"/>
  <c r="T49" i="27" s="1"/>
  <c r="T58" i="27" s="1"/>
  <c r="Y106" i="27" l="1"/>
  <c r="U49" i="27" s="1"/>
  <c r="U58" i="27" s="1"/>
  <c r="T80" i="27"/>
  <c r="AE138" i="27"/>
  <c r="AE139" i="27"/>
  <c r="AF138" i="27" l="1"/>
  <c r="U80" i="27"/>
  <c r="Z106" i="27"/>
  <c r="V49" i="27" s="1"/>
  <c r="V58" i="27" s="1"/>
  <c r="AA106" i="27" l="1"/>
  <c r="W49" i="27" s="1"/>
  <c r="W58" i="27" s="1"/>
  <c r="V80" i="27"/>
  <c r="AG138" i="27"/>
  <c r="AG139" i="27" s="1"/>
  <c r="AF139" i="27"/>
  <c r="W80" i="27" l="1"/>
  <c r="AB106" i="27"/>
  <c r="X49" i="27" s="1"/>
  <c r="X58" i="27" s="1"/>
  <c r="AH138" i="27"/>
  <c r="AH139" i="27"/>
  <c r="AC106" i="27" l="1"/>
  <c r="Y49" i="27" s="1"/>
  <c r="Y58" i="27" s="1"/>
  <c r="AI138" i="27"/>
  <c r="X80" i="27"/>
  <c r="AJ138" i="27" l="1"/>
  <c r="Y80" i="27"/>
  <c r="AI139" i="27"/>
  <c r="AD106" i="27"/>
  <c r="Z49" i="27" s="1"/>
  <c r="Z58" i="27" s="1"/>
  <c r="Z80" i="27" l="1"/>
  <c r="AK138" i="27"/>
  <c r="AE106" i="27"/>
  <c r="AA49" i="27" s="1"/>
  <c r="AA58" i="27" s="1"/>
  <c r="AJ139" i="27"/>
  <c r="AL138" i="27" l="1"/>
  <c r="AL139" i="27"/>
  <c r="AK139" i="27"/>
  <c r="AA80" i="27"/>
  <c r="AF106" i="27"/>
  <c r="AB49" i="27" s="1"/>
  <c r="AB58" i="27" s="1"/>
  <c r="AB80" i="27" l="1"/>
  <c r="AG106" i="27"/>
  <c r="AC49" i="27" s="1"/>
  <c r="AC58" i="27" s="1"/>
  <c r="AM138" i="27"/>
  <c r="AM139" i="27" s="1"/>
  <c r="AC80" i="27" l="1"/>
  <c r="AC66" i="27"/>
  <c r="AC68" i="27" s="1"/>
  <c r="AN138" i="27"/>
  <c r="AN139" i="27" s="1"/>
  <c r="AH106" i="27"/>
  <c r="AD49" i="27" s="1"/>
  <c r="AD58" i="27" s="1"/>
  <c r="AC75" i="27" l="1"/>
  <c r="AC70" i="27"/>
  <c r="AD80" i="27"/>
  <c r="AD66" i="27"/>
  <c r="AD68" i="27" s="1"/>
  <c r="AO138" i="27"/>
  <c r="AI106" i="27"/>
  <c r="AE49" i="27" s="1"/>
  <c r="AE58" i="27" s="1"/>
  <c r="AP138" i="27" l="1"/>
  <c r="AP139" i="27" s="1"/>
  <c r="AC71" i="27"/>
  <c r="AC72" i="27"/>
  <c r="AO139" i="27"/>
  <c r="AE80" i="27"/>
  <c r="AE66" i="27"/>
  <c r="AE68" i="27" s="1"/>
  <c r="AD70" i="27"/>
  <c r="AD75" i="27"/>
  <c r="AJ106" i="27"/>
  <c r="AD71" i="27" l="1"/>
  <c r="AK106" i="27"/>
  <c r="AQ138" i="27"/>
  <c r="AQ139" i="27"/>
  <c r="AE75" i="27"/>
  <c r="AE70" i="27"/>
  <c r="AE71" i="27" l="1"/>
  <c r="AD72" i="27"/>
  <c r="AL106" i="27"/>
  <c r="AR138" i="27"/>
  <c r="AE72" i="27" l="1"/>
  <c r="AM106" i="27"/>
  <c r="AS138" i="27"/>
  <c r="AR139" i="27"/>
  <c r="AN106" i="27" l="1"/>
  <c r="AT138" i="27"/>
  <c r="AT139" i="27"/>
  <c r="AS139" i="27"/>
  <c r="AP106" i="27" l="1"/>
  <c r="AO106" i="27"/>
  <c r="AU138" i="27"/>
  <c r="AU139" i="27"/>
  <c r="AV138" i="27" l="1"/>
  <c r="AV139" i="27" s="1"/>
  <c r="AW138" i="27" l="1"/>
  <c r="AX138" i="27" l="1"/>
  <c r="AX139" i="27" s="1"/>
  <c r="AW139" i="27"/>
  <c r="AY138" i="27" l="1"/>
  <c r="AY139" i="27" s="1"/>
  <c r="I23" i="15" l="1"/>
  <c r="J23" i="15"/>
  <c r="K23" i="15" s="1"/>
  <c r="L23" i="15" s="1"/>
  <c r="M23" i="15" s="1"/>
  <c r="N23" i="15" s="1"/>
  <c r="O23" i="15" s="1"/>
  <c r="P23" i="15" s="1"/>
  <c r="Q23" i="15" s="1"/>
  <c r="R23" i="15" s="1"/>
  <c r="S23" i="15" s="1"/>
  <c r="T23" i="15" s="1"/>
  <c r="U23" i="15" s="1"/>
  <c r="V23" i="15" s="1"/>
  <c r="W23" i="15" s="1"/>
  <c r="X23" i="15" s="1"/>
  <c r="Y23" i="15" s="1"/>
  <c r="Z23" i="15" s="1"/>
  <c r="AA23" i="15" s="1"/>
  <c r="AB23" i="15" s="1"/>
  <c r="AC23" i="15" s="1"/>
  <c r="H23" i="15"/>
  <c r="F25" i="15"/>
  <c r="F26" i="15"/>
  <c r="F28" i="15"/>
  <c r="F29" i="15"/>
  <c r="F31" i="15"/>
  <c r="F32" i="15"/>
  <c r="F34" i="15"/>
  <c r="F35" i="15"/>
  <c r="F36" i="15"/>
  <c r="F37" i="15"/>
  <c r="F38" i="15"/>
  <c r="F39" i="15"/>
  <c r="F40" i="15"/>
  <c r="F41" i="15"/>
  <c r="F42" i="15"/>
  <c r="F43" i="15"/>
  <c r="F44" i="15"/>
  <c r="F45" i="15"/>
  <c r="F46" i="15"/>
  <c r="F47" i="15"/>
  <c r="F48" i="15"/>
  <c r="F49" i="15"/>
  <c r="F50" i="15"/>
  <c r="F51" i="15"/>
  <c r="F53" i="15"/>
  <c r="F54" i="15"/>
  <c r="F55" i="15"/>
  <c r="F56" i="15"/>
  <c r="F57" i="15"/>
  <c r="F58" i="15"/>
  <c r="F59" i="15"/>
  <c r="F60" i="15"/>
  <c r="F61" i="15"/>
  <c r="F62" i="15"/>
  <c r="F63" i="15"/>
  <c r="F64" i="15"/>
  <c r="F33" i="15" l="1"/>
  <c r="B103" i="22" l="1"/>
  <c r="B105" i="22" l="1"/>
  <c r="B29" i="22"/>
  <c r="B22" i="22"/>
  <c r="B91" i="22"/>
  <c r="B89" i="22"/>
  <c r="B66" i="22"/>
  <c r="B49" i="22"/>
  <c r="B32" i="22"/>
  <c r="D26" i="5"/>
  <c r="A14" i="15"/>
  <c r="A11" i="15"/>
  <c r="A8" i="15"/>
  <c r="A4" i="15"/>
  <c r="E64" i="15"/>
  <c r="E63" i="15"/>
  <c r="E62" i="15"/>
  <c r="E61" i="15"/>
  <c r="E60" i="15"/>
  <c r="E59" i="15"/>
  <c r="E58" i="15"/>
  <c r="E57" i="15"/>
  <c r="E56" i="15"/>
  <c r="E55" i="15"/>
  <c r="E54" i="15"/>
  <c r="E53" i="15"/>
  <c r="E51" i="15"/>
  <c r="E50" i="15"/>
  <c r="E49" i="15"/>
  <c r="E48" i="15"/>
  <c r="E47" i="15"/>
  <c r="E46" i="15"/>
  <c r="E45" i="15"/>
  <c r="E44" i="15"/>
  <c r="E43" i="15"/>
  <c r="E42" i="15"/>
  <c r="E41" i="15"/>
  <c r="E40" i="15"/>
  <c r="E39" i="15"/>
  <c r="E38" i="15"/>
  <c r="E37" i="15"/>
  <c r="E36" i="15"/>
  <c r="E35" i="15"/>
  <c r="E34" i="15"/>
  <c r="C51" i="7"/>
  <c r="E33" i="15"/>
  <c r="E32" i="15"/>
  <c r="E31" i="15"/>
  <c r="W30" i="15"/>
  <c r="V30" i="15"/>
  <c r="U30" i="15"/>
  <c r="S30" i="15"/>
  <c r="Q30" i="15"/>
  <c r="O30" i="15"/>
  <c r="N30" i="15"/>
  <c r="M30" i="15"/>
  <c r="G30" i="15"/>
  <c r="E29" i="15"/>
  <c r="E28" i="15"/>
  <c r="E27" i="15"/>
  <c r="E26" i="15"/>
  <c r="E25" i="15"/>
  <c r="W24" i="15"/>
  <c r="V24" i="15"/>
  <c r="U24" i="15"/>
  <c r="S24" i="15"/>
  <c r="Q24" i="15"/>
  <c r="O24" i="15"/>
  <c r="N24" i="15"/>
  <c r="M24" i="15"/>
  <c r="G24" i="15"/>
  <c r="F30" i="15" l="1"/>
  <c r="D52" i="15"/>
  <c r="B30" i="22"/>
  <c r="E24" i="15"/>
  <c r="E30" i="15"/>
  <c r="F27" i="15" l="1"/>
  <c r="C50" i="7"/>
  <c r="D24" i="15"/>
  <c r="F52" i="15"/>
  <c r="E52" i="15"/>
  <c r="B81" i="27" l="1"/>
  <c r="B27" i="22"/>
  <c r="F24" i="15"/>
  <c r="B34" i="22" l="1"/>
  <c r="B38" i="22"/>
  <c r="B46" i="22"/>
  <c r="B80" i="22"/>
  <c r="B90" i="22"/>
  <c r="B42" i="22"/>
  <c r="B51" i="22"/>
  <c r="B72" i="22"/>
  <c r="B63" i="22"/>
  <c r="B76" i="22"/>
  <c r="B68" i="22"/>
  <c r="B55" i="22"/>
  <c r="B88" i="22"/>
  <c r="B59" i="22"/>
  <c r="B83" i="22"/>
  <c r="D67" i="27"/>
  <c r="E67" i="27"/>
  <c r="C67" i="27"/>
  <c r="F67" i="27"/>
  <c r="B79" i="27"/>
  <c r="G67" i="27"/>
  <c r="A15" i="10"/>
  <c r="A12" i="10"/>
  <c r="A9" i="10"/>
  <c r="A5" i="10"/>
  <c r="C79" i="27" l="1"/>
  <c r="B83" i="27"/>
  <c r="D76" i="27"/>
  <c r="D65" i="27"/>
  <c r="D59" i="27" s="1"/>
  <c r="D66" i="27" s="1"/>
  <c r="D68" i="27" s="1"/>
  <c r="F65" i="27"/>
  <c r="F59" i="27" s="1"/>
  <c r="F66" i="27" s="1"/>
  <c r="F68" i="27" s="1"/>
  <c r="F76" i="27"/>
  <c r="D79" i="27"/>
  <c r="E79" i="27" s="1"/>
  <c r="C65" i="27"/>
  <c r="C59" i="27" s="1"/>
  <c r="C66" i="27" s="1"/>
  <c r="C68" i="27" s="1"/>
  <c r="C76" i="27"/>
  <c r="H67" i="27"/>
  <c r="G76" i="27"/>
  <c r="G65" i="27"/>
  <c r="G59" i="27" s="1"/>
  <c r="G66" i="27" s="1"/>
  <c r="G68" i="27" s="1"/>
  <c r="E76" i="27"/>
  <c r="E65" i="27"/>
  <c r="E59" i="27" s="1"/>
  <c r="E66" i="27" s="1"/>
  <c r="E68" i="27" s="1"/>
  <c r="C40" i="7"/>
  <c r="D75" i="27" l="1"/>
  <c r="D70" i="27"/>
  <c r="D71" i="27" s="1"/>
  <c r="D72" i="27" s="1"/>
  <c r="G75" i="27"/>
  <c r="G70" i="27"/>
  <c r="E75" i="27"/>
  <c r="E70" i="27"/>
  <c r="E71" i="27" s="1"/>
  <c r="E72" i="27" s="1"/>
  <c r="C75" i="27"/>
  <c r="C70" i="27"/>
  <c r="C71" i="27" s="1"/>
  <c r="F70" i="27"/>
  <c r="F75" i="27"/>
  <c r="B88" i="27"/>
  <c r="B86" i="27"/>
  <c r="B84" i="27"/>
  <c r="B89" i="27" s="1"/>
  <c r="H65" i="27"/>
  <c r="H59" i="27" s="1"/>
  <c r="H66" i="27" s="1"/>
  <c r="H68" i="27" s="1"/>
  <c r="I67" i="27"/>
  <c r="H76" i="27"/>
  <c r="F79" i="27"/>
  <c r="A8" i="17"/>
  <c r="E9" i="14"/>
  <c r="A14" i="12"/>
  <c r="A8" i="12"/>
  <c r="H75" i="27" l="1"/>
  <c r="H70" i="27"/>
  <c r="H71" i="27" s="1"/>
  <c r="H72" i="27" s="1"/>
  <c r="C72" i="27"/>
  <c r="C78" i="27"/>
  <c r="C83" i="27" s="1"/>
  <c r="G71" i="27"/>
  <c r="G72" i="27" s="1"/>
  <c r="G79" i="27"/>
  <c r="H79" i="27" s="1"/>
  <c r="J67" i="27"/>
  <c r="I65" i="27"/>
  <c r="I59" i="27" s="1"/>
  <c r="I66" i="27" s="1"/>
  <c r="I68" i="27" s="1"/>
  <c r="I76" i="27"/>
  <c r="B87" i="27"/>
  <c r="B90" i="27" s="1"/>
  <c r="F71" i="27"/>
  <c r="A15" i="5"/>
  <c r="A15" i="22" s="1"/>
  <c r="B21" i="22" s="1"/>
  <c r="A12" i="5"/>
  <c r="A12" i="22" s="1"/>
  <c r="A9" i="5"/>
  <c r="A9" i="22" s="1"/>
  <c r="A5" i="5"/>
  <c r="A5" i="22" s="1"/>
  <c r="A15" i="16"/>
  <c r="A12" i="16"/>
  <c r="A9" i="16"/>
  <c r="A4" i="17"/>
  <c r="A14" i="17"/>
  <c r="A11" i="17"/>
  <c r="A6" i="13"/>
  <c r="A5" i="14"/>
  <c r="A4" i="12"/>
  <c r="A5" i="16" s="1"/>
  <c r="A5" i="6"/>
  <c r="A15" i="6"/>
  <c r="A12" i="6"/>
  <c r="A9" i="6"/>
  <c r="E15" i="14"/>
  <c r="E12" i="14"/>
  <c r="A16" i="13"/>
  <c r="A13" i="13"/>
  <c r="A10" i="13"/>
  <c r="A11" i="12"/>
  <c r="J76" i="27" l="1"/>
  <c r="J65" i="27"/>
  <c r="J59" i="27" s="1"/>
  <c r="J66" i="27" s="1"/>
  <c r="J68" i="27" s="1"/>
  <c r="K67" i="27"/>
  <c r="C86" i="27"/>
  <c r="C88" i="27"/>
  <c r="C84" i="27"/>
  <c r="C89" i="27" s="1"/>
  <c r="F72" i="27"/>
  <c r="I79" i="27"/>
  <c r="I75" i="27"/>
  <c r="I70" i="27"/>
  <c r="I71" i="27" s="1"/>
  <c r="I72" i="27" s="1"/>
  <c r="D78" i="27"/>
  <c r="D83" i="27" s="1"/>
  <c r="D86" i="27"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78" i="27" l="1"/>
  <c r="E83" i="27" s="1"/>
  <c r="E86" i="27" s="1"/>
  <c r="E87" i="27" s="1"/>
  <c r="J70" i="27"/>
  <c r="J71" i="27" s="1"/>
  <c r="J75" i="27"/>
  <c r="D88" i="27"/>
  <c r="E88" i="27"/>
  <c r="J79" i="27"/>
  <c r="D84" i="27"/>
  <c r="D89" i="27" s="1"/>
  <c r="D87" i="27"/>
  <c r="C87" i="27"/>
  <c r="C90" i="27" s="1"/>
  <c r="L67" i="27"/>
  <c r="K76" i="27"/>
  <c r="K65" i="27"/>
  <c r="K59" i="27" s="1"/>
  <c r="K66" i="27" s="1"/>
  <c r="K68" i="27" s="1"/>
  <c r="C48" i="7"/>
  <c r="E90" i="27" l="1"/>
  <c r="F78" i="27"/>
  <c r="F83" i="27" s="1"/>
  <c r="F86" i="27" s="1"/>
  <c r="F87" i="27" s="1"/>
  <c r="F90" i="27" s="1"/>
  <c r="E84" i="27"/>
  <c r="E89" i="27"/>
  <c r="J72" i="27"/>
  <c r="D90" i="27"/>
  <c r="K79" i="27"/>
  <c r="M67" i="27"/>
  <c r="L76" i="27"/>
  <c r="L65" i="27"/>
  <c r="L59" i="27" s="1"/>
  <c r="L66" i="27" s="1"/>
  <c r="L68" i="27" s="1"/>
  <c r="K75" i="27"/>
  <c r="K70" i="27"/>
  <c r="K71" i="27" s="1"/>
  <c r="F88" i="27"/>
  <c r="C49" i="7"/>
  <c r="F84" i="27" l="1"/>
  <c r="F89" i="27" s="1"/>
  <c r="G78" i="27"/>
  <c r="G83" i="27" s="1"/>
  <c r="K72" i="27"/>
  <c r="N67" i="27"/>
  <c r="M76" i="27"/>
  <c r="M65" i="27"/>
  <c r="M59" i="27" s="1"/>
  <c r="M66" i="27" s="1"/>
  <c r="M68" i="27" s="1"/>
  <c r="L75" i="27"/>
  <c r="L70" i="27"/>
  <c r="L71" i="27" s="1"/>
  <c r="L79" i="27"/>
  <c r="M79" i="27" s="1"/>
  <c r="N79" i="27" s="1"/>
  <c r="O79" i="27" s="1"/>
  <c r="P79" i="27" s="1"/>
  <c r="Q79" i="27" s="1"/>
  <c r="R79" i="27" s="1"/>
  <c r="S79" i="27" s="1"/>
  <c r="T79" i="27" s="1"/>
  <c r="U79" i="27" s="1"/>
  <c r="V79" i="27" s="1"/>
  <c r="W79" i="27" s="1"/>
  <c r="X79" i="27" s="1"/>
  <c r="Y79" i="27" s="1"/>
  <c r="Z79" i="27" s="1"/>
  <c r="AA79" i="27" s="1"/>
  <c r="AB79" i="27" s="1"/>
  <c r="AC79" i="27" s="1"/>
  <c r="AD79" i="27" s="1"/>
  <c r="AE79" i="27" s="1"/>
  <c r="H78" i="27" l="1"/>
  <c r="H83" i="27" s="1"/>
  <c r="H86" i="27" s="1"/>
  <c r="M75" i="27"/>
  <c r="M70" i="27"/>
  <c r="G86" i="27"/>
  <c r="H88" i="27"/>
  <c r="G84" i="27"/>
  <c r="G89" i="27" s="1"/>
  <c r="G88" i="27"/>
  <c r="L72" i="27"/>
  <c r="H84" i="27"/>
  <c r="N76" i="27"/>
  <c r="O67" i="27"/>
  <c r="N65" i="27"/>
  <c r="N59" i="27" s="1"/>
  <c r="N66" i="27" s="1"/>
  <c r="N68" i="27" s="1"/>
  <c r="I78" i="27" l="1"/>
  <c r="J78" i="27" s="1"/>
  <c r="H89" i="27"/>
  <c r="N75" i="27"/>
  <c r="N70" i="27"/>
  <c r="N71" i="27" s="1"/>
  <c r="I83" i="27"/>
  <c r="P67" i="27"/>
  <c r="O76" i="27"/>
  <c r="O65" i="27"/>
  <c r="O59" i="27" s="1"/>
  <c r="O66" i="27" s="1"/>
  <c r="O68" i="27" s="1"/>
  <c r="M71" i="27"/>
  <c r="M72" i="27" s="1"/>
  <c r="H87" i="27"/>
  <c r="G87" i="27"/>
  <c r="G90" i="27" s="1"/>
  <c r="I86" i="27" l="1"/>
  <c r="I88" i="27"/>
  <c r="I84" i="27"/>
  <c r="I89" i="27" s="1"/>
  <c r="P76" i="27"/>
  <c r="Q67" i="27"/>
  <c r="P65" i="27"/>
  <c r="P59" i="27" s="1"/>
  <c r="P66" i="27" s="1"/>
  <c r="P68" i="27" s="1"/>
  <c r="N72" i="27"/>
  <c r="H90" i="27"/>
  <c r="O70" i="27"/>
  <c r="O71" i="27" s="1"/>
  <c r="O72" i="27" s="1"/>
  <c r="O75" i="27"/>
  <c r="J83" i="27"/>
  <c r="K78" i="27"/>
  <c r="K83" i="27" l="1"/>
  <c r="L78" i="27"/>
  <c r="J86" i="27"/>
  <c r="J88" i="27"/>
  <c r="J84" i="27"/>
  <c r="J89" i="27" s="1"/>
  <c r="R67" i="27"/>
  <c r="Q76" i="27"/>
  <c r="Q65" i="27"/>
  <c r="Q59" i="27" s="1"/>
  <c r="Q66" i="27" s="1"/>
  <c r="Q68" i="27" s="1"/>
  <c r="P75" i="27"/>
  <c r="P70" i="27"/>
  <c r="I87" i="27"/>
  <c r="I90" i="27" s="1"/>
  <c r="J87" i="27"/>
  <c r="J90" i="27" s="1"/>
  <c r="R76" i="27" l="1"/>
  <c r="S67" i="27"/>
  <c r="R65" i="27"/>
  <c r="R59" i="27" s="1"/>
  <c r="R66" i="27" s="1"/>
  <c r="R68" i="27" s="1"/>
  <c r="P71" i="27"/>
  <c r="P72" i="27" s="1"/>
  <c r="Q70" i="27"/>
  <c r="Q75" i="27"/>
  <c r="L83" i="27"/>
  <c r="M78" i="27"/>
  <c r="K86" i="27"/>
  <c r="K88" i="27"/>
  <c r="K84" i="27"/>
  <c r="K89" i="27" s="1"/>
  <c r="R70" i="27" l="1"/>
  <c r="R75" i="27"/>
  <c r="K87" i="27"/>
  <c r="K90" i="27" s="1"/>
  <c r="Q71" i="27"/>
  <c r="M83" i="27"/>
  <c r="N78" i="27"/>
  <c r="N83" i="27" s="1"/>
  <c r="S76" i="27"/>
  <c r="T67" i="27"/>
  <c r="S65" i="27"/>
  <c r="S59" i="27" s="1"/>
  <c r="S66" i="27" s="1"/>
  <c r="S68" i="27" s="1"/>
  <c r="L86" i="27"/>
  <c r="B103" i="27" s="1"/>
  <c r="L84" i="27"/>
  <c r="L89" i="27" s="1"/>
  <c r="L88" i="27"/>
  <c r="O78" i="27" l="1"/>
  <c r="O83" i="27" s="1"/>
  <c r="O86" i="27" s="1"/>
  <c r="S75" i="27"/>
  <c r="S70" i="27"/>
  <c r="N86" i="27"/>
  <c r="N84" i="27"/>
  <c r="N88" i="27"/>
  <c r="T76" i="27"/>
  <c r="U67" i="27"/>
  <c r="T65" i="27"/>
  <c r="T59" i="27" s="1"/>
  <c r="T66" i="27" s="1"/>
  <c r="T68" i="27" s="1"/>
  <c r="M86" i="27"/>
  <c r="M87" i="27" s="1"/>
  <c r="M84" i="27"/>
  <c r="M89" i="27" s="1"/>
  <c r="M88" i="27"/>
  <c r="L87" i="27"/>
  <c r="Q72" i="27"/>
  <c r="R71" i="27"/>
  <c r="R72" i="27"/>
  <c r="O84" i="27" l="1"/>
  <c r="O89" i="27" s="1"/>
  <c r="O88" i="27"/>
  <c r="N89" i="27"/>
  <c r="P78" i="27"/>
  <c r="L90" i="27"/>
  <c r="G29" i="27"/>
  <c r="T75" i="27"/>
  <c r="T70" i="27"/>
  <c r="U76" i="27"/>
  <c r="V67" i="27"/>
  <c r="U65" i="27"/>
  <c r="U59" i="27" s="1"/>
  <c r="U66" i="27" s="1"/>
  <c r="U68" i="27" s="1"/>
  <c r="O87" i="27"/>
  <c r="N87" i="27"/>
  <c r="N90" i="27" s="1"/>
  <c r="M90" i="27"/>
  <c r="S71" i="27"/>
  <c r="S72" i="27" s="1"/>
  <c r="P83" i="27" l="1"/>
  <c r="Q78" i="27"/>
  <c r="Q83" i="27" s="1"/>
  <c r="Q86" i="27" s="1"/>
  <c r="U70" i="27"/>
  <c r="U75" i="27"/>
  <c r="T71" i="27"/>
  <c r="W67" i="27"/>
  <c r="V76" i="27"/>
  <c r="V65" i="27"/>
  <c r="V59" i="27" s="1"/>
  <c r="V66" i="27" s="1"/>
  <c r="V68" i="27" s="1"/>
  <c r="O90" i="27"/>
  <c r="R78" i="27" l="1"/>
  <c r="R83" i="27" s="1"/>
  <c r="R86" i="27" s="1"/>
  <c r="P86" i="27"/>
  <c r="Q87" i="27" s="1"/>
  <c r="P84" i="27"/>
  <c r="P89" i="27" s="1"/>
  <c r="P88" i="27"/>
  <c r="Q88" i="27"/>
  <c r="Q84" i="27"/>
  <c r="U71" i="27"/>
  <c r="V70" i="27"/>
  <c r="V75" i="27"/>
  <c r="W76" i="27"/>
  <c r="X67" i="27"/>
  <c r="W65" i="27"/>
  <c r="W59" i="27" s="1"/>
  <c r="W66" i="27" s="1"/>
  <c r="W68" i="27" s="1"/>
  <c r="T72" i="27"/>
  <c r="Q89" i="27" l="1"/>
  <c r="R84" i="27"/>
  <c r="R89" i="27" s="1"/>
  <c r="R88" i="27"/>
  <c r="S78" i="27"/>
  <c r="S83" i="27" s="1"/>
  <c r="S86" i="27" s="1"/>
  <c r="S87" i="27" s="1"/>
  <c r="P87" i="27"/>
  <c r="P90" i="27" s="1"/>
  <c r="R87" i="27"/>
  <c r="R90" i="27" s="1"/>
  <c r="U72" i="27"/>
  <c r="T78" i="27"/>
  <c r="T83" i="27" s="1"/>
  <c r="Y67" i="27"/>
  <c r="X76" i="27"/>
  <c r="X65" i="27"/>
  <c r="X59" i="27" s="1"/>
  <c r="X66" i="27" s="1"/>
  <c r="X68" i="27" s="1"/>
  <c r="W75" i="27"/>
  <c r="W70" i="27"/>
  <c r="V71" i="27"/>
  <c r="S84" i="27" l="1"/>
  <c r="S89" i="27" s="1"/>
  <c r="S88" i="27"/>
  <c r="V72" i="27"/>
  <c r="U78" i="27"/>
  <c r="U83" i="27" s="1"/>
  <c r="T88" i="27"/>
  <c r="T86" i="27"/>
  <c r="T87" i="27" s="1"/>
  <c r="T90" i="27" s="1"/>
  <c r="T84" i="27"/>
  <c r="S90" i="27"/>
  <c r="Q90" i="27"/>
  <c r="X70" i="27"/>
  <c r="X75" i="27"/>
  <c r="W71" i="27"/>
  <c r="Z67" i="27"/>
  <c r="Y76" i="27"/>
  <c r="Y65" i="27"/>
  <c r="Y59" i="27" s="1"/>
  <c r="Y66" i="27" s="1"/>
  <c r="Y68" i="27" s="1"/>
  <c r="T89" i="27" l="1"/>
  <c r="U86" i="27"/>
  <c r="U84" i="27"/>
  <c r="U89" i="27" s="1"/>
  <c r="V78" i="27"/>
  <c r="V83" i="27" s="1"/>
  <c r="U88" i="27"/>
  <c r="U87" i="27"/>
  <c r="U90" i="27" s="1"/>
  <c r="AA67" i="27"/>
  <c r="Z76" i="27"/>
  <c r="Z65" i="27"/>
  <c r="Z59" i="27" s="1"/>
  <c r="Z66" i="27" s="1"/>
  <c r="Z68" i="27" s="1"/>
  <c r="W72" i="27"/>
  <c r="Y75" i="27"/>
  <c r="Y70" i="27"/>
  <c r="X71" i="27"/>
  <c r="X72" i="27" s="1"/>
  <c r="V86" i="27" l="1"/>
  <c r="V87" i="27" s="1"/>
  <c r="V90" i="27" s="1"/>
  <c r="V84" i="27"/>
  <c r="V89" i="27" s="1"/>
  <c r="V88" i="27"/>
  <c r="W78" i="27"/>
  <c r="W83" i="27" s="1"/>
  <c r="W86" i="27" s="1"/>
  <c r="Z70" i="27"/>
  <c r="Z75" i="27"/>
  <c r="Y71" i="27"/>
  <c r="Y72" i="27" s="1"/>
  <c r="AB67" i="27"/>
  <c r="AA76" i="27"/>
  <c r="AA65" i="27"/>
  <c r="AA59" i="27" s="1"/>
  <c r="AA66" i="27" s="1"/>
  <c r="AA68" i="27" s="1"/>
  <c r="W87" i="27" l="1"/>
  <c r="W90" i="27" s="1"/>
  <c r="W88" i="27"/>
  <c r="X78" i="27"/>
  <c r="X83" i="27" s="1"/>
  <c r="X88" i="27" s="1"/>
  <c r="W84" i="27"/>
  <c r="W89" i="27" s="1"/>
  <c r="AB76" i="27"/>
  <c r="AB65" i="27"/>
  <c r="AB59" i="27" s="1"/>
  <c r="AB66" i="27" s="1"/>
  <c r="AB68" i="27" s="1"/>
  <c r="AA75" i="27"/>
  <c r="AA70" i="27"/>
  <c r="Z71" i="27"/>
  <c r="Y78" i="27" l="1"/>
  <c r="Y83" i="27" s="1"/>
  <c r="Y86" i="27" s="1"/>
  <c r="X84" i="27"/>
  <c r="X89" i="27" s="1"/>
  <c r="X86" i="27"/>
  <c r="X87" i="27" s="1"/>
  <c r="X90" i="27" s="1"/>
  <c r="AA71" i="27"/>
  <c r="AB70" i="27"/>
  <c r="AB75" i="27"/>
  <c r="Z72" i="27"/>
  <c r="Z78" i="27" l="1"/>
  <c r="Z83" i="27" s="1"/>
  <c r="Z88" i="27" s="1"/>
  <c r="Y84" i="27"/>
  <c r="Y89" i="27" s="1"/>
  <c r="Y88" i="27"/>
  <c r="Y87" i="27"/>
  <c r="Y90" i="27" s="1"/>
  <c r="AB71" i="27"/>
  <c r="AA72" i="27"/>
  <c r="Z84" i="27" l="1"/>
  <c r="Z89" i="27" s="1"/>
  <c r="Z86" i="27"/>
  <c r="Z87" i="27" s="1"/>
  <c r="Z90" i="27" s="1"/>
  <c r="AA78" i="27"/>
  <c r="AA83" i="27" s="1"/>
  <c r="AB72" i="27"/>
  <c r="AB78" i="27" l="1"/>
  <c r="AB83" i="27" s="1"/>
  <c r="AB86" i="27" s="1"/>
  <c r="AA88" i="27"/>
  <c r="AA84" i="27"/>
  <c r="AA89" i="27" s="1"/>
  <c r="AA86" i="27"/>
  <c r="AA87" i="27" s="1"/>
  <c r="AA90" i="27" s="1"/>
  <c r="AC78" i="27" l="1"/>
  <c r="AC83" i="27" s="1"/>
  <c r="AC86" i="27" s="1"/>
  <c r="AB88" i="27"/>
  <c r="AB84" i="27"/>
  <c r="AB89" i="27"/>
  <c r="AB87" i="27"/>
  <c r="AB90" i="27" s="1"/>
  <c r="AD78" i="27"/>
  <c r="AD83" i="27" s="1"/>
  <c r="AD86" i="27" s="1"/>
  <c r="AD87" i="27" s="1"/>
  <c r="AC87" i="27"/>
  <c r="AD84" i="27" l="1"/>
  <c r="AC88" i="27"/>
  <c r="AC84" i="27"/>
  <c r="AC89" i="27" s="1"/>
  <c r="AC90" i="27"/>
  <c r="AD88" i="27"/>
  <c r="AE78" i="27"/>
  <c r="AE83" i="27" s="1"/>
  <c r="AE86" i="27" s="1"/>
  <c r="AE87" i="27" s="1"/>
  <c r="AE90" i="27" s="1"/>
  <c r="AD90" i="27"/>
  <c r="AD89" i="27" l="1"/>
  <c r="AE88" i="27"/>
  <c r="AE84" i="27"/>
  <c r="AE89" i="27" s="1"/>
  <c r="G27" i="27" s="1"/>
  <c r="D103" i="27" s="1"/>
  <c r="G28" i="27"/>
  <c r="A103" i="27" s="1"/>
</calcChain>
</file>

<file path=xl/sharedStrings.xml><?xml version="1.0" encoding="utf-8"?>
<sst xmlns="http://schemas.openxmlformats.org/spreadsheetml/2006/main" count="1180" uniqueCount="613">
  <si>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</si>
  <si>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</si>
  <si>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</si>
  <si>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</si>
  <si>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</si>
  <si>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</si>
  <si>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</si>
  <si>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</si>
  <si>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</si>
  <si>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</si>
  <si>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</si>
  <si>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</si>
  <si>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</si>
  <si>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</si>
  <si>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</si>
  <si>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</si>
  <si>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</si>
  <si>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</si>
  <si>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</si>
  <si>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</si>
  <si>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</si>
  <si>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</si>
  <si>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</si>
  <si>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</si>
  <si>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</si>
  <si>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</si>
  <si>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</si>
  <si>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</si>
  <si>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</si>
  <si>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</si>
  <si>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</si>
  <si>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</si>
  <si>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</si>
  <si>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</si>
  <si>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</si>
  <si>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</si>
  <si>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</si>
  <si>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</si>
  <si>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</si>
  <si>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</si>
  <si>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</si>
  <si>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</si>
  <si>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</si>
  <si>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</si>
  <si>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</si>
  <si>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</si>
  <si>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</si>
  <si>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</si>
  <si>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</si>
  <si>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</si>
  <si>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</si>
  <si>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</si>
  <si>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</si>
  <si>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</si>
  <si>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</si>
  <si>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</si>
  <si>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</si>
  <si>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</si>
  <si>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</si>
  <si>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</si>
  <si>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</si>
  <si>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</si>
  <si>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</si>
  <si>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</si>
  <si>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</si>
  <si>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</si>
  <si>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</si>
  <si>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</si>
  <si>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</si>
  <si>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</si>
  <si>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</si>
  <si>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</si>
  <si>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</si>
  <si>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</si>
  <si>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</si>
  <si>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</si>
  <si>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</si>
  <si>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</si>
  <si>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</si>
  <si>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</si>
  <si>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</si>
  <si>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</si>
  <si>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</si>
  <si>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</si>
  <si>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</si>
  <si>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</si>
  <si>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</si>
  <si>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</si>
  <si>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</si>
  <si>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</si>
  <si>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</si>
  <si>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</si>
  <si>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</si>
  <si>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</si>
  <si>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</si>
  <si>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</si>
  <si>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</si>
  <si>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</si>
  <si>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</si>
  <si>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</si>
  <si>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</si>
  <si>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</si>
  <si>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</si>
  <si>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</si>
  <si>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</si>
  <si>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</si>
  <si>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</si>
  <si>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</si>
  <si>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</si>
  <si>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</si>
  <si>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</si>
  <si>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</si>
  <si>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</si>
  <si>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</si>
  <si>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</si>
  <si>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</si>
  <si>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</si>
  <si>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</si>
  <si>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</si>
  <si>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</si>
  <si>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</si>
  <si>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</si>
  <si>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</si>
  <si>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</si>
  <si>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</si>
  <si>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</si>
  <si>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</si>
  <si>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</si>
  <si>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</si>
  <si>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</si>
  <si>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</si>
  <si>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</si>
  <si>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</si>
  <si>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</si>
  <si>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</si>
  <si>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</si>
  <si>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</si>
  <si>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</si>
  <si>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</si>
  <si>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</si>
  <si>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</si>
  <si>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</si>
  <si>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</si>
  <si>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</si>
  <si>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</si>
  <si>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</si>
  <si>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</si>
  <si>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</si>
  <si>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</si>
  <si>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</si>
  <si>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</si>
  <si>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</si>
  <si>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</si>
  <si>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</si>
  <si>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</si>
  <si>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</si>
  <si>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</si>
  <si>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</si>
  <si>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</si>
  <si>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</si>
  <si>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</si>
  <si>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</si>
  <si>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</si>
  <si>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</si>
  <si>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</si>
  <si>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</si>
  <si>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</si>
  <si>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</si>
  <si>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</si>
  <si>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</si>
  <si>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</si>
  <si>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</si>
  <si>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</si>
  <si>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</si>
  <si>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</si>
  <si>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</si>
  <si>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</si>
  <si>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</si>
  <si>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</si>
  <si>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</si>
  <si>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</si>
  <si>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</si>
  <si>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</si>
  <si>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</si>
  <si>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</si>
  <si>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</si>
  <si>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</si>
  <si>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</si>
  <si>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</si>
  <si>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</si>
  <si>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</si>
  <si>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</si>
  <si>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</si>
  <si>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</si>
  <si>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</si>
  <si>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</si>
  <si>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</si>
  <si>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</si>
  <si>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</si>
  <si>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</si>
  <si>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</si>
  <si>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</si>
  <si>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</si>
  <si>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</si>
  <si>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</si>
  <si>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</si>
  <si>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</si>
  <si>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</si>
  <si>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</si>
  <si>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</si>
  <si>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</si>
  <si>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</si>
  <si>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</si>
  <si>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</si>
  <si>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</si>
  <si>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</si>
  <si>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</si>
  <si>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</si>
  <si>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</si>
  <si>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</si>
  <si>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</si>
  <si>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</si>
  <si>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</si>
  <si>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</si>
  <si>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</si>
  <si>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</si>
  <si>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</si>
  <si>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</si>
  <si>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</si>
  <si>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</si>
  <si>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</si>
  <si>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</si>
  <si>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</si>
  <si>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</si>
  <si>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</si>
  <si>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</si>
  <si>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</si>
  <si>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</si>
  <si>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</si>
  <si>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</si>
  <si>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</si>
  <si>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</si>
  <si>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</si>
  <si>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</si>
  <si>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</si>
  <si>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</si>
  <si>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</si>
  <si>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</si>
  <si>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</si>
  <si>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</si>
  <si>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</si>
  <si>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</si>
  <si>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</si>
  <si>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</si>
  <si>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</si>
  <si>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</si>
  <si>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</si>
  <si>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</si>
  <si>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</si>
  <si>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</si>
  <si>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</si>
  <si>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</si>
  <si>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</si>
  <si>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</si>
  <si>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</si>
  <si>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</si>
  <si>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</si>
  <si>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</si>
  <si>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</si>
  <si>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</si>
  <si>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</si>
  <si>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</si>
  <si>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</si>
  <si>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</si>
  <si>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</si>
  <si>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</si>
  <si>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</si>
  <si>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</si>
  <si>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</si>
  <si>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</si>
  <si>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</si>
  <si>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</si>
  <si>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</si>
  <si>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</si>
  <si>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</si>
  <si>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</si>
  <si>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</si>
  <si>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</si>
  <si>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</si>
  <si>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</si>
  <si>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</si>
  <si>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</si>
  <si>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</si>
  <si>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</si>
  <si>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</si>
  <si>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</si>
  <si>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</si>
  <si>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</si>
  <si>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</si>
  <si>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</si>
  <si>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</si>
  <si>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</si>
  <si>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</si>
  <si>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</si>
  <si>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</si>
  <si>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</si>
  <si>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</si>
  <si>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</si>
  <si>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</si>
  <si>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</si>
  <si>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</si>
  <si>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</si>
  <si>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</si>
  <si>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</si>
  <si>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</si>
  <si>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</si>
  <si>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</si>
  <si>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</si>
  <si>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</si>
  <si>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</si>
  <si>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</si>
  <si>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</si>
  <si>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</si>
  <si>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</si>
  <si>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</si>
  <si>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</si>
  <si>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</si>
  <si>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</si>
  <si>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</si>
  <si>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</si>
  <si>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</si>
  <si>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</si>
  <si>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</si>
  <si>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</si>
  <si>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</si>
  <si>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</si>
  <si>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</si>
  <si>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</si>
  <si>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</si>
  <si>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</si>
  <si>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</si>
  <si>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</si>
  <si>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</si>
  <si>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</si>
  <si>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</si>
  <si>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</si>
  <si>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</si>
  <si>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</si>
  <si>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</si>
  <si>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</si>
  <si>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</si>
  <si>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</si>
  <si>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</si>
  <si>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</si>
  <si>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</si>
  <si>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</si>
  <si>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</si>
  <si>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</si>
  <si>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</si>
  <si>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</si>
  <si>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</si>
  <si>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</si>
  <si>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</si>
  <si>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</si>
  <si>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</si>
  <si>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</si>
  <si>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</si>
  <si>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</si>
  <si>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</si>
  <si>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</si>
  <si>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</si>
  <si>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</si>
  <si>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</si>
  <si>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</si>
  <si>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</si>
  <si>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</si>
  <si>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</si>
  <si>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</si>
  <si>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</si>
  <si>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</si>
  <si>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</si>
  <si>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</si>
  <si>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</si>
  <si>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</si>
  <si>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</si>
  <si>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</si>
  <si>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</si>
  <si>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</si>
  <si>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</si>
  <si>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</si>
  <si>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</si>
  <si>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</si>
  <si>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</si>
  <si>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</si>
  <si>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</si>
  <si>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</si>
  <si>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</si>
  <si>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</si>
  <si>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</si>
  <si>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</si>
  <si>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</si>
  <si>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</si>
  <si>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</si>
  <si>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</si>
  <si>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</si>
  <si>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</si>
  <si>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</si>
  <si>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</si>
  <si>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</si>
  <si>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</si>
  <si>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</si>
  <si>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</si>
  <si>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</si>
  <si>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</si>
  <si>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</si>
  <si>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</si>
  <si>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</si>
  <si>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</si>
  <si>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</si>
  <si>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</si>
  <si>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</si>
  <si>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</si>
  <si>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</si>
  <si>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</si>
  <si>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</si>
  <si>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</si>
  <si>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</si>
  <si>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</si>
  <si>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</si>
  <si>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</si>
  <si>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</si>
  <si>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</si>
  <si>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</si>
  <si>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</si>
  <si>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</si>
  <si>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</si>
  <si>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</si>
  <si>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</si>
  <si>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</si>
  <si>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</si>
  <si>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</si>
  <si>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</si>
  <si>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</si>
  <si>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</si>
  <si>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</si>
  <si>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</si>
  <si>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</si>
  <si>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</si>
  <si>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</si>
  <si>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</si>
  <si>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</si>
  <si>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</si>
  <si>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</si>
  <si>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</si>
  <si>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</si>
  <si>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</si>
  <si>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</si>
  <si>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</si>
  <si>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</si>
  <si>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</si>
  <si>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</si>
  <si>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</si>
  <si>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</si>
  <si>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</si>
  <si>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</si>
  <si>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</si>
  <si>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</si>
  <si>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</si>
  <si>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</si>
  <si>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</si>
  <si>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</si>
  <si>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</si>
  <si>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</si>
  <si>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</si>
  <si>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</si>
  <si>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</si>
  <si>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</si>
  <si>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</si>
  <si>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</si>
  <si>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</si>
  <si>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</si>
  <si>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</si>
  <si>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</si>
  <si>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</si>
  <si>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</si>
  <si>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</si>
  <si>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</si>
  <si>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</si>
  <si>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</si>
  <si>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</si>
  <si>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</si>
  <si>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</si>
  <si>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</si>
  <si>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</si>
  <si>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</si>
  <si>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</si>
  <si>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</si>
  <si>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</si>
  <si>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</si>
  <si>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</si>
  <si>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</si>
  <si>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</si>
  <si>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</si>
  <si>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</si>
  <si>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</si>
  <si>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</si>
  <si>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</si>
  <si>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</si>
  <si>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</si>
  <si>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</si>
  <si>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</si>
  <si>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</si>
  <si>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</si>
  <si>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</si>
  <si>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</si>
  <si>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</si>
  <si>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</si>
  <si>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</si>
  <si>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</si>
  <si>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</si>
  <si>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</si>
  <si>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</si>
  <si>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</si>
  <si>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инфляция для тарифов</t>
  </si>
  <si>
    <t>прогноз инфляции</t>
  </si>
  <si>
    <t>кумулятивная инфляция</t>
  </si>
  <si>
    <t>нд</t>
  </si>
  <si>
    <t>Прочие инвестиционные проекты</t>
  </si>
  <si>
    <t>не требуется</t>
  </si>
  <si>
    <t>корр</t>
  </si>
  <si>
    <t>Цели (указать укрупненные цели в соответствии с приложением 1)</t>
  </si>
  <si>
    <t>не относится</t>
  </si>
  <si>
    <t>Предложение по корректировке утвержденного плана</t>
  </si>
  <si>
    <t>утв</t>
  </si>
  <si>
    <t>нет</t>
  </si>
  <si>
    <t>Возможно реализовать в установленный срок</t>
  </si>
  <si>
    <t>Другое, шт.</t>
  </si>
  <si>
    <t>Городской округ "Город Калининград"</t>
  </si>
  <si>
    <t>2022 год</t>
  </si>
  <si>
    <t>2021 год</t>
  </si>
  <si>
    <t>Н</t>
  </si>
  <si>
    <t>2021</t>
  </si>
  <si>
    <t>2023 год</t>
  </si>
  <si>
    <t xml:space="preserve">
План</t>
  </si>
  <si>
    <r>
      <t>Другое</t>
    </r>
    <r>
      <rPr>
        <vertAlign val="superscript"/>
        <sz val="12"/>
        <color rgb="FF000000"/>
        <rFont val="Times New Roman"/>
        <family val="1"/>
        <charset val="204"/>
      </rPr>
      <t>3)</t>
    </r>
    <r>
      <rPr>
        <sz val="12"/>
        <color rgb="FF000000"/>
        <rFont val="Times New Roman"/>
        <family val="1"/>
        <charset val="204"/>
      </rPr>
      <t>, штук</t>
    </r>
  </si>
  <si>
    <t>коммерческие предложения</t>
  </si>
  <si>
    <t>прочее</t>
  </si>
  <si>
    <t>0 (0)</t>
  </si>
  <si>
    <t>Акционерное общество "Западная энергетическая компания"</t>
  </si>
  <si>
    <t xml:space="preserve">Обеспечение текущей деятельности в сфере электроэнергетики, обновление устаревшего парка приборов диагностики электрооборудования </t>
  </si>
  <si>
    <t xml:space="preserve">Обновление устаревшего парка приборов диагностики электрооборудования </t>
  </si>
  <si>
    <t xml:space="preserve">Обеспечение текущей деятельности, обновление устаревшего парка приборов диагностики электрооборудования </t>
  </si>
  <si>
    <t xml:space="preserve"> по состоянию на 01.01.2019</t>
  </si>
  <si>
    <t>2020 год</t>
  </si>
  <si>
    <t xml:space="preserve">План 2019 года </t>
  </si>
  <si>
    <t>факт</t>
  </si>
  <si>
    <t>Сметная стоимость проекта в ценах 2022 года с НДС, млн. руб.</t>
  </si>
  <si>
    <t>АО "Западная энергетическая компания"</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</si>
  <si>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</si>
  <si>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</si>
  <si>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</si>
  <si>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</si>
  <si>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</si>
  <si>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</si>
  <si>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</si>
  <si>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</si>
  <si>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</si>
  <si>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</si>
  <si>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</si>
  <si>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</si>
  <si>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</si>
  <si>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</si>
  <si>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индекс доходности </t>
  </si>
  <si>
    <t>NPV, млн.рублей</t>
  </si>
  <si>
    <t>IRR, %</t>
  </si>
  <si>
    <t>простой</t>
  </si>
  <si>
    <t>дисконтированный</t>
  </si>
  <si>
    <t>10 лет</t>
  </si>
  <si>
    <t>Увеличение дохода от передачи ээ, руб. в ценах 2021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</si>
  <si>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</si>
  <si>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</si>
  <si>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</si>
  <si>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</si>
  <si>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</si>
  <si>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</si>
  <si>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</si>
  <si>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</si>
  <si>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</si>
  <si>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</si>
  <si>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</si>
  <si>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</si>
  <si>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</si>
  <si>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</si>
  <si>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</si>
  <si>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</si>
  <si>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</si>
  <si>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</si>
  <si>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</si>
  <si>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</si>
  <si>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</si>
  <si>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</si>
  <si>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</si>
  <si>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2021 г.</t>
  </si>
  <si>
    <t>Обеспечение текущей деятельности в сфере электроэнергетики, в том числе  хозяйственное обеспечение деятельности</t>
  </si>
  <si>
    <t>M 22-06</t>
  </si>
  <si>
    <t xml:space="preserve">
Приобретение «Комплекса программно-технического измерительного Ретом-61" - 1 шт.
</t>
  </si>
  <si>
    <t xml:space="preserve">
Приобретение «Комплекса программно-технического измерительного Ретом-61" - 1 шт. 2,414 млн рублей
</t>
  </si>
  <si>
    <t>2024год</t>
  </si>
  <si>
    <t>Приобретение устройства испытательного  "Ретом-61" – 1 шт.</t>
  </si>
  <si>
    <t>Год раскрытия информации: 2024 год</t>
  </si>
  <si>
    <t xml:space="preserve">Акционерное общество "Западная энергетическая компания" </t>
  </si>
  <si>
    <t xml:space="preserve"> по состоянию на 01.01.2024</t>
  </si>
  <si>
    <t>Прогноз социально-экономического развития Российской Федерации на 2024 год и на плановый период 2025 и 2026 годов (опубликовано 22 сентября 2023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</si>
</sst>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419]mmmm\ yyyy;@"/>
    <numFmt numFmtId="175" formatCode="_-* #,##0\ _₽_-;\-* #,##0\ _₽_-;_-* &quot;-&quot;??\ _₽_-;_-@_-"/>
    <numFmt numFmtId="176" formatCode="_-* #,##0.0000\ _₽_-;\-* #,##0.0000\ _₽_-;_-* &quot;-&quot;??\ _₽_-;_-@_-"/>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1"/>
      <color theme="1"/>
      <name val="Times New Roman"/>
      <family val="1"/>
      <charset val="204"/>
    </font>
    <font>
      <b/>
      <sz val="10"/>
      <name val="Times New Roman"/>
      <family val="1"/>
      <charset val="204"/>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
      <sz val="10"/>
      <color rgb="FF8DB4E2"/>
      <name val="Times New Roman"/>
      <family val="1"/>
      <charset val="204"/>
    </font>
    <font>
      <sz val="10"/>
      <color rgb="FF8DB4E2"/>
      <name val="Arial Cyr"/>
      <charset val="204"/>
    </font>
    <font>
      <sz val="12"/>
      <color rgb="FFD9D9D9"/>
      <name val="Times New Roman"/>
      <family val="1"/>
      <charset val="204"/>
    </font>
    <font>
      <b/>
      <sz val="11"/>
      <color rgb="FFD9D9D9"/>
      <name val="Times New Roman"/>
      <family val="1"/>
      <charset val="204"/>
    </font>
    <font>
      <sz val="12"/>
      <color rgb="FFBFBFBF"/>
      <name val="Times New Roman"/>
      <family val="1"/>
      <charset val="204"/>
    </font>
    <font>
      <sz val="10"/>
      <color rgb="FFD9D9D9"/>
      <name val="Arial Cyr"/>
      <charset val="204"/>
    </font>
    <font>
      <sz val="10"/>
      <color rgb="FFBFBFBF"/>
      <name val="Arial Cyr"/>
      <charset val="204"/>
    </font>
    <font>
      <sz val="8"/>
      <name val="Arial Cyr"/>
      <charset val="204"/>
    </font>
    <font>
      <sz val="11"/>
      <color rgb="FF000000"/>
      <name val="Calibri"/>
      <family val="2"/>
      <charset val="204"/>
    </font>
    <font>
      <sz val="10"/>
      <color rgb="FFFF0000"/>
      <name val="Arial Cyr"/>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7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xf numFmtId="0" fontId="19" fillId="7" borderId="49" applyNumberFormat="0" applyAlignment="0" applyProtection="0"/>
    <xf numFmtId="0" fontId="20" fillId="20" borderId="50" applyNumberFormat="0" applyAlignment="0" applyProtection="0"/>
    <xf numFmtId="0" fontId="21" fillId="20" borderId="49" applyNumberFormat="0" applyAlignment="0" applyProtection="0"/>
    <xf numFmtId="0" fontId="25" fillId="0" borderId="51" applyNumberFormat="0" applyFill="0" applyAlignment="0" applyProtection="0"/>
    <xf numFmtId="0" fontId="16" fillId="23" borderId="52" applyNumberFormat="0" applyFont="0" applyAlignment="0" applyProtection="0"/>
    <xf numFmtId="164" fontId="1" fillId="0" borderId="0" applyFont="0" applyFill="0" applyBorder="0" applyAlignment="0" applyProtection="0"/>
    <xf numFmtId="164" fontId="1" fillId="0" borderId="0" applyFont="0" applyFill="0" applyBorder="0" applyAlignment="0" applyProtection="0"/>
    <xf numFmtId="0" fontId="11" fillId="0" borderId="0"/>
  </cellStyleXfs>
  <cellXfs count="44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2" xfId="45" applyFont="1" applyBorder="1" applyAlignment="1">
      <alignment horizontal="left" vertical="center" wrapText="1"/>
    </xf>
    <xf numFmtId="0" fontId="11" fillId="0" borderId="6" xfId="2" applyBorder="1" applyAlignment="1">
      <alignment horizontal="left" vertical="center" wrapText="1"/>
    </xf>
    <xf numFmtId="0" fontId="42" fillId="0" borderId="0" xfId="52" applyFont="1"/>
    <xf numFmtId="0" fontId="12" fillId="0" borderId="0" xfId="2" applyFont="1"/>
    <xf numFmtId="0" fontId="8" fillId="0" borderId="0" xfId="2" applyFont="1" applyAlignment="1">
      <alignment vertical="center"/>
    </xf>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69" fontId="42" fillId="0" borderId="1" xfId="2" applyNumberFormat="1" applyFont="1" applyBorder="1" applyAlignment="1">
      <alignment horizontal="righ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0"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0" fillId="0" borderId="27"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49" fontId="11" fillId="0" borderId="1" xfId="62" applyNumberFormat="1" applyFont="1" applyBorder="1" applyAlignment="1">
      <alignment horizontal="left" vertical="center" wrapText="1"/>
    </xf>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165" fontId="11" fillId="0" borderId="1" xfId="0" applyNumberFormat="1" applyFont="1" applyBorder="1"/>
    <xf numFmtId="0" fontId="44" fillId="0" borderId="0" xfId="62"/>
    <xf numFmtId="0" fontId="44" fillId="0" borderId="0" xfId="62" applyAlignment="1">
      <alignment wrapText="1"/>
    </xf>
    <xf numFmtId="0" fontId="7" fillId="0" borderId="4" xfId="1" applyFont="1" applyBorder="1" applyAlignment="1">
      <alignment horizontal="left" vertical="center" wrapText="1"/>
    </xf>
    <xf numFmtId="0" fontId="11" fillId="24" borderId="39" xfId="2" applyFill="1" applyBorder="1" applyAlignment="1">
      <alignment horizontal="center" vertical="center" wrapText="1"/>
    </xf>
    <xf numFmtId="14" fontId="11" fillId="24" borderId="39" xfId="2" applyNumberFormat="1" applyFill="1" applyBorder="1" applyAlignment="1">
      <alignment horizontal="center" vertical="center" wrapText="1"/>
    </xf>
    <xf numFmtId="1" fontId="60" fillId="0" borderId="39" xfId="49" applyNumberFormat="1" applyFont="1" applyBorder="1" applyAlignment="1">
      <alignment horizontal="center" vertical="center"/>
    </xf>
    <xf numFmtId="49" fontId="60" fillId="0" borderId="39" xfId="49" applyNumberFormat="1" applyFont="1" applyBorder="1" applyAlignment="1">
      <alignment horizontal="center" vertical="center"/>
    </xf>
    <xf numFmtId="0" fontId="7" fillId="0" borderId="0" xfId="1" applyFont="1" applyAlignment="1">
      <alignment vertical="center" wrapText="1"/>
    </xf>
    <xf numFmtId="174" fontId="37" fillId="0" borderId="1" xfId="49" applyNumberFormat="1" applyFont="1" applyBorder="1" applyAlignment="1">
      <alignment horizontal="center" vertical="center"/>
    </xf>
    <xf numFmtId="14" fontId="40" fillId="0" borderId="31" xfId="2" applyNumberFormat="1" applyFont="1" applyBorder="1" applyAlignment="1">
      <alignment horizontal="justify" vertical="top" wrapText="1"/>
    </xf>
    <xf numFmtId="0" fontId="40" fillId="0" borderId="26" xfId="2" applyFont="1" applyBorder="1" applyAlignment="1">
      <alignment horizontal="justify" vertical="top" wrapText="1"/>
    </xf>
    <xf numFmtId="2" fontId="40" fillId="0" borderId="26" xfId="2" applyNumberFormat="1" applyFont="1" applyBorder="1" applyAlignment="1">
      <alignment horizontal="justify" vertical="top" wrapText="1"/>
    </xf>
    <xf numFmtId="14" fontId="37" fillId="0" borderId="41" xfId="49" applyNumberFormat="1" applyFont="1" applyBorder="1" applyAlignment="1">
      <alignment horizontal="center" vertical="center" wrapText="1"/>
    </xf>
    <xf numFmtId="0" fontId="3" fillId="0" borderId="1" xfId="1" applyBorder="1" applyAlignment="1">
      <alignment vertical="center"/>
    </xf>
    <xf numFmtId="0" fontId="11" fillId="0" borderId="42" xfId="2" applyBorder="1" applyAlignment="1">
      <alignment horizontal="center" vertical="center" wrapText="1"/>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43" xfId="49" applyNumberFormat="1" applyFont="1" applyBorder="1" applyAlignment="1">
      <alignment horizontal="center" vertical="center" wrapText="1"/>
    </xf>
    <xf numFmtId="1" fontId="60" fillId="0" borderId="44" xfId="49" applyNumberFormat="1" applyFont="1" applyBorder="1" applyAlignment="1">
      <alignment horizontal="center" vertical="center"/>
    </xf>
    <xf numFmtId="49" fontId="60" fillId="0" borderId="44" xfId="49" applyNumberFormat="1" applyFont="1" applyBorder="1" applyAlignment="1">
      <alignment horizontal="center" vertical="center"/>
    </xf>
    <xf numFmtId="49" fontId="37" fillId="0" borderId="44" xfId="49" applyNumberFormat="1" applyFont="1" applyBorder="1" applyAlignment="1">
      <alignment horizontal="center" vertical="center"/>
    </xf>
    <xf numFmtId="174" fontId="37" fillId="0" borderId="44" xfId="49" applyNumberFormat="1" applyFont="1" applyBorder="1" applyAlignment="1">
      <alignment horizontal="center" vertical="center"/>
    </xf>
    <xf numFmtId="1" fontId="37" fillId="0" borderId="44" xfId="49" applyNumberFormat="1" applyFont="1" applyBorder="1" applyAlignment="1">
      <alignment horizontal="center" vertical="center"/>
    </xf>
    <xf numFmtId="168"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wrapText="1"/>
    </xf>
    <xf numFmtId="49" fontId="7" fillId="0" borderId="40" xfId="1" applyNumberFormat="1" applyFont="1" applyBorder="1" applyAlignment="1">
      <alignment horizontal="center" vertical="center"/>
    </xf>
    <xf numFmtId="0" fontId="7" fillId="0" borderId="40" xfId="1" applyFont="1" applyBorder="1" applyAlignment="1">
      <alignment horizontal="left" vertical="center" wrapText="1"/>
    </xf>
    <xf numFmtId="0" fontId="11" fillId="0" borderId="0" xfId="2" applyAlignment="1">
      <alignment horizontal="left"/>
    </xf>
    <xf numFmtId="0" fontId="42" fillId="0" borderId="42" xfId="2" applyFont="1" applyBorder="1" applyAlignment="1">
      <alignment horizontal="center" vertical="center" wrapText="1"/>
    </xf>
    <xf numFmtId="0" fontId="49" fillId="0" borderId="0" xfId="2" applyFont="1" applyAlignment="1">
      <alignment horizontal="center"/>
    </xf>
    <xf numFmtId="0" fontId="7" fillId="0" borderId="45" xfId="1" applyFont="1" applyBorder="1" applyAlignment="1">
      <alignment vertical="center"/>
    </xf>
    <xf numFmtId="0" fontId="39" fillId="0" borderId="45" xfId="1" applyFont="1" applyBorder="1" applyAlignment="1">
      <alignment horizontal="center" vertical="center" wrapText="1"/>
    </xf>
    <xf numFmtId="0" fontId="7" fillId="0" borderId="45" xfId="1" applyFont="1" applyBorder="1" applyAlignment="1">
      <alignment horizontal="center" vertical="center" wrapText="1"/>
    </xf>
    <xf numFmtId="0" fontId="7" fillId="0" borderId="46" xfId="1" applyFont="1" applyBorder="1" applyAlignment="1">
      <alignment horizontal="center" vertical="center" wrapText="1"/>
    </xf>
    <xf numFmtId="49" fontId="7" fillId="0" borderId="45" xfId="1" applyNumberFormat="1" applyFont="1" applyBorder="1" applyAlignment="1">
      <alignment vertical="center"/>
    </xf>
    <xf numFmtId="49" fontId="7" fillId="0" borderId="46" xfId="1" applyNumberFormat="1" applyFont="1" applyBorder="1" applyAlignment="1">
      <alignment vertical="center"/>
    </xf>
    <xf numFmtId="0" fontId="11" fillId="0" borderId="46" xfId="2" applyBorder="1" applyAlignment="1">
      <alignment vertical="center" wrapText="1"/>
    </xf>
    <xf numFmtId="0" fontId="4" fillId="0" borderId="45" xfId="1" applyFont="1" applyBorder="1" applyAlignment="1">
      <alignment horizontal="center" vertical="center"/>
    </xf>
    <xf numFmtId="0" fontId="42" fillId="0" borderId="45" xfId="2" applyFont="1" applyBorder="1" applyAlignment="1">
      <alignment horizontal="center" vertical="center" textRotation="90" wrapText="1"/>
    </xf>
    <xf numFmtId="0" fontId="42" fillId="0" borderId="45" xfId="2" applyFont="1" applyBorder="1" applyAlignment="1">
      <alignment horizontal="center" vertical="center" wrapText="1"/>
    </xf>
    <xf numFmtId="49" fontId="42" fillId="0" borderId="45" xfId="2" applyNumberFormat="1" applyFont="1" applyBorder="1" applyAlignment="1">
      <alignment horizontal="center" vertical="center" wrapText="1"/>
    </xf>
    <xf numFmtId="0" fontId="42" fillId="0" borderId="45" xfId="2" applyFont="1" applyBorder="1" applyAlignment="1">
      <alignment horizontal="left" vertical="center" wrapText="1"/>
    </xf>
    <xf numFmtId="173" fontId="42" fillId="0" borderId="45" xfId="2" applyNumberFormat="1" applyFont="1" applyBorder="1" applyAlignment="1">
      <alignment horizontal="center" vertical="center" wrapText="1"/>
    </xf>
    <xf numFmtId="173" fontId="39" fillId="0" borderId="45" xfId="2" applyNumberFormat="1" applyFont="1" applyBorder="1" applyAlignment="1">
      <alignment horizontal="center" vertical="center" wrapText="1"/>
    </xf>
    <xf numFmtId="49" fontId="11" fillId="0" borderId="45" xfId="2" applyNumberFormat="1" applyBorder="1" applyAlignment="1">
      <alignment horizontal="center" vertical="center" wrapText="1"/>
    </xf>
    <xf numFmtId="0" fontId="11" fillId="0" borderId="45" xfId="2" applyBorder="1" applyAlignment="1">
      <alignment horizontal="left" vertical="center" wrapText="1"/>
    </xf>
    <xf numFmtId="173" fontId="11" fillId="0" borderId="45" xfId="2" applyNumberFormat="1" applyBorder="1" applyAlignment="1">
      <alignment horizontal="center" vertical="center"/>
    </xf>
    <xf numFmtId="173" fontId="11" fillId="0" borderId="45" xfId="2" applyNumberFormat="1" applyBorder="1" applyAlignment="1">
      <alignment horizontal="center" vertical="center" wrapText="1"/>
    </xf>
    <xf numFmtId="173" fontId="42" fillId="0" borderId="45" xfId="2" applyNumberFormat="1" applyFont="1" applyBorder="1" applyAlignment="1">
      <alignment horizontal="center" vertical="center"/>
    </xf>
    <xf numFmtId="0" fontId="47" fillId="0" borderId="45" xfId="45" applyFont="1" applyBorder="1" applyAlignment="1">
      <alignment horizontal="left" vertical="center" wrapText="1"/>
    </xf>
    <xf numFmtId="0" fontId="43" fillId="0" borderId="45" xfId="45" applyFont="1" applyBorder="1" applyAlignment="1">
      <alignment horizontal="left" vertical="center" wrapText="1"/>
    </xf>
    <xf numFmtId="2" fontId="40" fillId="0" borderId="29" xfId="2" applyNumberFormat="1" applyFont="1" applyBorder="1" applyAlignment="1">
      <alignment horizontal="left" vertical="center" wrapText="1"/>
    </xf>
    <xf numFmtId="172" fontId="40" fillId="0" borderId="26" xfId="2" applyNumberFormat="1" applyFont="1" applyBorder="1" applyAlignment="1">
      <alignment horizontal="justify" vertical="top" wrapText="1"/>
    </xf>
    <xf numFmtId="0" fontId="40" fillId="25" borderId="26" xfId="2" applyFont="1" applyFill="1" applyBorder="1" applyAlignment="1">
      <alignment horizontal="justify" vertical="top" wrapText="1"/>
    </xf>
    <xf numFmtId="2" fontId="40" fillId="25" borderId="29" xfId="2" applyNumberFormat="1" applyFont="1" applyFill="1" applyBorder="1" applyAlignment="1">
      <alignment horizontal="left" vertical="center" wrapText="1"/>
    </xf>
    <xf numFmtId="10" fontId="40" fillId="0" borderId="26" xfId="2" applyNumberFormat="1" applyFont="1" applyBorder="1" applyAlignment="1">
      <alignment horizontal="justify" vertical="top" wrapText="1"/>
    </xf>
    <xf numFmtId="9" fontId="40" fillId="0" borderId="31" xfId="69" quotePrefix="1" applyFont="1" applyFill="1" applyBorder="1" applyAlignment="1">
      <alignment horizontal="justify" vertical="top" wrapText="1"/>
    </xf>
    <xf numFmtId="0" fontId="40" fillId="0" borderId="31" xfId="2" quotePrefix="1" applyFont="1" applyBorder="1" applyAlignment="1">
      <alignment horizontal="justify" vertical="top" wrapText="1"/>
    </xf>
    <xf numFmtId="10" fontId="40" fillId="0" borderId="32" xfId="2" applyNumberFormat="1" applyFont="1" applyBorder="1" applyAlignment="1">
      <alignment horizontal="justify" vertical="top" wrapText="1"/>
    </xf>
    <xf numFmtId="4" fontId="42" fillId="0" borderId="35" xfId="62" applyNumberFormat="1" applyFont="1" applyBorder="1" applyAlignment="1">
      <alignment horizontal="left" vertical="center" wrapText="1"/>
    </xf>
    <xf numFmtId="0" fontId="40" fillId="0" borderId="26" xfId="2" applyFont="1" applyBorder="1" applyAlignment="1">
      <alignment horizontal="left" vertical="top" wrapText="1"/>
    </xf>
    <xf numFmtId="0" fontId="40" fillId="0" borderId="31" xfId="2" applyFont="1" applyBorder="1" applyAlignment="1">
      <alignment horizontal="left" vertical="top" wrapText="1"/>
    </xf>
    <xf numFmtId="0" fontId="7" fillId="0" borderId="45" xfId="1" applyFont="1" applyBorder="1" applyAlignment="1">
      <alignment vertical="center" wrapText="1"/>
    </xf>
    <xf numFmtId="0" fontId="11" fillId="0" borderId="45" xfId="2" applyBorder="1" applyAlignment="1">
      <alignment vertical="center" wrapText="1"/>
    </xf>
    <xf numFmtId="2" fontId="40" fillId="0" borderId="31" xfId="2" applyNumberFormat="1" applyFont="1" applyBorder="1" applyAlignment="1">
      <alignment horizontal="justify" vertical="top" wrapText="1"/>
    </xf>
    <xf numFmtId="0" fontId="11" fillId="0" borderId="53" xfId="2" applyBorder="1" applyAlignment="1">
      <alignment vertical="center" wrapText="1"/>
    </xf>
    <xf numFmtId="2" fontId="47" fillId="0" borderId="53" xfId="1" applyNumberFormat="1" applyFont="1" applyBorder="1" applyAlignment="1">
      <alignment horizontal="left" vertical="center" wrapText="1"/>
    </xf>
    <xf numFmtId="0" fontId="42" fillId="0" borderId="53" xfId="2" applyFont="1" applyBorder="1" applyAlignment="1">
      <alignment horizontal="center" vertical="center" wrapText="1"/>
    </xf>
    <xf numFmtId="175" fontId="62" fillId="0" borderId="53" xfId="0" applyNumberFormat="1" applyFont="1" applyBorder="1" applyAlignment="1">
      <alignment horizontal="center" vertical="center"/>
    </xf>
    <xf numFmtId="0" fontId="29" fillId="0" borderId="0" xfId="0" applyFont="1"/>
    <xf numFmtId="0" fontId="63" fillId="0" borderId="0" xfId="0" applyFont="1"/>
    <xf numFmtId="0" fontId="45" fillId="0" borderId="0" xfId="0" applyFont="1" applyAlignment="1">
      <alignment horizontal="right" vertical="center"/>
    </xf>
    <xf numFmtId="0" fontId="64" fillId="0" borderId="0" xfId="0" applyFont="1"/>
    <xf numFmtId="0" fontId="65" fillId="0" borderId="0" xfId="0" applyFont="1"/>
    <xf numFmtId="0" fontId="66" fillId="0" borderId="0" xfId="0" applyFont="1"/>
    <xf numFmtId="0" fontId="45" fillId="0" borderId="0" xfId="0" applyFont="1" applyAlignment="1">
      <alignment horizontal="right"/>
    </xf>
    <xf numFmtId="0" fontId="67" fillId="0" borderId="0" xfId="0" applyFont="1" applyAlignment="1">
      <alignment horizontal="left" vertical="center"/>
    </xf>
    <xf numFmtId="0" fontId="68" fillId="0" borderId="0" xfId="0" applyFont="1" applyAlignment="1">
      <alignment horizontal="left" vertical="center"/>
    </xf>
    <xf numFmtId="0" fontId="62" fillId="0" borderId="0" xfId="0" applyFont="1" applyAlignment="1">
      <alignment vertical="center"/>
    </xf>
    <xf numFmtId="0" fontId="69" fillId="0" borderId="0" xfId="0" applyFont="1" applyAlignment="1">
      <alignment vertical="center"/>
    </xf>
    <xf numFmtId="0" fontId="62" fillId="0" borderId="0" xfId="0" applyFont="1" applyAlignment="1">
      <alignment horizontal="center" vertical="center"/>
    </xf>
    <xf numFmtId="0" fontId="71" fillId="0" borderId="0" xfId="0" applyFont="1" applyAlignment="1">
      <alignment vertical="center"/>
    </xf>
    <xf numFmtId="0" fontId="72" fillId="0" borderId="0" xfId="0" applyFont="1" applyAlignment="1">
      <alignment vertical="center"/>
    </xf>
    <xf numFmtId="0" fontId="45" fillId="0" borderId="0" xfId="0" applyFont="1" applyAlignment="1">
      <alignment horizontal="center" vertical="center"/>
    </xf>
    <xf numFmtId="0" fontId="72" fillId="0" borderId="0" xfId="0" applyFont="1" applyAlignment="1">
      <alignment horizontal="center" vertical="center"/>
    </xf>
    <xf numFmtId="0" fontId="71" fillId="0" borderId="0" xfId="0" applyFont="1" applyAlignment="1">
      <alignment vertical="center" wrapText="1"/>
    </xf>
    <xf numFmtId="0" fontId="72" fillId="0" borderId="0" xfId="0" applyFont="1"/>
    <xf numFmtId="0" fontId="71" fillId="0" borderId="0" xfId="0" applyFont="1" applyAlignment="1">
      <alignment horizontal="center" vertical="center"/>
    </xf>
    <xf numFmtId="0" fontId="69" fillId="0" borderId="0" xfId="0" applyFont="1" applyAlignment="1">
      <alignment vertical="center" wrapText="1"/>
    </xf>
    <xf numFmtId="0" fontId="69" fillId="0" borderId="0" xfId="0" applyFont="1" applyAlignment="1">
      <alignment horizontal="center" vertical="center"/>
    </xf>
    <xf numFmtId="0" fontId="69" fillId="0" borderId="0" xfId="0" applyFont="1" applyAlignment="1">
      <alignment horizontal="left" vertical="center"/>
    </xf>
    <xf numFmtId="0" fontId="72" fillId="0" borderId="33" xfId="0" applyFont="1" applyBorder="1" applyAlignment="1">
      <alignment vertical="center"/>
    </xf>
    <xf numFmtId="3" fontId="73" fillId="0" borderId="34" xfId="67" applyNumberFormat="1" applyFont="1" applyBorder="1" applyAlignment="1">
      <alignment vertical="center"/>
    </xf>
    <xf numFmtId="0" fontId="72" fillId="0" borderId="35" xfId="0" applyFont="1" applyBorder="1" applyAlignment="1">
      <alignment vertical="center"/>
    </xf>
    <xf numFmtId="3" fontId="72" fillId="0" borderId="54" xfId="0" applyNumberFormat="1" applyFont="1" applyBorder="1" applyAlignment="1">
      <alignment vertical="center"/>
    </xf>
    <xf numFmtId="0" fontId="72" fillId="0" borderId="36" xfId="0" applyFont="1" applyBorder="1" applyAlignment="1">
      <alignment vertical="center"/>
    </xf>
    <xf numFmtId="3" fontId="72" fillId="0" borderId="37" xfId="0" applyNumberFormat="1" applyFont="1" applyBorder="1" applyAlignment="1">
      <alignment vertical="center"/>
    </xf>
    <xf numFmtId="4" fontId="45" fillId="0" borderId="53" xfId="0" applyNumberFormat="1" applyFont="1" applyBorder="1" applyAlignment="1">
      <alignment horizontal="center" vertical="center"/>
    </xf>
    <xf numFmtId="4" fontId="74" fillId="0" borderId="5" xfId="0" applyNumberFormat="1" applyFont="1" applyBorder="1" applyAlignment="1">
      <alignment horizontal="center" vertical="center"/>
    </xf>
    <xf numFmtId="3" fontId="45" fillId="0" borderId="53" xfId="0" applyNumberFormat="1" applyFont="1" applyBorder="1" applyAlignment="1">
      <alignment horizontal="center" vertical="center"/>
    </xf>
    <xf numFmtId="3" fontId="74" fillId="0" borderId="5" xfId="0" applyNumberFormat="1" applyFont="1" applyBorder="1" applyAlignment="1">
      <alignment horizontal="center" vertical="center"/>
    </xf>
    <xf numFmtId="0" fontId="72" fillId="0" borderId="53" xfId="0" applyFont="1" applyBorder="1" applyAlignment="1">
      <alignment horizontal="center" vertical="center"/>
    </xf>
    <xf numFmtId="0" fontId="74" fillId="0" borderId="5" xfId="0" applyFont="1" applyBorder="1" applyAlignment="1">
      <alignment horizontal="center" vertical="center"/>
    </xf>
    <xf numFmtId="0" fontId="72" fillId="0" borderId="58" xfId="0" applyFont="1" applyBorder="1" applyAlignment="1">
      <alignment vertical="center"/>
    </xf>
    <xf numFmtId="10" fontId="72" fillId="0" borderId="37" xfId="0" applyNumberFormat="1" applyFont="1" applyBorder="1" applyAlignment="1">
      <alignment vertical="center"/>
    </xf>
    <xf numFmtId="3" fontId="72" fillId="0" borderId="34" xfId="0" applyNumberFormat="1" applyFont="1" applyBorder="1" applyAlignment="1">
      <alignment vertical="center"/>
    </xf>
    <xf numFmtId="9" fontId="72" fillId="0" borderId="59" xfId="0" applyNumberFormat="1" applyFont="1" applyBorder="1" applyAlignment="1">
      <alignment vertical="center"/>
    </xf>
    <xf numFmtId="0" fontId="72" fillId="0" borderId="25" xfId="0" applyFont="1" applyBorder="1" applyAlignment="1">
      <alignment vertical="center"/>
    </xf>
    <xf numFmtId="3" fontId="72" fillId="0" borderId="33" xfId="0" applyNumberFormat="1" applyFont="1" applyBorder="1" applyAlignment="1">
      <alignment vertical="center"/>
    </xf>
    <xf numFmtId="0" fontId="72" fillId="0" borderId="60" xfId="0" applyFont="1" applyBorder="1" applyAlignment="1">
      <alignment vertical="center"/>
    </xf>
    <xf numFmtId="10" fontId="72" fillId="0" borderId="38" xfId="0" applyNumberFormat="1" applyFont="1" applyBorder="1" applyAlignment="1">
      <alignment vertical="center"/>
    </xf>
    <xf numFmtId="10" fontId="72" fillId="0" borderId="35" xfId="0" applyNumberFormat="1" applyFont="1" applyBorder="1" applyAlignment="1">
      <alignment vertical="center"/>
    </xf>
    <xf numFmtId="10" fontId="72" fillId="0" borderId="35" xfId="67" applyNumberFormat="1" applyFont="1" applyBorder="1" applyAlignment="1">
      <alignment vertical="center"/>
    </xf>
    <xf numFmtId="10" fontId="45" fillId="0" borderId="35" xfId="0" applyNumberFormat="1" applyFont="1" applyBorder="1" applyAlignment="1">
      <alignment vertical="center"/>
    </xf>
    <xf numFmtId="0" fontId="72" fillId="0" borderId="61" xfId="0" applyFont="1" applyBorder="1" applyAlignment="1">
      <alignment vertical="center"/>
    </xf>
    <xf numFmtId="0" fontId="75" fillId="0" borderId="0" xfId="0" applyFont="1" applyAlignment="1">
      <alignment vertical="center"/>
    </xf>
    <xf numFmtId="0" fontId="72" fillId="0" borderId="24" xfId="0" applyFont="1" applyBorder="1" applyAlignment="1">
      <alignment horizontal="left" vertical="center"/>
    </xf>
    <xf numFmtId="1" fontId="72" fillId="0" borderId="23" xfId="0" applyNumberFormat="1" applyFont="1" applyBorder="1" applyAlignment="1">
      <alignment horizontal="center" vertical="center"/>
    </xf>
    <xf numFmtId="1" fontId="72" fillId="0" borderId="62" xfId="0" applyNumberFormat="1" applyFont="1" applyBorder="1" applyAlignment="1">
      <alignment horizontal="center" vertical="center"/>
    </xf>
    <xf numFmtId="0" fontId="72" fillId="0" borderId="63" xfId="0" applyFont="1" applyBorder="1" applyAlignment="1">
      <alignment vertical="center"/>
    </xf>
    <xf numFmtId="10" fontId="72" fillId="0" borderId="53" xfId="67" applyNumberFormat="1" applyFont="1" applyBorder="1" applyAlignment="1">
      <alignment vertical="center"/>
    </xf>
    <xf numFmtId="10" fontId="72" fillId="0" borderId="53" xfId="0" applyNumberFormat="1" applyFont="1" applyBorder="1" applyAlignment="1">
      <alignment vertical="center"/>
    </xf>
    <xf numFmtId="0" fontId="72" fillId="0" borderId="64" xfId="0" applyFont="1" applyBorder="1" applyAlignment="1">
      <alignment vertical="center"/>
    </xf>
    <xf numFmtId="3" fontId="72" fillId="0" borderId="65" xfId="67" applyNumberFormat="1" applyFont="1" applyBorder="1" applyAlignment="1">
      <alignment vertical="center"/>
    </xf>
    <xf numFmtId="3" fontId="73" fillId="0" borderId="65" xfId="67" applyNumberFormat="1" applyFont="1" applyBorder="1" applyAlignment="1">
      <alignment vertical="center"/>
    </xf>
    <xf numFmtId="0" fontId="72" fillId="0" borderId="66" xfId="0" applyFont="1" applyBorder="1" applyAlignment="1">
      <alignment vertical="center"/>
    </xf>
    <xf numFmtId="0" fontId="72" fillId="0" borderId="67" xfId="0" applyFont="1" applyBorder="1" applyAlignment="1">
      <alignment vertical="center"/>
    </xf>
    <xf numFmtId="0" fontId="69" fillId="0" borderId="24" xfId="0" applyFont="1" applyBorder="1" applyAlignment="1">
      <alignment vertical="center"/>
    </xf>
    <xf numFmtId="3" fontId="72" fillId="0" borderId="53" xfId="0" applyNumberFormat="1" applyFont="1" applyBorder="1" applyAlignment="1">
      <alignment vertical="center"/>
    </xf>
    <xf numFmtId="3" fontId="72" fillId="0" borderId="68" xfId="0" applyNumberFormat="1" applyFont="1" applyBorder="1" applyAlignment="1">
      <alignment vertical="center"/>
    </xf>
    <xf numFmtId="3" fontId="72" fillId="0" borderId="65" xfId="0" applyNumberFormat="1" applyFont="1" applyBorder="1" applyAlignment="1">
      <alignment vertical="center"/>
    </xf>
    <xf numFmtId="3" fontId="72" fillId="0" borderId="69" xfId="0" applyNumberFormat="1" applyFont="1" applyBorder="1" applyAlignment="1">
      <alignment vertical="center"/>
    </xf>
    <xf numFmtId="3" fontId="75" fillId="0" borderId="0" xfId="0" applyNumberFormat="1" applyFont="1" applyAlignment="1">
      <alignment horizontal="center" vertical="center"/>
    </xf>
    <xf numFmtId="3" fontId="75" fillId="0" borderId="67" xfId="0" applyNumberFormat="1" applyFont="1" applyBorder="1" applyAlignment="1">
      <alignment horizontal="center" vertical="center"/>
    </xf>
    <xf numFmtId="175" fontId="45" fillId="0" borderId="53" xfId="0" applyNumberFormat="1" applyFont="1" applyBorder="1" applyAlignment="1">
      <alignment horizontal="center" vertical="center"/>
    </xf>
    <xf numFmtId="0" fontId="72" fillId="0" borderId="63" xfId="0" applyFont="1" applyBorder="1" applyAlignment="1">
      <alignment horizontal="left" vertical="center"/>
    </xf>
    <xf numFmtId="3" fontId="72" fillId="26" borderId="53" xfId="0" applyNumberFormat="1" applyFont="1" applyFill="1" applyBorder="1" applyAlignment="1">
      <alignment vertical="center"/>
    </xf>
    <xf numFmtId="165" fontId="72" fillId="0" borderId="53" xfId="0" applyNumberFormat="1" applyFont="1" applyBorder="1" applyAlignment="1">
      <alignment vertical="center"/>
    </xf>
    <xf numFmtId="175" fontId="72" fillId="0" borderId="53" xfId="0" applyNumberFormat="1" applyFont="1" applyBorder="1" applyAlignment="1">
      <alignment vertical="center"/>
    </xf>
    <xf numFmtId="0" fontId="69" fillId="0" borderId="63" xfId="0" applyFont="1" applyBorder="1" applyAlignment="1">
      <alignment horizontal="left" vertical="center"/>
    </xf>
    <xf numFmtId="175" fontId="45" fillId="0" borderId="53" xfId="0" applyNumberFormat="1" applyFont="1" applyBorder="1" applyAlignment="1">
      <alignment horizontal="center"/>
    </xf>
    <xf numFmtId="0" fontId="69" fillId="0" borderId="64" xfId="0" applyFont="1" applyBorder="1" applyAlignment="1">
      <alignment horizontal="left" vertical="center"/>
    </xf>
    <xf numFmtId="175" fontId="62" fillId="0" borderId="65" xfId="0" applyNumberFormat="1" applyFont="1" applyBorder="1" applyAlignment="1">
      <alignment horizontal="center" vertical="center"/>
    </xf>
    <xf numFmtId="168" fontId="75" fillId="0" borderId="0" xfId="0" applyNumberFormat="1" applyFont="1" applyAlignment="1">
      <alignment horizontal="center" vertical="center"/>
    </xf>
    <xf numFmtId="0" fontId="69" fillId="0" borderId="63" xfId="0" applyFont="1" applyBorder="1" applyAlignment="1">
      <alignment vertical="center"/>
    </xf>
    <xf numFmtId="0" fontId="72" fillId="0" borderId="63" xfId="0" applyFont="1" applyBorder="1" applyAlignment="1">
      <alignment horizontal="left" vertical="center" wrapText="1"/>
    </xf>
    <xf numFmtId="176" fontId="45" fillId="0" borderId="53" xfId="0" applyNumberFormat="1" applyFont="1" applyBorder="1" applyAlignment="1">
      <alignment horizontal="center"/>
    </xf>
    <xf numFmtId="170" fontId="62" fillId="0" borderId="53" xfId="0" applyNumberFormat="1" applyFont="1" applyBorder="1" applyAlignment="1">
      <alignment horizontal="center" vertical="center"/>
    </xf>
    <xf numFmtId="164" fontId="62" fillId="0" borderId="53" xfId="0" applyNumberFormat="1" applyFont="1" applyBorder="1" applyAlignment="1">
      <alignment horizontal="center" vertical="center"/>
    </xf>
    <xf numFmtId="0" fontId="69" fillId="0" borderId="64" xfId="0" applyFont="1" applyBorder="1" applyAlignment="1">
      <alignment vertical="center"/>
    </xf>
    <xf numFmtId="164" fontId="62" fillId="0" borderId="65" xfId="0" applyNumberFormat="1" applyFont="1" applyBorder="1" applyAlignment="1">
      <alignment horizontal="center" vertical="center"/>
    </xf>
    <xf numFmtId="0" fontId="72" fillId="0" borderId="70" xfId="0" applyFont="1" applyBorder="1" applyAlignment="1">
      <alignment vertical="center"/>
    </xf>
    <xf numFmtId="0" fontId="76" fillId="0" borderId="0" xfId="0" applyFont="1" applyAlignment="1">
      <alignment vertical="center"/>
    </xf>
    <xf numFmtId="0" fontId="77" fillId="0" borderId="0" xfId="0" applyFont="1"/>
    <xf numFmtId="171" fontId="72" fillId="0" borderId="0" xfId="0" applyNumberFormat="1" applyFont="1" applyAlignment="1">
      <alignment vertical="center"/>
    </xf>
    <xf numFmtId="0" fontId="78" fillId="0" borderId="0" xfId="67" applyFont="1" applyAlignment="1">
      <alignment vertical="center" wrapText="1"/>
    </xf>
    <xf numFmtId="172" fontId="79" fillId="0" borderId="53" xfId="67" applyNumberFormat="1" applyFont="1" applyBorder="1" applyAlignment="1">
      <alignment vertical="center"/>
    </xf>
    <xf numFmtId="0" fontId="80" fillId="0" borderId="0" xfId="67" applyFont="1" applyAlignment="1">
      <alignment vertical="center"/>
    </xf>
    <xf numFmtId="0" fontId="81" fillId="0" borderId="0" xfId="62" applyFont="1"/>
    <xf numFmtId="0" fontId="82" fillId="0" borderId="0" xfId="62" applyFont="1"/>
    <xf numFmtId="0" fontId="80" fillId="0" borderId="0" xfId="67" applyFont="1" applyAlignment="1">
      <alignment vertical="center" wrapText="1"/>
    </xf>
    <xf numFmtId="0" fontId="83" fillId="27" borderId="53" xfId="62" applyFont="1" applyFill="1" applyBorder="1" applyAlignment="1">
      <alignment horizontal="center" vertical="center" wrapText="1"/>
    </xf>
    <xf numFmtId="0" fontId="64" fillId="0" borderId="0" xfId="62" applyFont="1"/>
    <xf numFmtId="172" fontId="64" fillId="27" borderId="53" xfId="62" applyNumberFormat="1" applyFont="1" applyFill="1" applyBorder="1" applyAlignment="1">
      <alignment horizontal="center" vertical="center" wrapText="1"/>
    </xf>
    <xf numFmtId="9" fontId="64" fillId="27" borderId="53" xfId="62" applyNumberFormat="1" applyFont="1" applyFill="1" applyBorder="1" applyAlignment="1">
      <alignment horizontal="center" vertical="center" wrapText="1"/>
    </xf>
    <xf numFmtId="4" fontId="64" fillId="27" borderId="53" xfId="62" applyNumberFormat="1" applyFont="1" applyFill="1" applyBorder="1" applyAlignment="1">
      <alignment horizontal="center" vertical="center" wrapText="1"/>
    </xf>
    <xf numFmtId="0" fontId="44" fillId="0" borderId="53" xfId="62" applyBorder="1" applyAlignment="1">
      <alignment horizontal="center" vertical="center" wrapText="1"/>
    </xf>
    <xf numFmtId="0" fontId="44" fillId="28" borderId="53" xfId="62" applyFill="1" applyBorder="1" applyAlignment="1">
      <alignment horizontal="center" vertical="center"/>
    </xf>
    <xf numFmtId="0" fontId="44" fillId="0" borderId="53" xfId="62" applyBorder="1" applyAlignment="1">
      <alignment horizontal="center" vertical="center"/>
    </xf>
    <xf numFmtId="0" fontId="44" fillId="0" borderId="53" xfId="62" applyBorder="1" applyAlignment="1">
      <alignment horizontal="left" vertical="center" wrapText="1"/>
    </xf>
    <xf numFmtId="4" fontId="44" fillId="0" borderId="53" xfId="62" applyNumberFormat="1" applyBorder="1" applyAlignment="1">
      <alignment horizontal="center" vertical="center"/>
    </xf>
    <xf numFmtId="0" fontId="44" fillId="28" borderId="53" xfId="62" applyFill="1" applyBorder="1" applyAlignment="1">
      <alignment horizontal="center" vertical="center" wrapText="1"/>
    </xf>
    <xf numFmtId="9" fontId="84" fillId="0" borderId="53" xfId="68" applyFont="1" applyFill="1" applyBorder="1" applyAlignment="1">
      <alignment horizontal="left" vertical="center" wrapText="1"/>
    </xf>
    <xf numFmtId="9" fontId="84" fillId="0" borderId="53" xfId="68" applyFont="1" applyFill="1" applyBorder="1" applyAlignment="1">
      <alignment horizontal="center" vertical="center"/>
    </xf>
    <xf numFmtId="9" fontId="44" fillId="28" borderId="53" xfId="68" applyFont="1" applyFill="1" applyBorder="1" applyAlignment="1">
      <alignment horizontal="center" vertical="center"/>
    </xf>
    <xf numFmtId="0" fontId="44" fillId="29" borderId="53" xfId="62" applyFill="1" applyBorder="1" applyAlignment="1">
      <alignment horizontal="center" vertical="center" wrapText="1"/>
    </xf>
    <xf numFmtId="2" fontId="44" fillId="0" borderId="53" xfId="62" applyNumberFormat="1" applyBorder="1" applyAlignment="1">
      <alignment horizontal="center" vertical="center" wrapText="1"/>
    </xf>
    <xf numFmtId="0" fontId="44" fillId="0" borderId="53" xfId="62" applyBorder="1" applyAlignment="1">
      <alignment wrapText="1"/>
    </xf>
    <xf numFmtId="0" fontId="44" fillId="0" borderId="53" xfId="62" applyBorder="1"/>
    <xf numFmtId="0" fontId="44" fillId="0" borderId="53" xfId="62" applyBorder="1" applyAlignment="1">
      <alignment horizontal="left" wrapText="1"/>
    </xf>
    <xf numFmtId="0" fontId="64" fillId="0" borderId="0" xfId="62" applyFont="1" applyAlignment="1">
      <alignment wrapText="1"/>
    </xf>
    <xf numFmtId="0" fontId="64" fillId="0" borderId="53" xfId="62" applyFont="1" applyBorder="1" applyAlignment="1">
      <alignment wrapText="1"/>
    </xf>
    <xf numFmtId="4" fontId="73" fillId="0" borderId="34" xfId="67" applyNumberFormat="1" applyFont="1" applyBorder="1" applyAlignment="1">
      <alignment vertical="center"/>
    </xf>
    <xf numFmtId="0" fontId="72" fillId="30" borderId="0" xfId="67" applyFont="1" applyFill="1" applyAlignment="1">
      <alignment vertical="center"/>
    </xf>
    <xf numFmtId="0" fontId="47" fillId="30" borderId="0" xfId="67" applyFont="1" applyFill="1" applyAlignment="1">
      <alignment vertical="center"/>
    </xf>
    <xf numFmtId="3" fontId="64" fillId="29" borderId="53" xfId="62" applyNumberFormat="1" applyFont="1" applyFill="1" applyBorder="1" applyAlignment="1">
      <alignment horizontal="center"/>
    </xf>
    <xf numFmtId="0" fontId="64" fillId="0" borderId="0" xfId="62" applyFont="1" applyAlignment="1">
      <alignment horizontal="center"/>
    </xf>
    <xf numFmtId="0" fontId="64" fillId="0" borderId="56" xfId="62" applyFont="1" applyBorder="1" applyAlignment="1">
      <alignment wrapText="1"/>
    </xf>
    <xf numFmtId="3" fontId="64" fillId="0" borderId="56" xfId="62" applyNumberFormat="1" applyFont="1" applyBorder="1"/>
    <xf numFmtId="4" fontId="64" fillId="0" borderId="53" xfId="62" applyNumberFormat="1" applyFont="1" applyBorder="1" applyAlignment="1">
      <alignment horizontal="center"/>
    </xf>
    <xf numFmtId="172" fontId="64" fillId="28" borderId="53" xfId="62" applyNumberFormat="1" applyFont="1" applyFill="1" applyBorder="1" applyAlignment="1">
      <alignment horizontal="center"/>
    </xf>
    <xf numFmtId="4" fontId="64" fillId="0" borderId="0" xfId="62" applyNumberFormat="1" applyFont="1" applyAlignment="1">
      <alignment horizontal="center"/>
    </xf>
    <xf numFmtId="10" fontId="64" fillId="28" borderId="53" xfId="62" applyNumberFormat="1" applyFont="1" applyFill="1" applyBorder="1" applyAlignment="1">
      <alignment horizontal="center"/>
    </xf>
    <xf numFmtId="0" fontId="47" fillId="0" borderId="56" xfId="67" applyFont="1" applyBorder="1" applyAlignment="1">
      <alignment vertical="center" wrapText="1"/>
    </xf>
    <xf numFmtId="3" fontId="73" fillId="0" borderId="56" xfId="67" applyNumberFormat="1" applyFont="1" applyBorder="1" applyAlignment="1">
      <alignment horizontal="center" vertical="center"/>
    </xf>
    <xf numFmtId="0" fontId="64" fillId="31" borderId="53" xfId="62" applyFont="1" applyFill="1" applyBorder="1" applyAlignment="1">
      <alignment horizontal="left" vertical="center" wrapText="1"/>
    </xf>
    <xf numFmtId="0" fontId="64" fillId="31" borderId="53" xfId="62" applyFont="1" applyFill="1" applyBorder="1" applyAlignment="1">
      <alignment horizontal="center" wrapText="1"/>
    </xf>
    <xf numFmtId="0" fontId="47" fillId="0" borderId="0" xfId="67" applyFont="1" applyAlignment="1">
      <alignment vertical="center"/>
    </xf>
    <xf numFmtId="0" fontId="85" fillId="0" borderId="0" xfId="62" applyFont="1"/>
    <xf numFmtId="0" fontId="64" fillId="0" borderId="53" xfId="62" applyFont="1" applyBorder="1"/>
    <xf numFmtId="0" fontId="64" fillId="31" borderId="53" xfId="62" applyFont="1" applyFill="1" applyBorder="1"/>
    <xf numFmtId="10" fontId="64" fillId="31" borderId="53" xfId="62" applyNumberFormat="1" applyFont="1" applyFill="1" applyBorder="1"/>
    <xf numFmtId="0" fontId="64" fillId="31" borderId="56" xfId="62" applyFont="1" applyFill="1" applyBorder="1"/>
    <xf numFmtId="10" fontId="73" fillId="31" borderId="53" xfId="67" applyNumberFormat="1" applyFont="1" applyFill="1" applyBorder="1" applyAlignment="1">
      <alignment vertical="center"/>
    </xf>
    <xf numFmtId="0" fontId="47" fillId="0" borderId="0" xfId="67" applyFont="1" applyAlignment="1">
      <alignment vertical="center" wrapText="1"/>
    </xf>
    <xf numFmtId="0" fontId="64" fillId="0" borderId="56" xfId="62" applyFont="1" applyBorder="1"/>
    <xf numFmtId="10" fontId="64" fillId="0" borderId="56" xfId="62" applyNumberFormat="1" applyFont="1" applyBorder="1"/>
    <xf numFmtId="3" fontId="47" fillId="31" borderId="53" xfId="67" applyNumberFormat="1" applyFont="1" applyFill="1" applyBorder="1" applyAlignment="1">
      <alignment horizontal="right" vertical="center"/>
    </xf>
    <xf numFmtId="168" fontId="73" fillId="31" borderId="53" xfId="67" applyNumberFormat="1" applyFont="1" applyFill="1" applyBorder="1" applyAlignment="1">
      <alignment horizontal="right" vertical="center"/>
    </xf>
    <xf numFmtId="0" fontId="53" fillId="0" borderId="0" xfId="0" applyFont="1"/>
    <xf numFmtId="0" fontId="11" fillId="0" borderId="53" xfId="78" applyBorder="1" applyAlignment="1">
      <alignment horizontal="center" vertical="center" wrapText="1"/>
    </xf>
    <xf numFmtId="2" fontId="73" fillId="0" borderId="53" xfId="0" applyNumberFormat="1" applyFont="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Alignment="1">
      <alignment horizontal="center" vertical="center"/>
    </xf>
    <xf numFmtId="0" fontId="59" fillId="0" borderId="0" xfId="1" applyFont="1" applyAlignment="1">
      <alignment horizontal="center" vertical="center" wrapText="1"/>
    </xf>
    <xf numFmtId="0" fontId="9"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9"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1" fillId="0" borderId="0" xfId="1" applyFont="1" applyAlignment="1">
      <alignment horizontal="center" vertical="center" wrapText="1"/>
    </xf>
    <xf numFmtId="0" fontId="5" fillId="0" borderId="0" xfId="1" applyFont="1" applyAlignment="1">
      <alignment horizontal="center" vertical="center" wrapText="1"/>
    </xf>
    <xf numFmtId="0" fontId="39" fillId="0" borderId="45" xfId="1" applyFont="1" applyBorder="1" applyAlignment="1">
      <alignment horizontal="center" vertical="center" wrapText="1"/>
    </xf>
    <xf numFmtId="0" fontId="39" fillId="0" borderId="46"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45" fillId="0" borderId="0" xfId="0" applyFont="1" applyAlignment="1">
      <alignment horizontal="center" vertical="center"/>
    </xf>
    <xf numFmtId="0" fontId="62" fillId="0" borderId="0" xfId="0" applyFont="1" applyAlignment="1">
      <alignment horizontal="center" vertical="center"/>
    </xf>
    <xf numFmtId="0" fontId="70" fillId="0" borderId="0" xfId="0" applyFont="1" applyAlignment="1">
      <alignment horizontal="center" vertical="center"/>
    </xf>
    <xf numFmtId="0" fontId="64" fillId="0" borderId="20" xfId="62" applyFont="1" applyBorder="1" applyAlignment="1">
      <alignment horizontal="center" vertical="center" wrapText="1"/>
    </xf>
    <xf numFmtId="0" fontId="47" fillId="30" borderId="0" xfId="62" applyFont="1" applyFill="1" applyAlignment="1">
      <alignment horizontal="center" vertical="center" wrapText="1"/>
    </xf>
    <xf numFmtId="0" fontId="72" fillId="30" borderId="0" xfId="0" applyFont="1" applyFill="1" applyAlignment="1">
      <alignment horizontal="center" vertical="center" wrapText="1"/>
    </xf>
    <xf numFmtId="0" fontId="70" fillId="0" borderId="0" xfId="0" applyFont="1" applyAlignment="1">
      <alignment horizontal="center" vertical="center" wrapText="1"/>
    </xf>
    <xf numFmtId="0" fontId="72" fillId="0" borderId="0" xfId="0" applyFont="1" applyAlignment="1">
      <alignment horizontal="center" vertical="center"/>
    </xf>
    <xf numFmtId="0" fontId="71" fillId="0" borderId="0" xfId="0" applyFont="1" applyAlignment="1">
      <alignment horizontal="center" vertical="center"/>
    </xf>
    <xf numFmtId="0" fontId="72" fillId="0" borderId="55" xfId="0" applyFont="1" applyBorder="1" applyAlignment="1">
      <alignment horizontal="center" vertical="center"/>
    </xf>
    <xf numFmtId="0" fontId="72" fillId="0" borderId="56" xfId="0" applyFont="1" applyBorder="1" applyAlignment="1">
      <alignment horizontal="center" vertical="center"/>
    </xf>
    <xf numFmtId="0" fontId="72" fillId="0" borderId="57" xfId="0" applyFont="1" applyBorder="1" applyAlignment="1">
      <alignment horizontal="center" vertical="center"/>
    </xf>
    <xf numFmtId="0" fontId="72" fillId="0" borderId="0" xfId="0" applyFont="1" applyAlignment="1">
      <alignment horizontal="left" vertical="center" wrapText="1"/>
    </xf>
    <xf numFmtId="0" fontId="44" fillId="0" borderId="55" xfId="62" applyBorder="1" applyAlignment="1">
      <alignment horizontal="center" vertical="center" wrapText="1"/>
    </xf>
    <xf numFmtId="0" fontId="44" fillId="0" borderId="57" xfId="62" applyBorder="1" applyAlignment="1">
      <alignment horizontal="center" vertical="center" wrapText="1"/>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41" xfId="2" applyFont="1" applyBorder="1" applyAlignment="1">
      <alignment horizontal="center" vertical="center" wrapText="1"/>
    </xf>
    <xf numFmtId="0" fontId="42" fillId="0" borderId="46" xfId="52" applyFont="1" applyBorder="1" applyAlignment="1">
      <alignment horizontal="center" vertical="center"/>
    </xf>
    <xf numFmtId="0" fontId="42" fillId="0" borderId="47" xfId="52" applyFont="1" applyBorder="1" applyAlignment="1">
      <alignment horizontal="center" vertical="center"/>
    </xf>
    <xf numFmtId="0" fontId="42" fillId="0" borderId="45" xfId="2" applyFont="1" applyBorder="1" applyAlignment="1">
      <alignment horizontal="center" vertical="center" wrapText="1"/>
    </xf>
    <xf numFmtId="0" fontId="42" fillId="0" borderId="42" xfId="2" applyFont="1" applyBorder="1" applyAlignment="1">
      <alignment horizontal="center" vertical="center" wrapText="1"/>
    </xf>
    <xf numFmtId="0" fontId="42" fillId="0" borderId="45" xfId="2" applyFont="1" applyBorder="1" applyAlignment="1">
      <alignment horizontal="center" vertical="center"/>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left"/>
    </xf>
    <xf numFmtId="0" fontId="42" fillId="0" borderId="45" xfId="52" applyFont="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1"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9"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cellXfs>
  <cellStyles count="7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1" xr:uid="{00000000-0005-0000-0000-00001A000000}"/>
    <cellStyle name="Вывод 2" xfId="30" xr:uid="{00000000-0005-0000-0000-00001B000000}"/>
    <cellStyle name="Вывод 2 2" xfId="72" xr:uid="{00000000-0005-0000-0000-00001C000000}"/>
    <cellStyle name="Вычисление 2" xfId="31" xr:uid="{00000000-0005-0000-0000-00001D000000}"/>
    <cellStyle name="Вычисление 2 2" xfId="73"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4"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14" xfId="78" xr:uid="{4B5451B2-E1E0-44EB-8DAC-AC81E607EBA4}"/>
    <cellStyle name="Обычный 2" xfId="3" xr:uid="{00000000-0005-0000-0000-00002A000000}"/>
    <cellStyle name="Обычный 2 2" xfId="62" xr:uid="{00000000-0005-0000-0000-00002B000000}"/>
    <cellStyle name="Обычный 2 3" xfId="70"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4" xfId="43" xr:uid="{00000000-0005-0000-0000-000031000000}"/>
    <cellStyle name="Обычный 4 2" xfId="44"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_Форматы по компаниям от 12.03" xfId="67" xr:uid="{00000000-0005-0000-0000-00003B000000}"/>
    <cellStyle name="Обычный_Форматы по компаниям_last" xfId="52" xr:uid="{00000000-0005-0000-0000-00003C000000}"/>
    <cellStyle name="Плохой 2" xfId="53" xr:uid="{00000000-0005-0000-0000-00003D000000}"/>
    <cellStyle name="Пояснение 2" xfId="54" xr:uid="{00000000-0005-0000-0000-00003E000000}"/>
    <cellStyle name="Примечание 2" xfId="55" xr:uid="{00000000-0005-0000-0000-00003F000000}"/>
    <cellStyle name="Примечание 2 2" xfId="75" xr:uid="{00000000-0005-0000-0000-000040000000}"/>
    <cellStyle name="Процентный" xfId="69" builtinId="5"/>
    <cellStyle name="Процентный 2" xfId="64" xr:uid="{00000000-0005-0000-0000-000042000000}"/>
    <cellStyle name="Процентный 3" xfId="65" xr:uid="{00000000-0005-0000-0000-000043000000}"/>
    <cellStyle name="Процентный 4" xfId="68" xr:uid="{00000000-0005-0000-0000-000044000000}"/>
    <cellStyle name="Связанная ячейка 2" xfId="56" xr:uid="{00000000-0005-0000-0000-000045000000}"/>
    <cellStyle name="Стиль 1" xfId="66" xr:uid="{00000000-0005-0000-0000-000046000000}"/>
    <cellStyle name="Текст предупреждения 2" xfId="57" xr:uid="{00000000-0005-0000-0000-000047000000}"/>
    <cellStyle name="Финансовый 2" xfId="58" xr:uid="{00000000-0005-0000-0000-000048000000}"/>
    <cellStyle name="Финансовый 2 2 2 2 2" xfId="59" xr:uid="{00000000-0005-0000-0000-000049000000}"/>
    <cellStyle name="Финансовый 3" xfId="60" xr:uid="{00000000-0005-0000-0000-00004A000000}"/>
    <cellStyle name="Финансовый 4" xfId="76" xr:uid="{00000000-0005-0000-0000-00004B000000}"/>
    <cellStyle name="Финансовый 5" xfId="77" xr:uid="{00000000-0005-0000-0000-00004C000000}"/>
    <cellStyle name="Хороший 2" xfId="61" xr:uid="{00000000-0005-0000-0000-00004D000000}"/>
  </cellStyles>
  <dxfs count="5">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09C-4C07-A85C-C81FDB17AF2A}"/>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09C-4C07-A85C-C81FDB17AF2A}"/>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28574</xdr:colOff>
      <xdr:row>30</xdr:row>
      <xdr:rowOff>114300</xdr:rowOff>
    </xdr:from>
    <xdr:to>
      <xdr:col>7</xdr:col>
      <xdr:colOff>805179</xdr:colOff>
      <xdr:row>44</xdr:row>
      <xdr:rowOff>68580</xdr:rowOff>
    </xdr:to>
    <xdr:graphicFrame macro="">
      <xdr:nvGraphicFramePr>
        <xdr:cNvPr id="2" name="Диаграмма 1">
          <a:extLst>
            <a:ext uri="{FF2B5EF4-FFF2-40B4-BE49-F238E27FC236}">
              <a16:creationId xmlns:a16="http://schemas.microsoft.com/office/drawing/2014/main" id="{7D7EE1CE-4758-40F6-B8BB-99178107C8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51"/>
  <sheetViews>
    <sheetView view="pageBreakPreview" zoomScale="80" zoomScaleSheetLayoutView="80" workbookViewId="0">
      <selection activeCell="A15" sqref="A15:C1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8"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38" t="s">
        <v>609</v>
      </c>
      <c r="B5" s="338"/>
      <c r="C5" s="338"/>
      <c r="D5" s="116"/>
      <c r="E5" s="116"/>
      <c r="F5" s="116"/>
      <c r="G5" s="116"/>
      <c r="H5" s="116"/>
      <c r="I5" s="116"/>
      <c r="J5" s="116"/>
    </row>
    <row r="6" spans="1:22" s="8" customFormat="1" ht="18.75" x14ac:dyDescent="0.3">
      <c r="A6" s="13"/>
      <c r="H6" s="12"/>
    </row>
    <row r="7" spans="1:22" s="8" customFormat="1" ht="18.75" x14ac:dyDescent="0.2">
      <c r="A7" s="342" t="s">
        <v>7</v>
      </c>
      <c r="B7" s="342"/>
      <c r="C7" s="342"/>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43" t="s">
        <v>548</v>
      </c>
      <c r="B9" s="343"/>
      <c r="C9" s="343"/>
      <c r="D9" s="7"/>
      <c r="E9" s="7"/>
      <c r="F9" s="7"/>
      <c r="G9" s="7"/>
      <c r="H9" s="7"/>
      <c r="I9" s="10"/>
      <c r="J9" s="10"/>
      <c r="K9" s="10"/>
      <c r="L9" s="10"/>
      <c r="M9" s="10"/>
      <c r="N9" s="10"/>
      <c r="O9" s="10"/>
      <c r="P9" s="10"/>
      <c r="Q9" s="10"/>
      <c r="R9" s="10"/>
      <c r="S9" s="10"/>
      <c r="T9" s="10"/>
      <c r="U9" s="10"/>
      <c r="V9" s="10"/>
    </row>
    <row r="10" spans="1:22" s="8" customFormat="1" ht="18.75" x14ac:dyDescent="0.2">
      <c r="A10" s="339" t="s">
        <v>6</v>
      </c>
      <c r="B10" s="339"/>
      <c r="C10" s="339"/>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41" t="s">
        <v>604</v>
      </c>
      <c r="B12" s="341"/>
      <c r="C12" s="341"/>
      <c r="D12" s="7"/>
      <c r="E12" s="7"/>
      <c r="F12" s="7"/>
      <c r="G12" s="7"/>
      <c r="H12" s="7"/>
      <c r="I12" s="10"/>
      <c r="J12" s="10"/>
      <c r="K12" s="10"/>
      <c r="L12" s="10"/>
      <c r="M12" s="10"/>
      <c r="N12" s="10"/>
      <c r="O12" s="10"/>
      <c r="P12" s="10"/>
      <c r="Q12" s="10"/>
      <c r="R12" s="10"/>
      <c r="S12" s="10"/>
      <c r="T12" s="10"/>
      <c r="U12" s="10"/>
      <c r="V12" s="10"/>
    </row>
    <row r="13" spans="1:22" s="8" customFormat="1" ht="18.75" x14ac:dyDescent="0.2">
      <c r="A13" s="339" t="s">
        <v>5</v>
      </c>
      <c r="B13" s="339"/>
      <c r="C13" s="339"/>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09.5" customHeight="1" x14ac:dyDescent="0.2">
      <c r="A15" s="344" t="s">
        <v>608</v>
      </c>
      <c r="B15" s="344"/>
      <c r="C15" s="344"/>
      <c r="D15" s="7"/>
      <c r="E15" s="7"/>
      <c r="F15" s="7"/>
      <c r="G15" s="7"/>
      <c r="H15" s="7"/>
      <c r="I15" s="7"/>
      <c r="J15" s="7"/>
      <c r="K15" s="7"/>
      <c r="L15" s="7"/>
      <c r="M15" s="7"/>
      <c r="N15" s="7"/>
      <c r="O15" s="7"/>
      <c r="P15" s="7"/>
      <c r="Q15" s="7"/>
      <c r="R15" s="7"/>
      <c r="S15" s="7"/>
      <c r="T15" s="7"/>
      <c r="U15" s="7"/>
      <c r="V15" s="7"/>
    </row>
    <row r="16" spans="1:22" s="3" customFormat="1" ht="15" customHeight="1" x14ac:dyDescent="0.2">
      <c r="A16" s="339" t="s">
        <v>4</v>
      </c>
      <c r="B16" s="339"/>
      <c r="C16" s="339"/>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40" t="s">
        <v>494</v>
      </c>
      <c r="B18" s="341"/>
      <c r="C18" s="341"/>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3" t="s">
        <v>3</v>
      </c>
      <c r="B20" s="27" t="s">
        <v>64</v>
      </c>
      <c r="C20" s="26" t="s">
        <v>63</v>
      </c>
      <c r="D20" s="5"/>
      <c r="E20" s="5"/>
      <c r="F20" s="5"/>
      <c r="G20" s="5"/>
      <c r="H20" s="5"/>
      <c r="I20" s="4"/>
      <c r="J20" s="4"/>
      <c r="K20" s="4"/>
      <c r="L20" s="4"/>
      <c r="M20" s="4"/>
      <c r="N20" s="4"/>
      <c r="O20" s="4"/>
      <c r="P20" s="4"/>
      <c r="Q20" s="4"/>
      <c r="R20" s="4"/>
      <c r="S20" s="4"/>
    </row>
    <row r="21" spans="1:22" s="3" customFormat="1" ht="16.5" customHeight="1" x14ac:dyDescent="0.2">
      <c r="A21" s="26">
        <v>1</v>
      </c>
      <c r="B21" s="27">
        <v>2</v>
      </c>
      <c r="C21" s="26">
        <v>3</v>
      </c>
      <c r="D21" s="5"/>
      <c r="E21" s="5"/>
      <c r="F21" s="5"/>
      <c r="G21" s="5"/>
      <c r="H21" s="5"/>
      <c r="I21" s="4"/>
      <c r="J21" s="4"/>
      <c r="K21" s="4"/>
      <c r="L21" s="4"/>
      <c r="M21" s="4"/>
      <c r="N21" s="4"/>
      <c r="O21" s="4"/>
      <c r="P21" s="4"/>
      <c r="Q21" s="4"/>
      <c r="R21" s="4"/>
      <c r="S21" s="4"/>
    </row>
    <row r="22" spans="1:22" s="3" customFormat="1" ht="39" customHeight="1" x14ac:dyDescent="0.2">
      <c r="A22" s="22" t="s">
        <v>62</v>
      </c>
      <c r="B22" s="124" t="s">
        <v>330</v>
      </c>
      <c r="C22" s="115" t="s">
        <v>527</v>
      </c>
      <c r="D22" s="5"/>
      <c r="E22" s="5"/>
      <c r="F22" s="5"/>
      <c r="G22" s="5"/>
      <c r="H22" s="5"/>
      <c r="I22" s="4"/>
      <c r="J22" s="4"/>
      <c r="K22" s="4"/>
      <c r="L22" s="4"/>
      <c r="M22" s="4"/>
      <c r="N22" s="4"/>
      <c r="O22" s="4"/>
      <c r="P22" s="4"/>
      <c r="Q22" s="4"/>
      <c r="R22" s="4"/>
      <c r="S22" s="4"/>
    </row>
    <row r="23" spans="1:22" s="3" customFormat="1" ht="41.25" customHeight="1" x14ac:dyDescent="0.2">
      <c r="A23" s="22" t="s">
        <v>61</v>
      </c>
      <c r="B23" s="24" t="s">
        <v>530</v>
      </c>
      <c r="C23" s="115" t="s">
        <v>603</v>
      </c>
      <c r="D23" s="5"/>
      <c r="E23" s="5"/>
      <c r="F23" s="5"/>
      <c r="G23" s="5"/>
      <c r="H23" s="5"/>
      <c r="I23" s="4"/>
      <c r="J23" s="4"/>
      <c r="K23" s="4"/>
      <c r="L23" s="4"/>
      <c r="M23" s="4"/>
      <c r="N23" s="4"/>
      <c r="O23" s="4"/>
      <c r="P23" s="4"/>
      <c r="Q23" s="4"/>
      <c r="R23" s="4"/>
      <c r="S23" s="4"/>
    </row>
    <row r="24" spans="1:22" s="3" customFormat="1" ht="22.5" customHeight="1" x14ac:dyDescent="0.2">
      <c r="A24" s="335"/>
      <c r="B24" s="336"/>
      <c r="C24" s="337"/>
      <c r="D24" s="5"/>
      <c r="E24" s="5"/>
      <c r="F24" s="5"/>
      <c r="G24" s="5"/>
      <c r="H24" s="5"/>
      <c r="I24" s="4"/>
      <c r="J24" s="4"/>
      <c r="K24" s="4"/>
      <c r="L24" s="4"/>
      <c r="M24" s="4"/>
      <c r="N24" s="4"/>
      <c r="O24" s="4"/>
      <c r="P24" s="4"/>
      <c r="Q24" s="4"/>
      <c r="R24" s="4"/>
      <c r="S24" s="4"/>
    </row>
    <row r="25" spans="1:22" s="3" customFormat="1" ht="58.5" customHeight="1" x14ac:dyDescent="0.2">
      <c r="A25" s="22" t="s">
        <v>60</v>
      </c>
      <c r="B25" s="115" t="s">
        <v>443</v>
      </c>
      <c r="C25" s="23" t="s">
        <v>526</v>
      </c>
      <c r="D25" s="5"/>
      <c r="E25" s="5"/>
      <c r="F25" s="5"/>
      <c r="G25" s="5"/>
      <c r="H25" s="4"/>
      <c r="I25" s="4"/>
      <c r="J25" s="4"/>
      <c r="K25" s="4"/>
      <c r="L25" s="4"/>
      <c r="M25" s="4"/>
      <c r="N25" s="4"/>
      <c r="O25" s="4"/>
      <c r="P25" s="4"/>
      <c r="Q25" s="4"/>
      <c r="R25" s="4"/>
    </row>
    <row r="26" spans="1:22" s="3" customFormat="1" ht="42.75" customHeight="1" x14ac:dyDescent="0.2">
      <c r="A26" s="22" t="s">
        <v>59</v>
      </c>
      <c r="B26" s="115" t="s">
        <v>72</v>
      </c>
      <c r="C26" s="23" t="s">
        <v>512</v>
      </c>
      <c r="D26" s="5"/>
      <c r="E26" s="5"/>
      <c r="F26" s="5"/>
      <c r="G26" s="5"/>
      <c r="H26" s="4"/>
      <c r="I26" s="4"/>
      <c r="J26" s="4"/>
      <c r="K26" s="4"/>
      <c r="L26" s="4"/>
      <c r="M26" s="4"/>
      <c r="N26" s="4"/>
      <c r="O26" s="4"/>
      <c r="P26" s="4"/>
      <c r="Q26" s="4"/>
      <c r="R26" s="4"/>
    </row>
    <row r="27" spans="1:22" s="3" customFormat="1" ht="51.75" customHeight="1" x14ac:dyDescent="0.2">
      <c r="A27" s="22" t="s">
        <v>57</v>
      </c>
      <c r="B27" s="115" t="s">
        <v>71</v>
      </c>
      <c r="C27" s="23" t="s">
        <v>537</v>
      </c>
      <c r="D27" s="5"/>
      <c r="E27" s="5"/>
      <c r="F27" s="5"/>
      <c r="G27" s="5"/>
      <c r="H27" s="4"/>
      <c r="I27" s="4"/>
      <c r="J27" s="4"/>
      <c r="K27" s="4"/>
      <c r="L27" s="4"/>
      <c r="M27" s="4"/>
      <c r="N27" s="4"/>
      <c r="O27" s="4"/>
      <c r="P27" s="4"/>
      <c r="Q27" s="4"/>
      <c r="R27" s="4"/>
    </row>
    <row r="28" spans="1:22" s="3" customFormat="1" ht="42.75" customHeight="1" x14ac:dyDescent="0.2">
      <c r="A28" s="22" t="s">
        <v>56</v>
      </c>
      <c r="B28" s="115" t="s">
        <v>444</v>
      </c>
      <c r="C28" s="23" t="s">
        <v>514</v>
      </c>
      <c r="D28" s="5"/>
      <c r="E28" s="5"/>
      <c r="F28" s="5"/>
      <c r="G28" s="5"/>
      <c r="H28" s="4"/>
      <c r="I28" s="4"/>
      <c r="J28" s="4"/>
      <c r="K28" s="4"/>
      <c r="L28" s="4"/>
      <c r="M28" s="4"/>
      <c r="N28" s="4"/>
      <c r="O28" s="4"/>
      <c r="P28" s="4"/>
      <c r="Q28" s="4"/>
      <c r="R28" s="4"/>
    </row>
    <row r="29" spans="1:22" s="3" customFormat="1" ht="51.75" customHeight="1" x14ac:dyDescent="0.2">
      <c r="A29" s="22" t="s">
        <v>54</v>
      </c>
      <c r="B29" s="115" t="s">
        <v>445</v>
      </c>
      <c r="C29" s="23" t="s">
        <v>514</v>
      </c>
      <c r="D29" s="5"/>
      <c r="E29" s="5"/>
      <c r="F29" s="5"/>
      <c r="G29" s="5"/>
      <c r="H29" s="4"/>
      <c r="I29" s="4"/>
      <c r="J29" s="4"/>
      <c r="K29" s="4"/>
      <c r="L29" s="4"/>
      <c r="M29" s="4"/>
      <c r="N29" s="4"/>
      <c r="O29" s="4"/>
      <c r="P29" s="4"/>
      <c r="Q29" s="4"/>
      <c r="R29" s="4"/>
    </row>
    <row r="30" spans="1:22" s="3" customFormat="1" ht="51.75" customHeight="1" x14ac:dyDescent="0.2">
      <c r="A30" s="22" t="s">
        <v>52</v>
      </c>
      <c r="B30" s="115" t="s">
        <v>446</v>
      </c>
      <c r="C30" s="23" t="s">
        <v>514</v>
      </c>
      <c r="D30" s="5"/>
      <c r="E30" s="5"/>
      <c r="F30" s="5"/>
      <c r="G30" s="5"/>
      <c r="H30" s="4"/>
      <c r="I30" s="4"/>
      <c r="J30" s="4"/>
      <c r="K30" s="4"/>
      <c r="L30" s="4"/>
      <c r="M30" s="4"/>
      <c r="N30" s="4"/>
      <c r="O30" s="4"/>
      <c r="P30" s="4"/>
      <c r="Q30" s="4"/>
      <c r="R30" s="4"/>
    </row>
    <row r="31" spans="1:22" s="3" customFormat="1" ht="51.75" customHeight="1" x14ac:dyDescent="0.2">
      <c r="A31" s="22" t="s">
        <v>70</v>
      </c>
      <c r="B31" s="115" t="s">
        <v>447</v>
      </c>
      <c r="C31" s="23" t="s">
        <v>514</v>
      </c>
      <c r="D31" s="5"/>
      <c r="E31" s="5"/>
      <c r="F31" s="5"/>
      <c r="G31" s="5"/>
      <c r="H31" s="4"/>
      <c r="I31" s="4"/>
      <c r="J31" s="4"/>
      <c r="K31" s="4"/>
      <c r="L31" s="4"/>
      <c r="M31" s="4"/>
      <c r="N31" s="4"/>
      <c r="O31" s="4"/>
      <c r="P31" s="4"/>
      <c r="Q31" s="4"/>
      <c r="R31" s="4"/>
    </row>
    <row r="32" spans="1:22" s="3" customFormat="1" ht="51.75" customHeight="1" x14ac:dyDescent="0.2">
      <c r="A32" s="22" t="s">
        <v>68</v>
      </c>
      <c r="B32" s="115" t="s">
        <v>448</v>
      </c>
      <c r="C32" s="23" t="s">
        <v>514</v>
      </c>
      <c r="D32" s="5"/>
      <c r="E32" s="5"/>
      <c r="F32" s="5"/>
      <c r="G32" s="5"/>
      <c r="H32" s="4"/>
      <c r="I32" s="4"/>
      <c r="J32" s="4"/>
      <c r="K32" s="4"/>
      <c r="L32" s="4"/>
      <c r="M32" s="4"/>
      <c r="N32" s="4"/>
      <c r="O32" s="4"/>
      <c r="P32" s="4"/>
      <c r="Q32" s="4"/>
      <c r="R32" s="4"/>
    </row>
    <row r="33" spans="1:18" s="3" customFormat="1" ht="101.25" customHeight="1" x14ac:dyDescent="0.2">
      <c r="A33" s="22" t="s">
        <v>67</v>
      </c>
      <c r="B33" s="115" t="s">
        <v>449</v>
      </c>
      <c r="C33" s="23" t="s">
        <v>531</v>
      </c>
      <c r="D33" s="5"/>
      <c r="E33" s="5"/>
      <c r="F33" s="5"/>
      <c r="G33" s="5"/>
      <c r="H33" s="4"/>
      <c r="I33" s="4"/>
      <c r="J33" s="4"/>
      <c r="K33" s="4"/>
      <c r="L33" s="4"/>
      <c r="M33" s="4"/>
      <c r="N33" s="4"/>
      <c r="O33" s="4"/>
      <c r="P33" s="4"/>
      <c r="Q33" s="4"/>
      <c r="R33" s="4"/>
    </row>
    <row r="34" spans="1:18" ht="111" customHeight="1" x14ac:dyDescent="0.25">
      <c r="A34" s="22" t="s">
        <v>463</v>
      </c>
      <c r="B34" s="115" t="s">
        <v>450</v>
      </c>
      <c r="C34" s="23" t="s">
        <v>514</v>
      </c>
    </row>
    <row r="35" spans="1:18" ht="58.5" customHeight="1" x14ac:dyDescent="0.25">
      <c r="A35" s="22" t="s">
        <v>453</v>
      </c>
      <c r="B35" s="115" t="s">
        <v>69</v>
      </c>
      <c r="C35" s="23" t="s">
        <v>514</v>
      </c>
    </row>
    <row r="36" spans="1:18" ht="51.75" customHeight="1" x14ac:dyDescent="0.25">
      <c r="A36" s="22" t="s">
        <v>464</v>
      </c>
      <c r="B36" s="115" t="s">
        <v>451</v>
      </c>
      <c r="C36" s="23" t="s">
        <v>514</v>
      </c>
    </row>
    <row r="37" spans="1:18" ht="43.5" customHeight="1" x14ac:dyDescent="0.25">
      <c r="A37" s="22" t="s">
        <v>454</v>
      </c>
      <c r="B37" s="115" t="s">
        <v>452</v>
      </c>
      <c r="C37" s="23" t="s">
        <v>514</v>
      </c>
    </row>
    <row r="38" spans="1:18" ht="43.5" customHeight="1" x14ac:dyDescent="0.25">
      <c r="A38" s="22" t="s">
        <v>465</v>
      </c>
      <c r="B38" s="115" t="s">
        <v>226</v>
      </c>
      <c r="C38" s="23" t="s">
        <v>514</v>
      </c>
    </row>
    <row r="39" spans="1:18" ht="23.25" customHeight="1" x14ac:dyDescent="0.25">
      <c r="A39" s="335"/>
      <c r="B39" s="336"/>
      <c r="C39" s="337"/>
    </row>
    <row r="40" spans="1:18" ht="63" x14ac:dyDescent="0.25">
      <c r="A40" s="22" t="s">
        <v>455</v>
      </c>
      <c r="B40" s="115" t="s">
        <v>507</v>
      </c>
      <c r="C40" s="135" t="str">
        <f>CONCATENATE("Фхо=",ROUND('6.2. Паспорт фин осв ввод'!C24,2)," млн.руб.")</f>
        <v>Фхо=2,41 млн.руб.</v>
      </c>
    </row>
    <row r="41" spans="1:18" ht="105.75" customHeight="1" x14ac:dyDescent="0.25">
      <c r="A41" s="22" t="s">
        <v>466</v>
      </c>
      <c r="B41" s="115" t="s">
        <v>489</v>
      </c>
      <c r="C41" s="23" t="s">
        <v>514</v>
      </c>
    </row>
    <row r="42" spans="1:18" ht="83.25" customHeight="1" x14ac:dyDescent="0.25">
      <c r="A42" s="22" t="s">
        <v>456</v>
      </c>
      <c r="B42" s="115" t="s">
        <v>504</v>
      </c>
      <c r="C42" s="23" t="s">
        <v>514</v>
      </c>
    </row>
    <row r="43" spans="1:18" ht="186" customHeight="1" x14ac:dyDescent="0.25">
      <c r="A43" s="22" t="s">
        <v>469</v>
      </c>
      <c r="B43" s="115" t="s">
        <v>470</v>
      </c>
      <c r="C43" s="23" t="s">
        <v>526</v>
      </c>
    </row>
    <row r="44" spans="1:18" ht="111" customHeight="1" x14ac:dyDescent="0.25">
      <c r="A44" s="22" t="s">
        <v>457</v>
      </c>
      <c r="B44" s="115" t="s">
        <v>495</v>
      </c>
      <c r="C44" s="23" t="s">
        <v>526</v>
      </c>
    </row>
    <row r="45" spans="1:18" ht="120" customHeight="1" x14ac:dyDescent="0.25">
      <c r="A45" s="22" t="s">
        <v>490</v>
      </c>
      <c r="B45" s="115" t="s">
        <v>496</v>
      </c>
      <c r="C45" s="23" t="s">
        <v>526</v>
      </c>
    </row>
    <row r="46" spans="1:18" ht="101.25" customHeight="1" x14ac:dyDescent="0.25">
      <c r="A46" s="22" t="s">
        <v>458</v>
      </c>
      <c r="B46" s="115" t="s">
        <v>497</v>
      </c>
      <c r="C46" s="23" t="s">
        <v>526</v>
      </c>
    </row>
    <row r="47" spans="1:18" ht="18.75" customHeight="1" x14ac:dyDescent="0.25">
      <c r="A47" s="335"/>
      <c r="B47" s="336"/>
      <c r="C47" s="337"/>
    </row>
    <row r="48" spans="1:18" ht="78" hidden="1" customHeight="1" x14ac:dyDescent="0.25">
      <c r="A48" s="22" t="s">
        <v>491</v>
      </c>
      <c r="B48" s="115" t="s">
        <v>505</v>
      </c>
      <c r="C48" s="121" t="str">
        <f>CONCATENATE(ROUND('6.2. Паспорт фин осв ввод'!AJ24,2)," млн.руб.")</f>
        <v>0 млн.руб.</v>
      </c>
      <c r="D48" s="1" t="s">
        <v>533</v>
      </c>
    </row>
    <row r="49" spans="1:4" ht="78" hidden="1" customHeight="1" x14ac:dyDescent="0.25">
      <c r="A49" s="22" t="s">
        <v>459</v>
      </c>
      <c r="B49" s="115" t="s">
        <v>506</v>
      </c>
      <c r="C49" s="121" t="str">
        <f>CONCATENATE(ROUND('6.2. Паспорт фин осв ввод'!AJ30,2)," млн.руб.")</f>
        <v>0 млн.руб.</v>
      </c>
      <c r="D49" s="1" t="s">
        <v>533</v>
      </c>
    </row>
    <row r="50" spans="1:4" ht="78" customHeight="1" x14ac:dyDescent="0.25">
      <c r="A50" s="22" t="s">
        <v>491</v>
      </c>
      <c r="B50" s="115" t="s">
        <v>505</v>
      </c>
      <c r="C50" s="153" t="str">
        <f>CONCATENATE(ROUND('6.2. Паспорт фин осв ввод'!AC27,2)," млн.рублей")</f>
        <v>2,41 млн.рублей</v>
      </c>
      <c r="D50" s="1" t="s">
        <v>529</v>
      </c>
    </row>
    <row r="51" spans="1:4" ht="78" customHeight="1" x14ac:dyDescent="0.25">
      <c r="A51" s="22" t="s">
        <v>459</v>
      </c>
      <c r="B51" s="115" t="s">
        <v>506</v>
      </c>
      <c r="C51" s="153" t="str">
        <f>CONCATENATE(ROUND('6.2. Паспорт фин осв ввод'!AC33,2)," млн.рублей")</f>
        <v>2,01 млн.рублей</v>
      </c>
      <c r="D51" s="1" t="s">
        <v>529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opLeftCell="A11" zoomScale="80" zoomScaleNormal="80" zoomScaleSheetLayoutView="70" workbookViewId="0">
      <selection activeCell="G27" sqref="G27"/>
    </sheetView>
  </sheetViews>
  <sheetFormatPr defaultRowHeight="15.75" x14ac:dyDescent="0.25"/>
  <cols>
    <col min="1" max="1" width="9.140625" style="45"/>
    <col min="2" max="2" width="57.85546875" style="45" customWidth="1"/>
    <col min="3" max="3" width="13" style="45" customWidth="1"/>
    <col min="4" max="4" width="17.85546875" style="45" customWidth="1"/>
    <col min="5" max="5" width="20.42578125" style="45" customWidth="1"/>
    <col min="6" max="6" width="18.7109375" style="45" customWidth="1"/>
    <col min="7" max="11" width="12.85546875" style="45" customWidth="1"/>
    <col min="12" max="27" width="9" style="45" customWidth="1"/>
    <col min="28" max="28" width="13.140625" style="45" customWidth="1"/>
    <col min="29" max="29" width="20.140625" style="45" customWidth="1"/>
    <col min="30" max="16384" width="9.140625" style="45"/>
  </cols>
  <sheetData>
    <row r="1" spans="1:29" ht="18.75" x14ac:dyDescent="0.25">
      <c r="AC1" s="28" t="s">
        <v>66</v>
      </c>
    </row>
    <row r="2" spans="1:29" ht="18.75" x14ac:dyDescent="0.3">
      <c r="AC2" s="12" t="s">
        <v>8</v>
      </c>
    </row>
    <row r="3" spans="1:29" ht="18.75" x14ac:dyDescent="0.3">
      <c r="AC3" s="12" t="s">
        <v>65</v>
      </c>
    </row>
    <row r="4" spans="1:29" ht="18.75" customHeight="1" x14ac:dyDescent="0.25">
      <c r="A4" s="338" t="str">
        <f>'1. паспорт местоположение'!A5:C5</f>
        <v>Год раскрытия информации: 2024 год</v>
      </c>
      <c r="B4" s="338"/>
      <c r="C4" s="338"/>
      <c r="D4" s="338"/>
      <c r="E4" s="338"/>
      <c r="F4" s="338"/>
      <c r="G4" s="338"/>
      <c r="H4" s="338"/>
      <c r="I4" s="338"/>
      <c r="J4" s="338"/>
      <c r="K4" s="338"/>
      <c r="L4" s="338"/>
      <c r="M4" s="338"/>
      <c r="N4" s="338"/>
      <c r="O4" s="338"/>
      <c r="P4" s="338"/>
      <c r="Q4" s="338"/>
      <c r="R4" s="338"/>
      <c r="S4" s="338"/>
      <c r="T4" s="338"/>
      <c r="U4" s="338"/>
      <c r="V4" s="338"/>
      <c r="W4" s="338"/>
      <c r="X4" s="338"/>
      <c r="Y4" s="338"/>
      <c r="Z4" s="338"/>
      <c r="AA4" s="338"/>
      <c r="AB4" s="338"/>
      <c r="AC4" s="338"/>
    </row>
    <row r="5" spans="1:29" ht="18.75" x14ac:dyDescent="0.3">
      <c r="AC5" s="12"/>
    </row>
    <row r="6" spans="1:29" ht="18.75" x14ac:dyDescent="0.25">
      <c r="A6" s="342" t="s">
        <v>7</v>
      </c>
      <c r="B6" s="342"/>
      <c r="C6" s="342"/>
      <c r="D6" s="342"/>
      <c r="E6" s="342"/>
      <c r="F6" s="342"/>
      <c r="G6" s="342"/>
      <c r="H6" s="342"/>
      <c r="I6" s="342"/>
      <c r="J6" s="342"/>
      <c r="K6" s="342"/>
      <c r="L6" s="342"/>
      <c r="M6" s="342"/>
      <c r="N6" s="342"/>
      <c r="O6" s="342"/>
      <c r="P6" s="342"/>
      <c r="Q6" s="342"/>
      <c r="R6" s="342"/>
      <c r="S6" s="342"/>
      <c r="T6" s="342"/>
      <c r="U6" s="342"/>
      <c r="V6" s="342"/>
      <c r="W6" s="342"/>
      <c r="X6" s="342"/>
      <c r="Y6" s="342"/>
      <c r="Z6" s="342"/>
      <c r="AA6" s="342"/>
      <c r="AB6" s="342"/>
      <c r="AC6" s="342"/>
    </row>
    <row r="7" spans="1:29" ht="18.75" x14ac:dyDescent="0.25">
      <c r="A7" s="10"/>
      <c r="B7" s="10"/>
      <c r="C7" s="10"/>
      <c r="D7" s="10"/>
      <c r="E7" s="10"/>
      <c r="F7" s="10"/>
      <c r="G7" s="10"/>
      <c r="H7" s="10"/>
      <c r="I7" s="10"/>
      <c r="J7" s="10"/>
      <c r="K7" s="10"/>
      <c r="L7" s="10"/>
      <c r="M7" s="10"/>
      <c r="N7" s="55"/>
      <c r="O7" s="55"/>
      <c r="P7" s="55"/>
      <c r="Q7" s="55"/>
      <c r="R7" s="55"/>
      <c r="S7" s="55"/>
      <c r="T7" s="55"/>
      <c r="U7" s="55"/>
      <c r="V7" s="55"/>
      <c r="W7" s="55"/>
      <c r="X7" s="55"/>
      <c r="Y7" s="55"/>
      <c r="Z7" s="55"/>
      <c r="AA7" s="55"/>
      <c r="AB7" s="55"/>
      <c r="AC7" s="55"/>
    </row>
    <row r="8" spans="1:29" x14ac:dyDescent="0.25">
      <c r="A8" s="348" t="str">
        <f>'1. паспорт местоположение'!A9:C9</f>
        <v>Акционерное общество "Западная энергетическая компания"</v>
      </c>
      <c r="B8" s="348"/>
      <c r="C8" s="348"/>
      <c r="D8" s="348"/>
      <c r="E8" s="348"/>
      <c r="F8" s="348"/>
      <c r="G8" s="348"/>
      <c r="H8" s="348"/>
      <c r="I8" s="348"/>
      <c r="J8" s="348"/>
      <c r="K8" s="348"/>
      <c r="L8" s="348"/>
      <c r="M8" s="348"/>
      <c r="N8" s="348"/>
      <c r="O8" s="348"/>
      <c r="P8" s="348"/>
      <c r="Q8" s="348"/>
      <c r="R8" s="348"/>
      <c r="S8" s="348"/>
      <c r="T8" s="348"/>
      <c r="U8" s="348"/>
      <c r="V8" s="348"/>
      <c r="W8" s="348"/>
      <c r="X8" s="348"/>
      <c r="Y8" s="348"/>
      <c r="Z8" s="348"/>
      <c r="AA8" s="348"/>
      <c r="AB8" s="348"/>
      <c r="AC8" s="348"/>
    </row>
    <row r="9" spans="1:29" ht="18.75" customHeight="1" x14ac:dyDescent="0.25">
      <c r="A9" s="339" t="s">
        <v>6</v>
      </c>
      <c r="B9" s="339"/>
      <c r="C9" s="339"/>
      <c r="D9" s="339"/>
      <c r="E9" s="339"/>
      <c r="F9" s="339"/>
      <c r="G9" s="339"/>
      <c r="H9" s="339"/>
      <c r="I9" s="339"/>
      <c r="J9" s="339"/>
      <c r="K9" s="339"/>
      <c r="L9" s="339"/>
      <c r="M9" s="339"/>
      <c r="N9" s="339"/>
      <c r="O9" s="339"/>
      <c r="P9" s="339"/>
      <c r="Q9" s="339"/>
      <c r="R9" s="339"/>
      <c r="S9" s="339"/>
      <c r="T9" s="339"/>
      <c r="U9" s="339"/>
      <c r="V9" s="339"/>
      <c r="W9" s="339"/>
      <c r="X9" s="339"/>
      <c r="Y9" s="339"/>
      <c r="Z9" s="339"/>
      <c r="AA9" s="339"/>
      <c r="AB9" s="339"/>
      <c r="AC9" s="339"/>
    </row>
    <row r="10" spans="1:29" ht="18.75" x14ac:dyDescent="0.25">
      <c r="A10" s="10"/>
      <c r="B10" s="10"/>
      <c r="C10" s="10"/>
      <c r="D10" s="10"/>
      <c r="E10" s="10"/>
      <c r="F10" s="10"/>
      <c r="G10" s="10"/>
      <c r="H10" s="10"/>
      <c r="I10" s="10"/>
      <c r="J10" s="10"/>
      <c r="K10" s="10"/>
      <c r="L10" s="10"/>
      <c r="M10" s="10"/>
      <c r="N10" s="55"/>
      <c r="O10" s="55"/>
      <c r="P10" s="55"/>
      <c r="Q10" s="55"/>
      <c r="R10" s="55"/>
      <c r="S10" s="55"/>
      <c r="T10" s="55"/>
      <c r="U10" s="55"/>
      <c r="V10" s="55"/>
      <c r="W10" s="55"/>
      <c r="X10" s="55"/>
      <c r="Y10" s="55"/>
      <c r="Z10" s="55"/>
      <c r="AA10" s="55"/>
      <c r="AB10" s="55"/>
      <c r="AC10" s="55"/>
    </row>
    <row r="11" spans="1:29" x14ac:dyDescent="0.25">
      <c r="A11" s="348" t="str">
        <f>'1. паспорт местоположение'!A12:C12</f>
        <v>M 22-06</v>
      </c>
      <c r="B11" s="348"/>
      <c r="C11" s="348"/>
      <c r="D11" s="348"/>
      <c r="E11" s="348"/>
      <c r="F11" s="348"/>
      <c r="G11" s="348"/>
      <c r="H11" s="348"/>
      <c r="I11" s="348"/>
      <c r="J11" s="348"/>
      <c r="K11" s="348"/>
      <c r="L11" s="348"/>
      <c r="M11" s="348"/>
      <c r="N11" s="348"/>
      <c r="O11" s="348"/>
      <c r="P11" s="348"/>
      <c r="Q11" s="348"/>
      <c r="R11" s="348"/>
      <c r="S11" s="348"/>
      <c r="T11" s="348"/>
      <c r="U11" s="348"/>
      <c r="V11" s="348"/>
      <c r="W11" s="348"/>
      <c r="X11" s="348"/>
      <c r="Y11" s="348"/>
      <c r="Z11" s="348"/>
      <c r="AA11" s="348"/>
      <c r="AB11" s="348"/>
      <c r="AC11" s="348"/>
    </row>
    <row r="12" spans="1:29" x14ac:dyDescent="0.25">
      <c r="A12" s="339" t="s">
        <v>5</v>
      </c>
      <c r="B12" s="339"/>
      <c r="C12" s="339"/>
      <c r="D12" s="339"/>
      <c r="E12" s="339"/>
      <c r="F12" s="339"/>
      <c r="G12" s="339"/>
      <c r="H12" s="339"/>
      <c r="I12" s="339"/>
      <c r="J12" s="339"/>
      <c r="K12" s="339"/>
      <c r="L12" s="339"/>
      <c r="M12" s="339"/>
      <c r="N12" s="339"/>
      <c r="O12" s="339"/>
      <c r="P12" s="339"/>
      <c r="Q12" s="339"/>
      <c r="R12" s="339"/>
      <c r="S12" s="339"/>
      <c r="T12" s="339"/>
      <c r="U12" s="339"/>
      <c r="V12" s="339"/>
      <c r="W12" s="339"/>
      <c r="X12" s="339"/>
      <c r="Y12" s="339"/>
      <c r="Z12" s="339"/>
      <c r="AA12" s="339"/>
      <c r="AB12" s="339"/>
      <c r="AC12" s="339"/>
    </row>
    <row r="13" spans="1:29" ht="16.5" customHeight="1" x14ac:dyDescent="0.3">
      <c r="A13" s="9"/>
      <c r="B13" s="9"/>
      <c r="C13" s="9"/>
      <c r="D13" s="9"/>
      <c r="E13" s="9"/>
      <c r="F13" s="9"/>
      <c r="G13" s="9"/>
      <c r="H13" s="9"/>
      <c r="I13" s="9"/>
      <c r="J13" s="9"/>
      <c r="K13" s="9"/>
      <c r="L13" s="9"/>
      <c r="M13" s="9"/>
      <c r="N13" s="54"/>
      <c r="O13" s="54"/>
      <c r="P13" s="54"/>
      <c r="Q13" s="54"/>
      <c r="R13" s="54"/>
      <c r="S13" s="54"/>
      <c r="T13" s="54"/>
      <c r="U13" s="54"/>
      <c r="V13" s="54"/>
      <c r="W13" s="54"/>
      <c r="X13" s="54"/>
      <c r="Y13" s="54"/>
      <c r="Z13" s="54"/>
      <c r="AA13" s="54"/>
      <c r="AB13" s="54"/>
      <c r="AC13" s="54"/>
    </row>
    <row r="14" spans="1:29" ht="45.75" customHeight="1" x14ac:dyDescent="0.25">
      <c r="A14" s="345" t="str">
        <f>'1. паспорт местоположение'!A15</f>
        <v>Приобретение устройства испытательного  "Ретом-61" – 1 шт.</v>
      </c>
      <c r="B14" s="345"/>
      <c r="C14" s="345"/>
      <c r="D14" s="345"/>
      <c r="E14" s="345"/>
      <c r="F14" s="345"/>
      <c r="G14" s="345"/>
      <c r="H14" s="345"/>
      <c r="I14" s="345"/>
      <c r="J14" s="345"/>
      <c r="K14" s="345"/>
      <c r="L14" s="345"/>
      <c r="M14" s="345"/>
      <c r="N14" s="345"/>
      <c r="O14" s="345"/>
      <c r="P14" s="345"/>
      <c r="Q14" s="345"/>
      <c r="R14" s="345"/>
      <c r="S14" s="345"/>
      <c r="T14" s="345"/>
      <c r="U14" s="345"/>
      <c r="V14" s="345"/>
      <c r="W14" s="345"/>
      <c r="X14" s="345"/>
      <c r="Y14" s="345"/>
      <c r="Z14" s="345"/>
      <c r="AA14" s="345"/>
      <c r="AB14" s="345"/>
      <c r="AC14" s="345"/>
    </row>
    <row r="15" spans="1:29" ht="15.75" customHeight="1" x14ac:dyDescent="0.25">
      <c r="A15" s="339" t="s">
        <v>4</v>
      </c>
      <c r="B15" s="339"/>
      <c r="C15" s="339"/>
      <c r="D15" s="339"/>
      <c r="E15" s="339"/>
      <c r="F15" s="339"/>
      <c r="G15" s="339"/>
      <c r="H15" s="339"/>
      <c r="I15" s="339"/>
      <c r="J15" s="339"/>
      <c r="K15" s="339"/>
      <c r="L15" s="339"/>
      <c r="M15" s="339"/>
      <c r="N15" s="339"/>
      <c r="O15" s="339"/>
      <c r="P15" s="339"/>
      <c r="Q15" s="339"/>
      <c r="R15" s="339"/>
      <c r="S15" s="339"/>
      <c r="T15" s="339"/>
      <c r="U15" s="339"/>
      <c r="V15" s="339"/>
      <c r="W15" s="339"/>
      <c r="X15" s="339"/>
      <c r="Y15" s="339"/>
      <c r="Z15" s="339"/>
      <c r="AA15" s="339"/>
      <c r="AB15" s="339"/>
      <c r="AC15" s="339"/>
    </row>
    <row r="16" spans="1:29" x14ac:dyDescent="0.25">
      <c r="A16" s="412"/>
      <c r="B16" s="412"/>
      <c r="C16" s="412"/>
      <c r="D16" s="412"/>
      <c r="E16" s="412"/>
      <c r="F16" s="412"/>
      <c r="G16" s="412"/>
      <c r="H16" s="412"/>
      <c r="I16" s="412"/>
      <c r="J16" s="412"/>
      <c r="K16" s="412"/>
      <c r="L16" s="412"/>
      <c r="M16" s="412"/>
      <c r="N16" s="412"/>
      <c r="O16" s="412"/>
      <c r="P16" s="412"/>
      <c r="Q16" s="412"/>
      <c r="R16" s="412"/>
      <c r="S16" s="412"/>
      <c r="T16" s="412"/>
      <c r="U16" s="412"/>
      <c r="V16" s="412"/>
      <c r="W16" s="412"/>
      <c r="X16" s="412"/>
      <c r="Y16" s="412"/>
      <c r="Z16" s="412"/>
      <c r="AA16" s="412"/>
      <c r="AB16" s="412"/>
      <c r="AC16" s="412"/>
    </row>
    <row r="18" spans="1:32" x14ac:dyDescent="0.25">
      <c r="A18" s="413" t="s">
        <v>479</v>
      </c>
      <c r="B18" s="413"/>
      <c r="C18" s="413"/>
      <c r="D18" s="413"/>
      <c r="E18" s="413"/>
      <c r="F18" s="413"/>
      <c r="G18" s="413"/>
      <c r="H18" s="413"/>
      <c r="I18" s="413"/>
      <c r="J18" s="413"/>
      <c r="K18" s="413"/>
      <c r="L18" s="413"/>
      <c r="M18" s="413"/>
      <c r="N18" s="413"/>
      <c r="O18" s="413"/>
      <c r="P18" s="413"/>
      <c r="Q18" s="413"/>
      <c r="R18" s="413"/>
      <c r="S18" s="413"/>
      <c r="T18" s="413"/>
      <c r="U18" s="413"/>
      <c r="V18" s="413"/>
      <c r="W18" s="413"/>
      <c r="X18" s="413"/>
      <c r="Y18" s="413"/>
      <c r="Z18" s="413"/>
      <c r="AA18" s="413"/>
      <c r="AB18" s="413"/>
      <c r="AC18" s="413"/>
    </row>
    <row r="20" spans="1:32" ht="33" customHeight="1" x14ac:dyDescent="0.25">
      <c r="A20" s="406" t="s">
        <v>182</v>
      </c>
      <c r="B20" s="406" t="s">
        <v>181</v>
      </c>
      <c r="C20" s="405" t="s">
        <v>180</v>
      </c>
      <c r="D20" s="405"/>
      <c r="E20" s="407" t="s">
        <v>179</v>
      </c>
      <c r="F20" s="407"/>
      <c r="G20" s="406" t="s">
        <v>554</v>
      </c>
      <c r="H20" s="403" t="s">
        <v>553</v>
      </c>
      <c r="I20" s="404"/>
      <c r="J20" s="404"/>
      <c r="K20" s="404"/>
      <c r="L20" s="403" t="s">
        <v>539</v>
      </c>
      <c r="M20" s="404"/>
      <c r="N20" s="404"/>
      <c r="O20" s="404"/>
      <c r="P20" s="403" t="s">
        <v>538</v>
      </c>
      <c r="Q20" s="404"/>
      <c r="R20" s="404"/>
      <c r="S20" s="404"/>
      <c r="T20" s="403" t="s">
        <v>542</v>
      </c>
      <c r="U20" s="404"/>
      <c r="V20" s="404"/>
      <c r="W20" s="404"/>
      <c r="X20" s="403" t="s">
        <v>607</v>
      </c>
      <c r="Y20" s="404"/>
      <c r="Z20" s="404"/>
      <c r="AA20" s="404"/>
      <c r="AB20" s="411" t="s">
        <v>178</v>
      </c>
      <c r="AC20" s="411"/>
      <c r="AD20" s="53"/>
      <c r="AE20" s="53"/>
      <c r="AF20" s="53"/>
    </row>
    <row r="21" spans="1:32" ht="99.75" customHeight="1" x14ac:dyDescent="0.25">
      <c r="A21" s="399"/>
      <c r="B21" s="399"/>
      <c r="C21" s="405"/>
      <c r="D21" s="405"/>
      <c r="E21" s="407"/>
      <c r="F21" s="407"/>
      <c r="G21" s="399"/>
      <c r="H21" s="405" t="s">
        <v>2</v>
      </c>
      <c r="I21" s="405"/>
      <c r="J21" s="405" t="s">
        <v>555</v>
      </c>
      <c r="K21" s="405"/>
      <c r="L21" s="405" t="s">
        <v>2</v>
      </c>
      <c r="M21" s="405"/>
      <c r="N21" s="405" t="s">
        <v>555</v>
      </c>
      <c r="O21" s="405"/>
      <c r="P21" s="405" t="s">
        <v>2</v>
      </c>
      <c r="Q21" s="405"/>
      <c r="R21" s="405" t="s">
        <v>555</v>
      </c>
      <c r="S21" s="405"/>
      <c r="T21" s="405" t="s">
        <v>2</v>
      </c>
      <c r="U21" s="405"/>
      <c r="V21" s="405" t="s">
        <v>555</v>
      </c>
      <c r="W21" s="405"/>
      <c r="X21" s="405" t="s">
        <v>2</v>
      </c>
      <c r="Y21" s="405"/>
      <c r="Z21" s="405" t="s">
        <v>177</v>
      </c>
      <c r="AA21" s="405"/>
      <c r="AB21" s="411"/>
      <c r="AC21" s="411"/>
    </row>
    <row r="22" spans="1:32" ht="89.25" customHeight="1" x14ac:dyDescent="0.25">
      <c r="A22" s="400"/>
      <c r="B22" s="400"/>
      <c r="C22" s="151" t="s">
        <v>2</v>
      </c>
      <c r="D22" s="151" t="s">
        <v>177</v>
      </c>
      <c r="E22" s="136" t="s">
        <v>552</v>
      </c>
      <c r="F22" s="136" t="s">
        <v>611</v>
      </c>
      <c r="G22" s="400"/>
      <c r="H22" s="161" t="s">
        <v>460</v>
      </c>
      <c r="I22" s="161" t="s">
        <v>461</v>
      </c>
      <c r="J22" s="161" t="s">
        <v>460</v>
      </c>
      <c r="K22" s="161" t="s">
        <v>461</v>
      </c>
      <c r="L22" s="161" t="s">
        <v>460</v>
      </c>
      <c r="M22" s="161" t="s">
        <v>461</v>
      </c>
      <c r="N22" s="161" t="s">
        <v>460</v>
      </c>
      <c r="O22" s="161" t="s">
        <v>461</v>
      </c>
      <c r="P22" s="161" t="s">
        <v>460</v>
      </c>
      <c r="Q22" s="161" t="s">
        <v>461</v>
      </c>
      <c r="R22" s="161" t="s">
        <v>460</v>
      </c>
      <c r="S22" s="161" t="s">
        <v>461</v>
      </c>
      <c r="T22" s="161" t="s">
        <v>460</v>
      </c>
      <c r="U22" s="161" t="s">
        <v>461</v>
      </c>
      <c r="V22" s="161" t="s">
        <v>460</v>
      </c>
      <c r="W22" s="161" t="s">
        <v>461</v>
      </c>
      <c r="X22" s="161" t="s">
        <v>460</v>
      </c>
      <c r="Y22" s="161" t="s">
        <v>461</v>
      </c>
      <c r="Z22" s="161" t="s">
        <v>460</v>
      </c>
      <c r="AA22" s="161" t="s">
        <v>461</v>
      </c>
      <c r="AB22" s="151" t="s">
        <v>543</v>
      </c>
      <c r="AC22" s="151" t="s">
        <v>177</v>
      </c>
    </row>
    <row r="23" spans="1:32" ht="19.5" customHeight="1" x14ac:dyDescent="0.25">
      <c r="A23" s="162">
        <v>1</v>
      </c>
      <c r="B23" s="162">
        <v>2</v>
      </c>
      <c r="C23" s="162">
        <v>3</v>
      </c>
      <c r="D23" s="162">
        <v>4</v>
      </c>
      <c r="E23" s="162">
        <v>5</v>
      </c>
      <c r="F23" s="162">
        <v>6</v>
      </c>
      <c r="G23" s="162">
        <v>7</v>
      </c>
      <c r="H23" s="190">
        <f>G23+1</f>
        <v>8</v>
      </c>
      <c r="I23" s="190">
        <f t="shared" ref="I23:AC23" si="0">H23+1</f>
        <v>9</v>
      </c>
      <c r="J23" s="190">
        <f t="shared" si="0"/>
        <v>10</v>
      </c>
      <c r="K23" s="190">
        <f t="shared" si="0"/>
        <v>11</v>
      </c>
      <c r="L23" s="190">
        <f t="shared" si="0"/>
        <v>12</v>
      </c>
      <c r="M23" s="190">
        <f t="shared" si="0"/>
        <v>13</v>
      </c>
      <c r="N23" s="190">
        <f t="shared" si="0"/>
        <v>14</v>
      </c>
      <c r="O23" s="190">
        <f t="shared" si="0"/>
        <v>15</v>
      </c>
      <c r="P23" s="190">
        <f t="shared" si="0"/>
        <v>16</v>
      </c>
      <c r="Q23" s="190">
        <f t="shared" si="0"/>
        <v>17</v>
      </c>
      <c r="R23" s="190">
        <f t="shared" si="0"/>
        <v>18</v>
      </c>
      <c r="S23" s="190">
        <f t="shared" si="0"/>
        <v>19</v>
      </c>
      <c r="T23" s="190">
        <f t="shared" si="0"/>
        <v>20</v>
      </c>
      <c r="U23" s="190">
        <f t="shared" si="0"/>
        <v>21</v>
      </c>
      <c r="V23" s="190">
        <f t="shared" si="0"/>
        <v>22</v>
      </c>
      <c r="W23" s="190">
        <f t="shared" si="0"/>
        <v>23</v>
      </c>
      <c r="X23" s="190">
        <f t="shared" si="0"/>
        <v>24</v>
      </c>
      <c r="Y23" s="190">
        <f t="shared" si="0"/>
        <v>25</v>
      </c>
      <c r="Z23" s="190">
        <f t="shared" si="0"/>
        <v>26</v>
      </c>
      <c r="AA23" s="190">
        <f t="shared" si="0"/>
        <v>27</v>
      </c>
      <c r="AB23" s="190">
        <f t="shared" si="0"/>
        <v>28</v>
      </c>
      <c r="AC23" s="190">
        <f t="shared" si="0"/>
        <v>29</v>
      </c>
    </row>
    <row r="24" spans="1:32" ht="47.25" customHeight="1" x14ac:dyDescent="0.25">
      <c r="A24" s="163">
        <v>1</v>
      </c>
      <c r="B24" s="164" t="s">
        <v>176</v>
      </c>
      <c r="C24" s="165">
        <v>2.4140000000000001</v>
      </c>
      <c r="D24" s="165">
        <f t="shared" ref="D24:W24" si="1">SUM(D25:D29)</f>
        <v>2.4140000000000001</v>
      </c>
      <c r="E24" s="165">
        <f t="shared" si="1"/>
        <v>2.4140000000000001</v>
      </c>
      <c r="F24" s="165">
        <f>D24</f>
        <v>2.4140000000000001</v>
      </c>
      <c r="G24" s="165">
        <f t="shared" si="1"/>
        <v>0</v>
      </c>
      <c r="H24" s="165" t="s">
        <v>526</v>
      </c>
      <c r="I24" s="165">
        <v>0</v>
      </c>
      <c r="J24" s="165">
        <v>0</v>
      </c>
      <c r="K24" s="165">
        <v>0</v>
      </c>
      <c r="L24" s="165" t="s">
        <v>526</v>
      </c>
      <c r="M24" s="165">
        <f t="shared" si="1"/>
        <v>0</v>
      </c>
      <c r="N24" s="165">
        <f t="shared" si="1"/>
        <v>0</v>
      </c>
      <c r="O24" s="165">
        <f t="shared" si="1"/>
        <v>0</v>
      </c>
      <c r="P24" s="170">
        <v>0</v>
      </c>
      <c r="Q24" s="165">
        <f t="shared" si="1"/>
        <v>0</v>
      </c>
      <c r="R24" s="165">
        <v>0</v>
      </c>
      <c r="S24" s="165">
        <f t="shared" si="1"/>
        <v>0</v>
      </c>
      <c r="T24" s="170">
        <v>0</v>
      </c>
      <c r="U24" s="165">
        <f t="shared" si="1"/>
        <v>0</v>
      </c>
      <c r="V24" s="165">
        <f t="shared" si="1"/>
        <v>0</v>
      </c>
      <c r="W24" s="165">
        <f t="shared" si="1"/>
        <v>0</v>
      </c>
      <c r="X24" s="165">
        <v>2.4140000000000001</v>
      </c>
      <c r="Y24" s="165">
        <v>0</v>
      </c>
      <c r="Z24" s="165">
        <v>2.4140000000000001</v>
      </c>
      <c r="AA24" s="165">
        <v>0</v>
      </c>
      <c r="AB24" s="165">
        <v>2.4140000000000001</v>
      </c>
      <c r="AC24" s="166">
        <f>Z24+V24+R24+N24+J24</f>
        <v>2.4140000000000001</v>
      </c>
    </row>
    <row r="25" spans="1:32" ht="24" customHeight="1" x14ac:dyDescent="0.25">
      <c r="A25" s="167" t="s">
        <v>175</v>
      </c>
      <c r="B25" s="168" t="s">
        <v>174</v>
      </c>
      <c r="C25" s="165">
        <v>0</v>
      </c>
      <c r="D25" s="165">
        <v>0</v>
      </c>
      <c r="E25" s="169">
        <f>C25</f>
        <v>0</v>
      </c>
      <c r="F25" s="165">
        <f t="shared" ref="F25:F64" si="2">D25</f>
        <v>0</v>
      </c>
      <c r="G25" s="170">
        <v>0</v>
      </c>
      <c r="H25" s="165" t="s">
        <v>526</v>
      </c>
      <c r="I25" s="170">
        <v>0</v>
      </c>
      <c r="J25" s="170">
        <v>0</v>
      </c>
      <c r="K25" s="170">
        <v>0</v>
      </c>
      <c r="L25" s="165" t="s">
        <v>526</v>
      </c>
      <c r="M25" s="170">
        <v>0</v>
      </c>
      <c r="N25" s="170">
        <v>0</v>
      </c>
      <c r="O25" s="170">
        <v>0</v>
      </c>
      <c r="P25" s="170">
        <v>0</v>
      </c>
      <c r="Q25" s="170">
        <v>0</v>
      </c>
      <c r="R25" s="165">
        <v>0</v>
      </c>
      <c r="S25" s="170">
        <v>0</v>
      </c>
      <c r="T25" s="170">
        <v>0</v>
      </c>
      <c r="U25" s="170">
        <v>0</v>
      </c>
      <c r="V25" s="170">
        <v>0</v>
      </c>
      <c r="W25" s="170">
        <v>0</v>
      </c>
      <c r="X25" s="165">
        <v>0</v>
      </c>
      <c r="Y25" s="170">
        <v>0</v>
      </c>
      <c r="Z25" s="170">
        <v>0</v>
      </c>
      <c r="AA25" s="170">
        <v>0</v>
      </c>
      <c r="AB25" s="165">
        <v>0</v>
      </c>
      <c r="AC25" s="166">
        <f t="shared" ref="AC25:AC64" si="3">Z25+V25+R25+N25+J25</f>
        <v>0</v>
      </c>
    </row>
    <row r="26" spans="1:32" x14ac:dyDescent="0.25">
      <c r="A26" s="167" t="s">
        <v>173</v>
      </c>
      <c r="B26" s="168" t="s">
        <v>172</v>
      </c>
      <c r="C26" s="165">
        <v>0</v>
      </c>
      <c r="D26" s="165">
        <v>0</v>
      </c>
      <c r="E26" s="170">
        <f t="shared" ref="E26:E64" si="4">C26</f>
        <v>0</v>
      </c>
      <c r="F26" s="165">
        <f t="shared" si="2"/>
        <v>0</v>
      </c>
      <c r="G26" s="170">
        <v>0</v>
      </c>
      <c r="H26" s="165" t="s">
        <v>526</v>
      </c>
      <c r="I26" s="170">
        <v>0</v>
      </c>
      <c r="J26" s="170">
        <v>0</v>
      </c>
      <c r="K26" s="170">
        <v>0</v>
      </c>
      <c r="L26" s="165" t="s">
        <v>526</v>
      </c>
      <c r="M26" s="170">
        <v>0</v>
      </c>
      <c r="N26" s="170">
        <v>0</v>
      </c>
      <c r="O26" s="170">
        <v>0</v>
      </c>
      <c r="P26" s="170">
        <v>0</v>
      </c>
      <c r="Q26" s="170">
        <v>0</v>
      </c>
      <c r="R26" s="165">
        <v>0</v>
      </c>
      <c r="S26" s="170">
        <v>0</v>
      </c>
      <c r="T26" s="170">
        <v>0</v>
      </c>
      <c r="U26" s="170">
        <v>0</v>
      </c>
      <c r="V26" s="170">
        <v>0</v>
      </c>
      <c r="W26" s="170">
        <v>0</v>
      </c>
      <c r="X26" s="165">
        <v>0</v>
      </c>
      <c r="Y26" s="170">
        <v>0</v>
      </c>
      <c r="Z26" s="170">
        <v>0</v>
      </c>
      <c r="AA26" s="170">
        <v>0</v>
      </c>
      <c r="AB26" s="165">
        <v>0</v>
      </c>
      <c r="AC26" s="166">
        <f t="shared" si="3"/>
        <v>0</v>
      </c>
    </row>
    <row r="27" spans="1:32" ht="31.5" x14ac:dyDescent="0.25">
      <c r="A27" s="167" t="s">
        <v>171</v>
      </c>
      <c r="B27" s="168" t="s">
        <v>416</v>
      </c>
      <c r="C27" s="165">
        <v>2.4140000000000001</v>
      </c>
      <c r="D27" s="165">
        <v>2.4140000000000001</v>
      </c>
      <c r="E27" s="170">
        <f t="shared" si="4"/>
        <v>2.4140000000000001</v>
      </c>
      <c r="F27" s="165">
        <f t="shared" si="2"/>
        <v>2.4140000000000001</v>
      </c>
      <c r="G27" s="170">
        <v>0</v>
      </c>
      <c r="H27" s="165" t="s">
        <v>526</v>
      </c>
      <c r="I27" s="170">
        <v>0</v>
      </c>
      <c r="J27" s="170">
        <v>0</v>
      </c>
      <c r="K27" s="170">
        <v>0</v>
      </c>
      <c r="L27" s="165" t="s">
        <v>526</v>
      </c>
      <c r="M27" s="170">
        <v>0</v>
      </c>
      <c r="N27" s="170">
        <v>0</v>
      </c>
      <c r="O27" s="170">
        <v>0</v>
      </c>
      <c r="P27" s="170">
        <v>0</v>
      </c>
      <c r="Q27" s="170">
        <v>0</v>
      </c>
      <c r="R27" s="165">
        <v>0</v>
      </c>
      <c r="S27" s="170">
        <v>0</v>
      </c>
      <c r="T27" s="170">
        <v>0</v>
      </c>
      <c r="U27" s="170">
        <v>0</v>
      </c>
      <c r="V27" s="170">
        <v>0</v>
      </c>
      <c r="W27" s="170">
        <v>0</v>
      </c>
      <c r="X27" s="165">
        <v>2.4140000000000001</v>
      </c>
      <c r="Y27" s="170">
        <v>0</v>
      </c>
      <c r="Z27" s="170">
        <v>2.4140000000000001</v>
      </c>
      <c r="AA27" s="170">
        <v>0</v>
      </c>
      <c r="AB27" s="165">
        <v>2.4140000000000001</v>
      </c>
      <c r="AC27" s="166">
        <f t="shared" si="3"/>
        <v>2.4140000000000001</v>
      </c>
    </row>
    <row r="28" spans="1:32" x14ac:dyDescent="0.25">
      <c r="A28" s="167" t="s">
        <v>170</v>
      </c>
      <c r="B28" s="168" t="s">
        <v>169</v>
      </c>
      <c r="C28" s="165">
        <v>0</v>
      </c>
      <c r="D28" s="165">
        <v>0</v>
      </c>
      <c r="E28" s="170">
        <f t="shared" si="4"/>
        <v>0</v>
      </c>
      <c r="F28" s="165">
        <f t="shared" si="2"/>
        <v>0</v>
      </c>
      <c r="G28" s="170">
        <v>0</v>
      </c>
      <c r="H28" s="165" t="s">
        <v>526</v>
      </c>
      <c r="I28" s="170">
        <v>0</v>
      </c>
      <c r="J28" s="170">
        <v>0</v>
      </c>
      <c r="K28" s="170">
        <v>0</v>
      </c>
      <c r="L28" s="165" t="s">
        <v>526</v>
      </c>
      <c r="M28" s="170">
        <v>0</v>
      </c>
      <c r="N28" s="170">
        <v>0</v>
      </c>
      <c r="O28" s="170">
        <v>0</v>
      </c>
      <c r="P28" s="170">
        <v>0</v>
      </c>
      <c r="Q28" s="170">
        <v>0</v>
      </c>
      <c r="R28" s="165">
        <v>0</v>
      </c>
      <c r="S28" s="170">
        <v>0</v>
      </c>
      <c r="T28" s="170">
        <v>0</v>
      </c>
      <c r="U28" s="170">
        <v>0</v>
      </c>
      <c r="V28" s="170">
        <v>0</v>
      </c>
      <c r="W28" s="170">
        <v>0</v>
      </c>
      <c r="X28" s="165">
        <v>0</v>
      </c>
      <c r="Y28" s="170">
        <v>0</v>
      </c>
      <c r="Z28" s="170">
        <v>0</v>
      </c>
      <c r="AA28" s="170">
        <v>0</v>
      </c>
      <c r="AB28" s="165">
        <v>0</v>
      </c>
      <c r="AC28" s="166">
        <f t="shared" si="3"/>
        <v>0</v>
      </c>
    </row>
    <row r="29" spans="1:32" x14ac:dyDescent="0.25">
      <c r="A29" s="167" t="s">
        <v>168</v>
      </c>
      <c r="B29" s="52" t="s">
        <v>167</v>
      </c>
      <c r="C29" s="165">
        <v>0</v>
      </c>
      <c r="D29" s="165">
        <v>0</v>
      </c>
      <c r="E29" s="170">
        <f t="shared" si="4"/>
        <v>0</v>
      </c>
      <c r="F29" s="165">
        <f t="shared" si="2"/>
        <v>0</v>
      </c>
      <c r="G29" s="170">
        <v>0</v>
      </c>
      <c r="H29" s="165" t="s">
        <v>526</v>
      </c>
      <c r="I29" s="170">
        <v>0</v>
      </c>
      <c r="J29" s="170">
        <v>0</v>
      </c>
      <c r="K29" s="170">
        <v>0</v>
      </c>
      <c r="L29" s="165" t="s">
        <v>526</v>
      </c>
      <c r="M29" s="170">
        <v>0</v>
      </c>
      <c r="N29" s="170">
        <v>0</v>
      </c>
      <c r="O29" s="170">
        <v>0</v>
      </c>
      <c r="P29" s="170">
        <v>0</v>
      </c>
      <c r="Q29" s="170">
        <v>0</v>
      </c>
      <c r="R29" s="165">
        <v>0</v>
      </c>
      <c r="S29" s="170">
        <v>0</v>
      </c>
      <c r="T29" s="170">
        <v>0</v>
      </c>
      <c r="U29" s="170">
        <v>0</v>
      </c>
      <c r="V29" s="170">
        <v>0</v>
      </c>
      <c r="W29" s="170">
        <v>0</v>
      </c>
      <c r="X29" s="165">
        <v>0</v>
      </c>
      <c r="Y29" s="170">
        <v>0</v>
      </c>
      <c r="Z29" s="170">
        <v>0</v>
      </c>
      <c r="AA29" s="170">
        <v>0</v>
      </c>
      <c r="AB29" s="165">
        <v>0</v>
      </c>
      <c r="AC29" s="166">
        <f t="shared" si="3"/>
        <v>0</v>
      </c>
    </row>
    <row r="30" spans="1:32" ht="47.25" x14ac:dyDescent="0.25">
      <c r="A30" s="163" t="s">
        <v>61</v>
      </c>
      <c r="B30" s="164" t="s">
        <v>166</v>
      </c>
      <c r="C30" s="165">
        <v>2.0116666666666667</v>
      </c>
      <c r="D30" s="165">
        <f>D27/1.2</f>
        <v>2.0116666666666667</v>
      </c>
      <c r="E30" s="165">
        <f t="shared" si="4"/>
        <v>2.0116666666666667</v>
      </c>
      <c r="F30" s="165">
        <f t="shared" si="2"/>
        <v>2.0116666666666667</v>
      </c>
      <c r="G30" s="165">
        <f>SUM(G31:G34)</f>
        <v>0</v>
      </c>
      <c r="H30" s="165" t="s">
        <v>526</v>
      </c>
      <c r="I30" s="165">
        <v>0</v>
      </c>
      <c r="J30" s="165">
        <v>0</v>
      </c>
      <c r="K30" s="165">
        <v>0</v>
      </c>
      <c r="L30" s="165" t="s">
        <v>526</v>
      </c>
      <c r="M30" s="165">
        <f t="shared" ref="M30:W30" si="5">SUM(M31:M34)</f>
        <v>0</v>
      </c>
      <c r="N30" s="165">
        <f t="shared" si="5"/>
        <v>0</v>
      </c>
      <c r="O30" s="165">
        <f t="shared" si="5"/>
        <v>0</v>
      </c>
      <c r="P30" s="170">
        <v>0</v>
      </c>
      <c r="Q30" s="165">
        <f t="shared" si="5"/>
        <v>0</v>
      </c>
      <c r="R30" s="165">
        <v>0</v>
      </c>
      <c r="S30" s="165">
        <f t="shared" si="5"/>
        <v>0</v>
      </c>
      <c r="T30" s="170">
        <v>0</v>
      </c>
      <c r="U30" s="165">
        <f t="shared" si="5"/>
        <v>0</v>
      </c>
      <c r="V30" s="165">
        <f t="shared" si="5"/>
        <v>0</v>
      </c>
      <c r="W30" s="165">
        <f t="shared" si="5"/>
        <v>0</v>
      </c>
      <c r="X30" s="165">
        <v>2.0116666666666667</v>
      </c>
      <c r="Y30" s="165">
        <v>0</v>
      </c>
      <c r="Z30" s="165">
        <v>2.0116666666666667</v>
      </c>
      <c r="AA30" s="165">
        <v>0</v>
      </c>
      <c r="AB30" s="165">
        <v>2.0116666666666667</v>
      </c>
      <c r="AC30" s="166">
        <f t="shared" si="3"/>
        <v>2.0116666666666667</v>
      </c>
    </row>
    <row r="31" spans="1:32" x14ac:dyDescent="0.25">
      <c r="A31" s="163" t="s">
        <v>165</v>
      </c>
      <c r="B31" s="168" t="s">
        <v>164</v>
      </c>
      <c r="C31" s="165">
        <v>0</v>
      </c>
      <c r="D31" s="165">
        <v>0</v>
      </c>
      <c r="E31" s="170">
        <f t="shared" si="4"/>
        <v>0</v>
      </c>
      <c r="F31" s="165">
        <f t="shared" si="2"/>
        <v>0</v>
      </c>
      <c r="G31" s="170">
        <v>0</v>
      </c>
      <c r="H31" s="165" t="s">
        <v>526</v>
      </c>
      <c r="I31" s="170">
        <v>0</v>
      </c>
      <c r="J31" s="170">
        <v>0</v>
      </c>
      <c r="K31" s="170">
        <v>0</v>
      </c>
      <c r="L31" s="165" t="s">
        <v>526</v>
      </c>
      <c r="M31" s="170">
        <v>0</v>
      </c>
      <c r="N31" s="170">
        <v>0</v>
      </c>
      <c r="O31" s="170">
        <v>0</v>
      </c>
      <c r="P31" s="170">
        <v>0</v>
      </c>
      <c r="Q31" s="170">
        <v>0</v>
      </c>
      <c r="R31" s="165">
        <v>0</v>
      </c>
      <c r="S31" s="170">
        <v>0</v>
      </c>
      <c r="T31" s="170">
        <v>0</v>
      </c>
      <c r="U31" s="170">
        <v>0</v>
      </c>
      <c r="V31" s="170">
        <v>0</v>
      </c>
      <c r="W31" s="170">
        <v>0</v>
      </c>
      <c r="X31" s="165">
        <v>0</v>
      </c>
      <c r="Y31" s="170">
        <v>0</v>
      </c>
      <c r="Z31" s="170">
        <v>0</v>
      </c>
      <c r="AA31" s="170">
        <v>0</v>
      </c>
      <c r="AB31" s="165">
        <v>0</v>
      </c>
      <c r="AC31" s="166">
        <f t="shared" si="3"/>
        <v>0</v>
      </c>
    </row>
    <row r="32" spans="1:32" ht="31.5" x14ac:dyDescent="0.25">
      <c r="A32" s="163" t="s">
        <v>163</v>
      </c>
      <c r="B32" s="168" t="s">
        <v>162</v>
      </c>
      <c r="C32" s="165">
        <v>0</v>
      </c>
      <c r="D32" s="165">
        <v>0</v>
      </c>
      <c r="E32" s="170">
        <f t="shared" si="4"/>
        <v>0</v>
      </c>
      <c r="F32" s="165">
        <f t="shared" si="2"/>
        <v>0</v>
      </c>
      <c r="G32" s="170">
        <v>0</v>
      </c>
      <c r="H32" s="165" t="s">
        <v>526</v>
      </c>
      <c r="I32" s="170">
        <v>0</v>
      </c>
      <c r="J32" s="170">
        <v>0</v>
      </c>
      <c r="K32" s="170">
        <v>0</v>
      </c>
      <c r="L32" s="165" t="s">
        <v>526</v>
      </c>
      <c r="M32" s="170">
        <v>0</v>
      </c>
      <c r="N32" s="170">
        <v>0</v>
      </c>
      <c r="O32" s="170">
        <v>0</v>
      </c>
      <c r="P32" s="170">
        <v>0</v>
      </c>
      <c r="Q32" s="170">
        <v>0</v>
      </c>
      <c r="R32" s="165">
        <v>0</v>
      </c>
      <c r="S32" s="170">
        <v>0</v>
      </c>
      <c r="T32" s="170">
        <v>0</v>
      </c>
      <c r="U32" s="170">
        <v>0</v>
      </c>
      <c r="V32" s="170">
        <v>0</v>
      </c>
      <c r="W32" s="170">
        <v>0</v>
      </c>
      <c r="X32" s="165">
        <v>0</v>
      </c>
      <c r="Y32" s="170">
        <v>0</v>
      </c>
      <c r="Z32" s="170">
        <v>0</v>
      </c>
      <c r="AA32" s="170">
        <v>0</v>
      </c>
      <c r="AB32" s="165">
        <v>0</v>
      </c>
      <c r="AC32" s="166">
        <f t="shared" si="3"/>
        <v>0</v>
      </c>
    </row>
    <row r="33" spans="1:29" x14ac:dyDescent="0.25">
      <c r="A33" s="163" t="s">
        <v>161</v>
      </c>
      <c r="B33" s="168" t="s">
        <v>160</v>
      </c>
      <c r="C33" s="165">
        <v>2.0116666666666667</v>
      </c>
      <c r="D33" s="165">
        <f>D30</f>
        <v>2.0116666666666667</v>
      </c>
      <c r="E33" s="170">
        <f t="shared" si="4"/>
        <v>2.0116666666666667</v>
      </c>
      <c r="F33" s="165">
        <f t="shared" si="2"/>
        <v>2.0116666666666667</v>
      </c>
      <c r="G33" s="170">
        <v>0</v>
      </c>
      <c r="H33" s="165" t="s">
        <v>526</v>
      </c>
      <c r="I33" s="170">
        <v>0</v>
      </c>
      <c r="J33" s="170">
        <v>0</v>
      </c>
      <c r="K33" s="170">
        <v>0</v>
      </c>
      <c r="L33" s="165" t="s">
        <v>526</v>
      </c>
      <c r="M33" s="170">
        <v>0</v>
      </c>
      <c r="N33" s="170">
        <v>0</v>
      </c>
      <c r="O33" s="170">
        <v>0</v>
      </c>
      <c r="P33" s="170">
        <v>0</v>
      </c>
      <c r="Q33" s="170">
        <v>0</v>
      </c>
      <c r="R33" s="165">
        <v>0</v>
      </c>
      <c r="S33" s="170">
        <v>0</v>
      </c>
      <c r="T33" s="170">
        <v>0</v>
      </c>
      <c r="U33" s="170">
        <v>0</v>
      </c>
      <c r="V33" s="170">
        <v>0</v>
      </c>
      <c r="W33" s="170">
        <v>0</v>
      </c>
      <c r="X33" s="165">
        <v>2.0116666666666667</v>
      </c>
      <c r="Y33" s="170">
        <v>0</v>
      </c>
      <c r="Z33" s="170">
        <v>2.0116666666666667</v>
      </c>
      <c r="AA33" s="170">
        <v>0</v>
      </c>
      <c r="AB33" s="165">
        <v>2.0116666666666667</v>
      </c>
      <c r="AC33" s="166">
        <f t="shared" si="3"/>
        <v>2.0116666666666667</v>
      </c>
    </row>
    <row r="34" spans="1:29" x14ac:dyDescent="0.25">
      <c r="A34" s="163" t="s">
        <v>159</v>
      </c>
      <c r="B34" s="168" t="s">
        <v>158</v>
      </c>
      <c r="C34" s="165">
        <v>0</v>
      </c>
      <c r="D34" s="165">
        <v>0</v>
      </c>
      <c r="E34" s="170">
        <f t="shared" si="4"/>
        <v>0</v>
      </c>
      <c r="F34" s="165">
        <f t="shared" si="2"/>
        <v>0</v>
      </c>
      <c r="G34" s="170">
        <v>0</v>
      </c>
      <c r="H34" s="165" t="s">
        <v>526</v>
      </c>
      <c r="I34" s="170">
        <v>0</v>
      </c>
      <c r="J34" s="170">
        <v>0</v>
      </c>
      <c r="K34" s="170">
        <v>0</v>
      </c>
      <c r="L34" s="165" t="s">
        <v>526</v>
      </c>
      <c r="M34" s="170">
        <v>0</v>
      </c>
      <c r="N34" s="170">
        <v>0</v>
      </c>
      <c r="O34" s="170">
        <v>0</v>
      </c>
      <c r="P34" s="170">
        <v>0</v>
      </c>
      <c r="Q34" s="170">
        <v>0</v>
      </c>
      <c r="R34" s="165">
        <v>0</v>
      </c>
      <c r="S34" s="170">
        <v>0</v>
      </c>
      <c r="T34" s="170">
        <v>0</v>
      </c>
      <c r="U34" s="170">
        <v>0</v>
      </c>
      <c r="V34" s="170">
        <v>0</v>
      </c>
      <c r="W34" s="170">
        <v>0</v>
      </c>
      <c r="X34" s="165">
        <v>0</v>
      </c>
      <c r="Y34" s="170">
        <v>0</v>
      </c>
      <c r="Z34" s="170">
        <v>0</v>
      </c>
      <c r="AA34" s="170">
        <v>0</v>
      </c>
      <c r="AB34" s="165">
        <v>0</v>
      </c>
      <c r="AC34" s="166">
        <f t="shared" si="3"/>
        <v>0</v>
      </c>
    </row>
    <row r="35" spans="1:29" ht="31.5" x14ac:dyDescent="0.25">
      <c r="A35" s="163" t="s">
        <v>60</v>
      </c>
      <c r="B35" s="164" t="s">
        <v>157</v>
      </c>
      <c r="C35" s="165">
        <v>0</v>
      </c>
      <c r="D35" s="165">
        <v>0</v>
      </c>
      <c r="E35" s="171">
        <f t="shared" si="4"/>
        <v>0</v>
      </c>
      <c r="F35" s="165">
        <f t="shared" si="2"/>
        <v>0</v>
      </c>
      <c r="G35" s="165">
        <v>0</v>
      </c>
      <c r="H35" s="165" t="s">
        <v>526</v>
      </c>
      <c r="I35" s="165">
        <v>0</v>
      </c>
      <c r="J35" s="165">
        <v>0</v>
      </c>
      <c r="K35" s="165">
        <v>0</v>
      </c>
      <c r="L35" s="165" t="s">
        <v>526</v>
      </c>
      <c r="M35" s="165">
        <v>0</v>
      </c>
      <c r="N35" s="165">
        <v>0</v>
      </c>
      <c r="O35" s="165">
        <v>0</v>
      </c>
      <c r="P35" s="170">
        <v>0</v>
      </c>
      <c r="Q35" s="165">
        <v>0</v>
      </c>
      <c r="R35" s="165">
        <v>0</v>
      </c>
      <c r="S35" s="165">
        <v>0</v>
      </c>
      <c r="T35" s="170">
        <v>0</v>
      </c>
      <c r="U35" s="165">
        <v>0</v>
      </c>
      <c r="V35" s="165">
        <v>0</v>
      </c>
      <c r="W35" s="165">
        <v>0</v>
      </c>
      <c r="X35" s="165">
        <v>0</v>
      </c>
      <c r="Y35" s="165">
        <v>0</v>
      </c>
      <c r="Z35" s="165">
        <v>0</v>
      </c>
      <c r="AA35" s="165">
        <v>0</v>
      </c>
      <c r="AB35" s="165">
        <v>0</v>
      </c>
      <c r="AC35" s="166">
        <f t="shared" si="3"/>
        <v>0</v>
      </c>
    </row>
    <row r="36" spans="1:29" ht="31.5" x14ac:dyDescent="0.25">
      <c r="A36" s="167" t="s">
        <v>156</v>
      </c>
      <c r="B36" s="172" t="s">
        <v>155</v>
      </c>
      <c r="C36" s="165">
        <v>0</v>
      </c>
      <c r="D36" s="165">
        <v>0</v>
      </c>
      <c r="E36" s="170">
        <f t="shared" si="4"/>
        <v>0</v>
      </c>
      <c r="F36" s="165">
        <f t="shared" si="2"/>
        <v>0</v>
      </c>
      <c r="G36" s="170">
        <v>0</v>
      </c>
      <c r="H36" s="165" t="s">
        <v>526</v>
      </c>
      <c r="I36" s="170">
        <v>0</v>
      </c>
      <c r="J36" s="170">
        <v>0</v>
      </c>
      <c r="K36" s="170">
        <v>0</v>
      </c>
      <c r="L36" s="165" t="s">
        <v>526</v>
      </c>
      <c r="M36" s="170">
        <v>0</v>
      </c>
      <c r="N36" s="170">
        <v>0</v>
      </c>
      <c r="O36" s="170">
        <v>0</v>
      </c>
      <c r="P36" s="170">
        <v>0</v>
      </c>
      <c r="Q36" s="170">
        <v>0</v>
      </c>
      <c r="R36" s="165">
        <v>0</v>
      </c>
      <c r="S36" s="170">
        <v>0</v>
      </c>
      <c r="T36" s="170">
        <v>0</v>
      </c>
      <c r="U36" s="170">
        <v>0</v>
      </c>
      <c r="V36" s="170">
        <v>0</v>
      </c>
      <c r="W36" s="170">
        <v>0</v>
      </c>
      <c r="X36" s="165">
        <v>0</v>
      </c>
      <c r="Y36" s="170">
        <v>0</v>
      </c>
      <c r="Z36" s="170">
        <v>0</v>
      </c>
      <c r="AA36" s="170">
        <v>0</v>
      </c>
      <c r="AB36" s="165">
        <v>0</v>
      </c>
      <c r="AC36" s="166">
        <f t="shared" si="3"/>
        <v>0</v>
      </c>
    </row>
    <row r="37" spans="1:29" x14ac:dyDescent="0.25">
      <c r="A37" s="167" t="s">
        <v>154</v>
      </c>
      <c r="B37" s="172" t="s">
        <v>144</v>
      </c>
      <c r="C37" s="165">
        <v>0</v>
      </c>
      <c r="D37" s="165">
        <v>0</v>
      </c>
      <c r="E37" s="170">
        <f t="shared" si="4"/>
        <v>0</v>
      </c>
      <c r="F37" s="165">
        <f t="shared" si="2"/>
        <v>0</v>
      </c>
      <c r="G37" s="170">
        <v>0</v>
      </c>
      <c r="H37" s="165" t="s">
        <v>526</v>
      </c>
      <c r="I37" s="170">
        <v>0</v>
      </c>
      <c r="J37" s="170">
        <v>0</v>
      </c>
      <c r="K37" s="170">
        <v>0</v>
      </c>
      <c r="L37" s="165" t="s">
        <v>526</v>
      </c>
      <c r="M37" s="170">
        <v>0</v>
      </c>
      <c r="N37" s="170">
        <v>0</v>
      </c>
      <c r="O37" s="170">
        <v>0</v>
      </c>
      <c r="P37" s="170">
        <v>0</v>
      </c>
      <c r="Q37" s="170">
        <v>0</v>
      </c>
      <c r="R37" s="165">
        <v>0</v>
      </c>
      <c r="S37" s="170">
        <v>0</v>
      </c>
      <c r="T37" s="170">
        <v>0</v>
      </c>
      <c r="U37" s="170">
        <v>0</v>
      </c>
      <c r="V37" s="170">
        <v>0</v>
      </c>
      <c r="W37" s="170">
        <v>0</v>
      </c>
      <c r="X37" s="165">
        <v>0</v>
      </c>
      <c r="Y37" s="170">
        <v>0</v>
      </c>
      <c r="Z37" s="170">
        <v>0</v>
      </c>
      <c r="AA37" s="170">
        <v>0</v>
      </c>
      <c r="AB37" s="165">
        <v>0</v>
      </c>
      <c r="AC37" s="166">
        <f t="shared" si="3"/>
        <v>0</v>
      </c>
    </row>
    <row r="38" spans="1:29" x14ac:dyDescent="0.25">
      <c r="A38" s="167" t="s">
        <v>153</v>
      </c>
      <c r="B38" s="172" t="s">
        <v>142</v>
      </c>
      <c r="C38" s="165">
        <v>0</v>
      </c>
      <c r="D38" s="165">
        <v>0</v>
      </c>
      <c r="E38" s="170">
        <f t="shared" si="4"/>
        <v>0</v>
      </c>
      <c r="F38" s="165">
        <f t="shared" si="2"/>
        <v>0</v>
      </c>
      <c r="G38" s="170">
        <v>0</v>
      </c>
      <c r="H38" s="165" t="s">
        <v>526</v>
      </c>
      <c r="I38" s="170">
        <v>0</v>
      </c>
      <c r="J38" s="170">
        <v>0</v>
      </c>
      <c r="K38" s="170">
        <v>0</v>
      </c>
      <c r="L38" s="165" t="s">
        <v>526</v>
      </c>
      <c r="M38" s="170">
        <v>0</v>
      </c>
      <c r="N38" s="170">
        <v>0</v>
      </c>
      <c r="O38" s="170">
        <v>0</v>
      </c>
      <c r="P38" s="170">
        <v>0</v>
      </c>
      <c r="Q38" s="170">
        <v>0</v>
      </c>
      <c r="R38" s="165">
        <v>0</v>
      </c>
      <c r="S38" s="170">
        <v>0</v>
      </c>
      <c r="T38" s="170">
        <v>0</v>
      </c>
      <c r="U38" s="170">
        <v>0</v>
      </c>
      <c r="V38" s="170">
        <v>0</v>
      </c>
      <c r="W38" s="170">
        <v>0</v>
      </c>
      <c r="X38" s="165">
        <v>0</v>
      </c>
      <c r="Y38" s="170">
        <v>0</v>
      </c>
      <c r="Z38" s="170">
        <v>0</v>
      </c>
      <c r="AA38" s="170">
        <v>0</v>
      </c>
      <c r="AB38" s="165">
        <v>0</v>
      </c>
      <c r="AC38" s="166">
        <f t="shared" si="3"/>
        <v>0</v>
      </c>
    </row>
    <row r="39" spans="1:29" ht="31.5" x14ac:dyDescent="0.25">
      <c r="A39" s="167" t="s">
        <v>152</v>
      </c>
      <c r="B39" s="168" t="s">
        <v>140</v>
      </c>
      <c r="C39" s="165">
        <v>0</v>
      </c>
      <c r="D39" s="165">
        <v>0</v>
      </c>
      <c r="E39" s="170">
        <f t="shared" si="4"/>
        <v>0</v>
      </c>
      <c r="F39" s="165">
        <f t="shared" si="2"/>
        <v>0</v>
      </c>
      <c r="G39" s="170">
        <v>0</v>
      </c>
      <c r="H39" s="165" t="s">
        <v>526</v>
      </c>
      <c r="I39" s="170">
        <v>0</v>
      </c>
      <c r="J39" s="170">
        <v>0</v>
      </c>
      <c r="K39" s="170">
        <v>0</v>
      </c>
      <c r="L39" s="165" t="s">
        <v>526</v>
      </c>
      <c r="M39" s="170">
        <v>0</v>
      </c>
      <c r="N39" s="170">
        <v>0</v>
      </c>
      <c r="O39" s="170">
        <v>0</v>
      </c>
      <c r="P39" s="170">
        <v>0</v>
      </c>
      <c r="Q39" s="170">
        <v>0</v>
      </c>
      <c r="R39" s="165">
        <v>0</v>
      </c>
      <c r="S39" s="170">
        <v>0</v>
      </c>
      <c r="T39" s="170">
        <v>0</v>
      </c>
      <c r="U39" s="170">
        <v>0</v>
      </c>
      <c r="V39" s="170">
        <v>0</v>
      </c>
      <c r="W39" s="170">
        <v>0</v>
      </c>
      <c r="X39" s="165">
        <v>0</v>
      </c>
      <c r="Y39" s="170">
        <v>0</v>
      </c>
      <c r="Z39" s="170">
        <v>0</v>
      </c>
      <c r="AA39" s="170">
        <v>0</v>
      </c>
      <c r="AB39" s="165">
        <v>0</v>
      </c>
      <c r="AC39" s="166">
        <f t="shared" si="3"/>
        <v>0</v>
      </c>
    </row>
    <row r="40" spans="1:29" ht="31.5" x14ac:dyDescent="0.25">
      <c r="A40" s="167" t="s">
        <v>151</v>
      </c>
      <c r="B40" s="168" t="s">
        <v>138</v>
      </c>
      <c r="C40" s="165">
        <v>0</v>
      </c>
      <c r="D40" s="165">
        <v>0</v>
      </c>
      <c r="E40" s="170">
        <f t="shared" si="4"/>
        <v>0</v>
      </c>
      <c r="F40" s="165">
        <f t="shared" si="2"/>
        <v>0</v>
      </c>
      <c r="G40" s="170">
        <v>0</v>
      </c>
      <c r="H40" s="165" t="s">
        <v>526</v>
      </c>
      <c r="I40" s="170">
        <v>0</v>
      </c>
      <c r="J40" s="170">
        <v>0</v>
      </c>
      <c r="K40" s="170">
        <v>0</v>
      </c>
      <c r="L40" s="165" t="s">
        <v>526</v>
      </c>
      <c r="M40" s="170">
        <v>0</v>
      </c>
      <c r="N40" s="170">
        <v>0</v>
      </c>
      <c r="O40" s="170">
        <v>0</v>
      </c>
      <c r="P40" s="170">
        <v>0</v>
      </c>
      <c r="Q40" s="170">
        <v>0</v>
      </c>
      <c r="R40" s="165">
        <v>0</v>
      </c>
      <c r="S40" s="170">
        <v>0</v>
      </c>
      <c r="T40" s="170">
        <v>0</v>
      </c>
      <c r="U40" s="170">
        <v>0</v>
      </c>
      <c r="V40" s="170">
        <v>0</v>
      </c>
      <c r="W40" s="170">
        <v>0</v>
      </c>
      <c r="X40" s="165">
        <v>0</v>
      </c>
      <c r="Y40" s="170">
        <v>0</v>
      </c>
      <c r="Z40" s="170">
        <v>0</v>
      </c>
      <c r="AA40" s="170">
        <v>0</v>
      </c>
      <c r="AB40" s="165">
        <v>0</v>
      </c>
      <c r="AC40" s="166">
        <f t="shared" si="3"/>
        <v>0</v>
      </c>
    </row>
    <row r="41" spans="1:29" x14ac:dyDescent="0.25">
      <c r="A41" s="167" t="s">
        <v>150</v>
      </c>
      <c r="B41" s="168" t="s">
        <v>136</v>
      </c>
      <c r="C41" s="165">
        <v>0</v>
      </c>
      <c r="D41" s="165">
        <v>0</v>
      </c>
      <c r="E41" s="170">
        <f t="shared" si="4"/>
        <v>0</v>
      </c>
      <c r="F41" s="165">
        <f t="shared" si="2"/>
        <v>0</v>
      </c>
      <c r="G41" s="170">
        <v>0</v>
      </c>
      <c r="H41" s="165" t="s">
        <v>526</v>
      </c>
      <c r="I41" s="170">
        <v>0</v>
      </c>
      <c r="J41" s="170">
        <v>0</v>
      </c>
      <c r="K41" s="170">
        <v>0</v>
      </c>
      <c r="L41" s="165" t="s">
        <v>526</v>
      </c>
      <c r="M41" s="170">
        <v>0</v>
      </c>
      <c r="N41" s="170">
        <v>0</v>
      </c>
      <c r="O41" s="170">
        <v>0</v>
      </c>
      <c r="P41" s="170">
        <v>0</v>
      </c>
      <c r="Q41" s="170">
        <v>0</v>
      </c>
      <c r="R41" s="165">
        <v>0</v>
      </c>
      <c r="S41" s="170">
        <v>0</v>
      </c>
      <c r="T41" s="170">
        <v>0</v>
      </c>
      <c r="U41" s="170">
        <v>0</v>
      </c>
      <c r="V41" s="170">
        <v>0</v>
      </c>
      <c r="W41" s="170">
        <v>0</v>
      </c>
      <c r="X41" s="165">
        <v>0</v>
      </c>
      <c r="Y41" s="170">
        <v>0</v>
      </c>
      <c r="Z41" s="170">
        <v>0</v>
      </c>
      <c r="AA41" s="170">
        <v>0</v>
      </c>
      <c r="AB41" s="165">
        <v>0</v>
      </c>
      <c r="AC41" s="166">
        <f t="shared" si="3"/>
        <v>0</v>
      </c>
    </row>
    <row r="42" spans="1:29" ht="18.75" x14ac:dyDescent="0.25">
      <c r="A42" s="167" t="s">
        <v>149</v>
      </c>
      <c r="B42" s="172" t="s">
        <v>544</v>
      </c>
      <c r="C42" s="165">
        <v>0</v>
      </c>
      <c r="D42" s="165">
        <v>0</v>
      </c>
      <c r="E42" s="170">
        <f t="shared" si="4"/>
        <v>0</v>
      </c>
      <c r="F42" s="165">
        <f t="shared" si="2"/>
        <v>0</v>
      </c>
      <c r="G42" s="170">
        <v>0</v>
      </c>
      <c r="H42" s="165" t="s">
        <v>526</v>
      </c>
      <c r="I42" s="170">
        <v>0</v>
      </c>
      <c r="J42" s="170">
        <v>0</v>
      </c>
      <c r="K42" s="170">
        <v>0</v>
      </c>
      <c r="L42" s="165" t="s">
        <v>526</v>
      </c>
      <c r="M42" s="170">
        <v>0</v>
      </c>
      <c r="N42" s="170">
        <v>0</v>
      </c>
      <c r="O42" s="170">
        <v>0</v>
      </c>
      <c r="P42" s="170">
        <v>0</v>
      </c>
      <c r="Q42" s="170">
        <v>0</v>
      </c>
      <c r="R42" s="165">
        <v>0</v>
      </c>
      <c r="S42" s="170">
        <v>0</v>
      </c>
      <c r="T42" s="170">
        <v>0</v>
      </c>
      <c r="U42" s="170">
        <v>0</v>
      </c>
      <c r="V42" s="170">
        <v>0</v>
      </c>
      <c r="W42" s="170">
        <v>0</v>
      </c>
      <c r="X42" s="165">
        <v>0</v>
      </c>
      <c r="Y42" s="170">
        <v>0</v>
      </c>
      <c r="Z42" s="170">
        <v>0</v>
      </c>
      <c r="AA42" s="170">
        <v>0</v>
      </c>
      <c r="AB42" s="165">
        <v>0</v>
      </c>
      <c r="AC42" s="166">
        <f t="shared" si="3"/>
        <v>0</v>
      </c>
    </row>
    <row r="43" spans="1:29" x14ac:dyDescent="0.25">
      <c r="A43" s="163" t="s">
        <v>59</v>
      </c>
      <c r="B43" s="164" t="s">
        <v>148</v>
      </c>
      <c r="C43" s="165">
        <v>0</v>
      </c>
      <c r="D43" s="165">
        <v>0</v>
      </c>
      <c r="E43" s="171">
        <f t="shared" si="4"/>
        <v>0</v>
      </c>
      <c r="F43" s="165">
        <f t="shared" si="2"/>
        <v>0</v>
      </c>
      <c r="G43" s="165">
        <v>0</v>
      </c>
      <c r="H43" s="165" t="s">
        <v>526</v>
      </c>
      <c r="I43" s="165">
        <v>0</v>
      </c>
      <c r="J43" s="165">
        <v>0</v>
      </c>
      <c r="K43" s="165">
        <v>0</v>
      </c>
      <c r="L43" s="165" t="s">
        <v>526</v>
      </c>
      <c r="M43" s="165">
        <v>0</v>
      </c>
      <c r="N43" s="165">
        <v>0</v>
      </c>
      <c r="O43" s="165">
        <v>0</v>
      </c>
      <c r="P43" s="170">
        <v>0</v>
      </c>
      <c r="Q43" s="165">
        <v>0</v>
      </c>
      <c r="R43" s="165">
        <v>0</v>
      </c>
      <c r="S43" s="165">
        <v>0</v>
      </c>
      <c r="T43" s="170">
        <v>0</v>
      </c>
      <c r="U43" s="165">
        <v>0</v>
      </c>
      <c r="V43" s="165">
        <v>0</v>
      </c>
      <c r="W43" s="165">
        <v>0</v>
      </c>
      <c r="X43" s="165">
        <v>0</v>
      </c>
      <c r="Y43" s="165">
        <v>0</v>
      </c>
      <c r="Z43" s="165">
        <v>0</v>
      </c>
      <c r="AA43" s="165">
        <v>0</v>
      </c>
      <c r="AB43" s="165">
        <v>0</v>
      </c>
      <c r="AC43" s="166">
        <f t="shared" si="3"/>
        <v>0</v>
      </c>
    </row>
    <row r="44" spans="1:29" x14ac:dyDescent="0.25">
      <c r="A44" s="167" t="s">
        <v>147</v>
      </c>
      <c r="B44" s="168" t="s">
        <v>146</v>
      </c>
      <c r="C44" s="165">
        <v>0</v>
      </c>
      <c r="D44" s="165">
        <v>0</v>
      </c>
      <c r="E44" s="170">
        <f t="shared" si="4"/>
        <v>0</v>
      </c>
      <c r="F44" s="165">
        <f t="shared" si="2"/>
        <v>0</v>
      </c>
      <c r="G44" s="170">
        <v>0</v>
      </c>
      <c r="H44" s="165" t="s">
        <v>526</v>
      </c>
      <c r="I44" s="170">
        <v>0</v>
      </c>
      <c r="J44" s="170">
        <v>0</v>
      </c>
      <c r="K44" s="170">
        <v>0</v>
      </c>
      <c r="L44" s="165" t="s">
        <v>526</v>
      </c>
      <c r="M44" s="170">
        <v>0</v>
      </c>
      <c r="N44" s="170">
        <v>0</v>
      </c>
      <c r="O44" s="170">
        <v>0</v>
      </c>
      <c r="P44" s="170">
        <v>0</v>
      </c>
      <c r="Q44" s="170">
        <v>0</v>
      </c>
      <c r="R44" s="165">
        <v>0</v>
      </c>
      <c r="S44" s="170">
        <v>0</v>
      </c>
      <c r="T44" s="170">
        <v>0</v>
      </c>
      <c r="U44" s="170">
        <v>0</v>
      </c>
      <c r="V44" s="170">
        <v>0</v>
      </c>
      <c r="W44" s="170">
        <v>0</v>
      </c>
      <c r="X44" s="165">
        <v>0</v>
      </c>
      <c r="Y44" s="170">
        <v>0</v>
      </c>
      <c r="Z44" s="170">
        <v>0</v>
      </c>
      <c r="AA44" s="170">
        <v>0</v>
      </c>
      <c r="AB44" s="165">
        <v>0</v>
      </c>
      <c r="AC44" s="166">
        <f t="shared" si="3"/>
        <v>0</v>
      </c>
    </row>
    <row r="45" spans="1:29" x14ac:dyDescent="0.25">
      <c r="A45" s="167" t="s">
        <v>145</v>
      </c>
      <c r="B45" s="168" t="s">
        <v>144</v>
      </c>
      <c r="C45" s="165">
        <v>0</v>
      </c>
      <c r="D45" s="165">
        <v>0</v>
      </c>
      <c r="E45" s="170">
        <f t="shared" si="4"/>
        <v>0</v>
      </c>
      <c r="F45" s="165">
        <f t="shared" si="2"/>
        <v>0</v>
      </c>
      <c r="G45" s="170">
        <v>0</v>
      </c>
      <c r="H45" s="165" t="s">
        <v>526</v>
      </c>
      <c r="I45" s="170">
        <v>0</v>
      </c>
      <c r="J45" s="170">
        <v>0</v>
      </c>
      <c r="K45" s="170">
        <v>0</v>
      </c>
      <c r="L45" s="165" t="s">
        <v>526</v>
      </c>
      <c r="M45" s="170">
        <v>0</v>
      </c>
      <c r="N45" s="170">
        <v>0</v>
      </c>
      <c r="O45" s="170">
        <v>0</v>
      </c>
      <c r="P45" s="170">
        <v>0</v>
      </c>
      <c r="Q45" s="170">
        <v>0</v>
      </c>
      <c r="R45" s="165">
        <v>0</v>
      </c>
      <c r="S45" s="170">
        <v>0</v>
      </c>
      <c r="T45" s="170">
        <v>0</v>
      </c>
      <c r="U45" s="170">
        <v>0</v>
      </c>
      <c r="V45" s="170">
        <v>0</v>
      </c>
      <c r="W45" s="170">
        <v>0</v>
      </c>
      <c r="X45" s="165">
        <v>0</v>
      </c>
      <c r="Y45" s="170">
        <v>0</v>
      </c>
      <c r="Z45" s="170">
        <v>0</v>
      </c>
      <c r="AA45" s="170">
        <v>0</v>
      </c>
      <c r="AB45" s="165">
        <v>0</v>
      </c>
      <c r="AC45" s="166">
        <f t="shared" si="3"/>
        <v>0</v>
      </c>
    </row>
    <row r="46" spans="1:29" x14ac:dyDescent="0.25">
      <c r="A46" s="167" t="s">
        <v>143</v>
      </c>
      <c r="B46" s="168" t="s">
        <v>142</v>
      </c>
      <c r="C46" s="165">
        <v>0</v>
      </c>
      <c r="D46" s="165">
        <v>0</v>
      </c>
      <c r="E46" s="170">
        <f t="shared" si="4"/>
        <v>0</v>
      </c>
      <c r="F46" s="165">
        <f t="shared" si="2"/>
        <v>0</v>
      </c>
      <c r="G46" s="170">
        <v>0</v>
      </c>
      <c r="H46" s="165" t="s">
        <v>526</v>
      </c>
      <c r="I46" s="170">
        <v>0</v>
      </c>
      <c r="J46" s="170">
        <v>0</v>
      </c>
      <c r="K46" s="170">
        <v>0</v>
      </c>
      <c r="L46" s="165" t="s">
        <v>526</v>
      </c>
      <c r="M46" s="170">
        <v>0</v>
      </c>
      <c r="N46" s="170">
        <v>0</v>
      </c>
      <c r="O46" s="170">
        <v>0</v>
      </c>
      <c r="P46" s="170">
        <v>0</v>
      </c>
      <c r="Q46" s="170">
        <v>0</v>
      </c>
      <c r="R46" s="165">
        <v>0</v>
      </c>
      <c r="S46" s="170">
        <v>0</v>
      </c>
      <c r="T46" s="170">
        <v>0</v>
      </c>
      <c r="U46" s="170">
        <v>0</v>
      </c>
      <c r="V46" s="170">
        <v>0</v>
      </c>
      <c r="W46" s="170">
        <v>0</v>
      </c>
      <c r="X46" s="165">
        <v>0</v>
      </c>
      <c r="Y46" s="170">
        <v>0</v>
      </c>
      <c r="Z46" s="170">
        <v>0</v>
      </c>
      <c r="AA46" s="170">
        <v>0</v>
      </c>
      <c r="AB46" s="165">
        <v>0</v>
      </c>
      <c r="AC46" s="166">
        <f t="shared" si="3"/>
        <v>0</v>
      </c>
    </row>
    <row r="47" spans="1:29" ht="31.5" x14ac:dyDescent="0.25">
      <c r="A47" s="167" t="s">
        <v>141</v>
      </c>
      <c r="B47" s="168" t="s">
        <v>140</v>
      </c>
      <c r="C47" s="165">
        <v>0</v>
      </c>
      <c r="D47" s="165">
        <v>0</v>
      </c>
      <c r="E47" s="170">
        <f t="shared" si="4"/>
        <v>0</v>
      </c>
      <c r="F47" s="165">
        <f t="shared" si="2"/>
        <v>0</v>
      </c>
      <c r="G47" s="170">
        <v>0</v>
      </c>
      <c r="H47" s="165" t="s">
        <v>526</v>
      </c>
      <c r="I47" s="170">
        <v>0</v>
      </c>
      <c r="J47" s="170">
        <v>0</v>
      </c>
      <c r="K47" s="170">
        <v>0</v>
      </c>
      <c r="L47" s="165" t="s">
        <v>526</v>
      </c>
      <c r="M47" s="170">
        <v>0</v>
      </c>
      <c r="N47" s="170">
        <v>0</v>
      </c>
      <c r="O47" s="170">
        <v>0</v>
      </c>
      <c r="P47" s="170">
        <v>0</v>
      </c>
      <c r="Q47" s="170">
        <v>0</v>
      </c>
      <c r="R47" s="165">
        <v>0</v>
      </c>
      <c r="S47" s="170">
        <v>0</v>
      </c>
      <c r="T47" s="170">
        <v>0</v>
      </c>
      <c r="U47" s="170">
        <v>0</v>
      </c>
      <c r="V47" s="170">
        <v>0</v>
      </c>
      <c r="W47" s="170">
        <v>0</v>
      </c>
      <c r="X47" s="165">
        <v>0</v>
      </c>
      <c r="Y47" s="170">
        <v>0</v>
      </c>
      <c r="Z47" s="170">
        <v>0</v>
      </c>
      <c r="AA47" s="170">
        <v>0</v>
      </c>
      <c r="AB47" s="165">
        <v>0</v>
      </c>
      <c r="AC47" s="166">
        <f t="shared" si="3"/>
        <v>0</v>
      </c>
    </row>
    <row r="48" spans="1:29" ht="31.5" x14ac:dyDescent="0.25">
      <c r="A48" s="167" t="s">
        <v>139</v>
      </c>
      <c r="B48" s="168" t="s">
        <v>138</v>
      </c>
      <c r="C48" s="165">
        <v>0</v>
      </c>
      <c r="D48" s="165">
        <v>0</v>
      </c>
      <c r="E48" s="170">
        <f t="shared" si="4"/>
        <v>0</v>
      </c>
      <c r="F48" s="165">
        <f t="shared" si="2"/>
        <v>0</v>
      </c>
      <c r="G48" s="170">
        <v>0</v>
      </c>
      <c r="H48" s="165" t="s">
        <v>526</v>
      </c>
      <c r="I48" s="170">
        <v>0</v>
      </c>
      <c r="J48" s="170">
        <v>0</v>
      </c>
      <c r="K48" s="170">
        <v>0</v>
      </c>
      <c r="L48" s="165" t="s">
        <v>526</v>
      </c>
      <c r="M48" s="170">
        <v>0</v>
      </c>
      <c r="N48" s="170">
        <v>0</v>
      </c>
      <c r="O48" s="170">
        <v>0</v>
      </c>
      <c r="P48" s="170">
        <v>0</v>
      </c>
      <c r="Q48" s="170">
        <v>0</v>
      </c>
      <c r="R48" s="165">
        <v>0</v>
      </c>
      <c r="S48" s="170">
        <v>0</v>
      </c>
      <c r="T48" s="170">
        <v>0</v>
      </c>
      <c r="U48" s="170">
        <v>0</v>
      </c>
      <c r="V48" s="170">
        <v>0</v>
      </c>
      <c r="W48" s="170">
        <v>0</v>
      </c>
      <c r="X48" s="165">
        <v>0</v>
      </c>
      <c r="Y48" s="170">
        <v>0</v>
      </c>
      <c r="Z48" s="170">
        <v>0</v>
      </c>
      <c r="AA48" s="170">
        <v>0</v>
      </c>
      <c r="AB48" s="165">
        <v>0</v>
      </c>
      <c r="AC48" s="166">
        <f t="shared" si="3"/>
        <v>0</v>
      </c>
    </row>
    <row r="49" spans="1:29" x14ac:dyDescent="0.25">
      <c r="A49" s="167" t="s">
        <v>137</v>
      </c>
      <c r="B49" s="168" t="s">
        <v>136</v>
      </c>
      <c r="C49" s="165">
        <v>0</v>
      </c>
      <c r="D49" s="165">
        <v>0</v>
      </c>
      <c r="E49" s="170">
        <f t="shared" si="4"/>
        <v>0</v>
      </c>
      <c r="F49" s="165">
        <f t="shared" si="2"/>
        <v>0</v>
      </c>
      <c r="G49" s="170">
        <v>0</v>
      </c>
      <c r="H49" s="165" t="s">
        <v>526</v>
      </c>
      <c r="I49" s="170">
        <v>0</v>
      </c>
      <c r="J49" s="170">
        <v>0</v>
      </c>
      <c r="K49" s="170">
        <v>0</v>
      </c>
      <c r="L49" s="165" t="s">
        <v>526</v>
      </c>
      <c r="M49" s="170">
        <v>0</v>
      </c>
      <c r="N49" s="170">
        <v>0</v>
      </c>
      <c r="O49" s="170">
        <v>0</v>
      </c>
      <c r="P49" s="170">
        <v>0</v>
      </c>
      <c r="Q49" s="170">
        <v>0</v>
      </c>
      <c r="R49" s="165">
        <v>0</v>
      </c>
      <c r="S49" s="170">
        <v>0</v>
      </c>
      <c r="T49" s="170">
        <v>0</v>
      </c>
      <c r="U49" s="170">
        <v>0</v>
      </c>
      <c r="V49" s="170">
        <v>0</v>
      </c>
      <c r="W49" s="170">
        <v>0</v>
      </c>
      <c r="X49" s="165">
        <v>0</v>
      </c>
      <c r="Y49" s="170">
        <v>0</v>
      </c>
      <c r="Z49" s="170">
        <v>0</v>
      </c>
      <c r="AA49" s="170">
        <v>0</v>
      </c>
      <c r="AB49" s="165">
        <v>0</v>
      </c>
      <c r="AC49" s="166">
        <f t="shared" si="3"/>
        <v>0</v>
      </c>
    </row>
    <row r="50" spans="1:29" ht="18.75" x14ac:dyDescent="0.25">
      <c r="A50" s="167" t="s">
        <v>135</v>
      </c>
      <c r="B50" s="172" t="s">
        <v>544</v>
      </c>
      <c r="C50" s="165">
        <v>0</v>
      </c>
      <c r="D50" s="165">
        <v>0</v>
      </c>
      <c r="E50" s="170">
        <f t="shared" si="4"/>
        <v>0</v>
      </c>
      <c r="F50" s="165">
        <f t="shared" si="2"/>
        <v>0</v>
      </c>
      <c r="G50" s="170">
        <v>0</v>
      </c>
      <c r="H50" s="165" t="s">
        <v>526</v>
      </c>
      <c r="I50" s="170">
        <v>0</v>
      </c>
      <c r="J50" s="170">
        <v>0</v>
      </c>
      <c r="K50" s="170">
        <v>0</v>
      </c>
      <c r="L50" s="165" t="s">
        <v>526</v>
      </c>
      <c r="M50" s="170">
        <v>0</v>
      </c>
      <c r="N50" s="170">
        <v>0</v>
      </c>
      <c r="O50" s="170">
        <v>0</v>
      </c>
      <c r="P50" s="170">
        <v>0</v>
      </c>
      <c r="Q50" s="170">
        <v>0</v>
      </c>
      <c r="R50" s="165">
        <v>0</v>
      </c>
      <c r="S50" s="170">
        <v>0</v>
      </c>
      <c r="T50" s="170">
        <v>0</v>
      </c>
      <c r="U50" s="170">
        <v>0</v>
      </c>
      <c r="V50" s="170">
        <v>0</v>
      </c>
      <c r="W50" s="170">
        <v>0</v>
      </c>
      <c r="X50" s="165">
        <v>0</v>
      </c>
      <c r="Y50" s="170">
        <v>0</v>
      </c>
      <c r="Z50" s="170">
        <v>0</v>
      </c>
      <c r="AA50" s="170">
        <v>0</v>
      </c>
      <c r="AB50" s="165">
        <v>0</v>
      </c>
      <c r="AC50" s="166">
        <f t="shared" si="3"/>
        <v>0</v>
      </c>
    </row>
    <row r="51" spans="1:29" ht="35.25" customHeight="1" x14ac:dyDescent="0.25">
      <c r="A51" s="163" t="s">
        <v>57</v>
      </c>
      <c r="B51" s="164" t="s">
        <v>134</v>
      </c>
      <c r="C51" s="165">
        <v>0</v>
      </c>
      <c r="D51" s="165">
        <v>0</v>
      </c>
      <c r="E51" s="171">
        <f t="shared" si="4"/>
        <v>0</v>
      </c>
      <c r="F51" s="165">
        <f t="shared" si="2"/>
        <v>0</v>
      </c>
      <c r="G51" s="165">
        <v>0</v>
      </c>
      <c r="H51" s="165" t="s">
        <v>526</v>
      </c>
      <c r="I51" s="165">
        <v>0</v>
      </c>
      <c r="J51" s="165">
        <v>0</v>
      </c>
      <c r="K51" s="165">
        <v>0</v>
      </c>
      <c r="L51" s="165" t="s">
        <v>526</v>
      </c>
      <c r="M51" s="165">
        <v>0</v>
      </c>
      <c r="N51" s="165">
        <v>0</v>
      </c>
      <c r="O51" s="165">
        <v>0</v>
      </c>
      <c r="P51" s="170">
        <v>0</v>
      </c>
      <c r="Q51" s="165">
        <v>0</v>
      </c>
      <c r="R51" s="165">
        <v>0</v>
      </c>
      <c r="S51" s="165">
        <v>0</v>
      </c>
      <c r="T51" s="170">
        <v>0</v>
      </c>
      <c r="U51" s="165">
        <v>0</v>
      </c>
      <c r="V51" s="165">
        <v>0</v>
      </c>
      <c r="W51" s="165">
        <v>0</v>
      </c>
      <c r="X51" s="165">
        <v>0</v>
      </c>
      <c r="Y51" s="165">
        <v>0</v>
      </c>
      <c r="Z51" s="165">
        <v>0</v>
      </c>
      <c r="AA51" s="165">
        <v>0</v>
      </c>
      <c r="AB51" s="165">
        <v>0</v>
      </c>
      <c r="AC51" s="166">
        <f t="shared" si="3"/>
        <v>0</v>
      </c>
    </row>
    <row r="52" spans="1:29" x14ac:dyDescent="0.25">
      <c r="A52" s="167" t="s">
        <v>133</v>
      </c>
      <c r="B52" s="168" t="s">
        <v>132</v>
      </c>
      <c r="C52" s="165">
        <v>2.0116666666666667</v>
      </c>
      <c r="D52" s="165">
        <f>D30</f>
        <v>2.0116666666666667</v>
      </c>
      <c r="E52" s="170">
        <f t="shared" si="4"/>
        <v>2.0116666666666667</v>
      </c>
      <c r="F52" s="165">
        <f t="shared" si="2"/>
        <v>2.0116666666666667</v>
      </c>
      <c r="G52" s="170">
        <v>0</v>
      </c>
      <c r="H52" s="165" t="s">
        <v>526</v>
      </c>
      <c r="I52" s="170">
        <v>0</v>
      </c>
      <c r="J52" s="170">
        <v>0</v>
      </c>
      <c r="K52" s="170">
        <v>0</v>
      </c>
      <c r="L52" s="165" t="s">
        <v>526</v>
      </c>
      <c r="M52" s="170">
        <v>0</v>
      </c>
      <c r="N52" s="170">
        <v>0</v>
      </c>
      <c r="O52" s="170">
        <v>0</v>
      </c>
      <c r="P52" s="170">
        <v>0</v>
      </c>
      <c r="Q52" s="170">
        <v>0</v>
      </c>
      <c r="R52" s="165">
        <v>0</v>
      </c>
      <c r="S52" s="170">
        <v>0</v>
      </c>
      <c r="T52" s="170">
        <v>0</v>
      </c>
      <c r="U52" s="170">
        <v>0</v>
      </c>
      <c r="V52" s="170">
        <v>0</v>
      </c>
      <c r="W52" s="170">
        <v>0</v>
      </c>
      <c r="X52" s="165">
        <v>2.0116666666666667</v>
      </c>
      <c r="Y52" s="170">
        <v>0</v>
      </c>
      <c r="Z52" s="170">
        <v>2.0116666666666667</v>
      </c>
      <c r="AA52" s="170">
        <v>0</v>
      </c>
      <c r="AB52" s="165">
        <v>2.0116666666666667</v>
      </c>
      <c r="AC52" s="166">
        <f t="shared" si="3"/>
        <v>2.0116666666666667</v>
      </c>
    </row>
    <row r="53" spans="1:29" x14ac:dyDescent="0.25">
      <c r="A53" s="167" t="s">
        <v>131</v>
      </c>
      <c r="B53" s="168" t="s">
        <v>125</v>
      </c>
      <c r="C53" s="165">
        <v>0</v>
      </c>
      <c r="D53" s="165">
        <v>0</v>
      </c>
      <c r="E53" s="170">
        <f t="shared" si="4"/>
        <v>0</v>
      </c>
      <c r="F53" s="165">
        <f t="shared" si="2"/>
        <v>0</v>
      </c>
      <c r="G53" s="170">
        <v>0</v>
      </c>
      <c r="H53" s="165" t="s">
        <v>526</v>
      </c>
      <c r="I53" s="170">
        <v>0</v>
      </c>
      <c r="J53" s="170">
        <v>0</v>
      </c>
      <c r="K53" s="170">
        <v>0</v>
      </c>
      <c r="L53" s="165" t="s">
        <v>526</v>
      </c>
      <c r="M53" s="170">
        <v>0</v>
      </c>
      <c r="N53" s="170">
        <v>0</v>
      </c>
      <c r="O53" s="170">
        <v>0</v>
      </c>
      <c r="P53" s="170">
        <v>0</v>
      </c>
      <c r="Q53" s="170">
        <v>0</v>
      </c>
      <c r="R53" s="165">
        <v>0</v>
      </c>
      <c r="S53" s="170">
        <v>0</v>
      </c>
      <c r="T53" s="170">
        <v>0</v>
      </c>
      <c r="U53" s="170">
        <v>0</v>
      </c>
      <c r="V53" s="170">
        <v>0</v>
      </c>
      <c r="W53" s="170">
        <v>0</v>
      </c>
      <c r="X53" s="165">
        <v>0</v>
      </c>
      <c r="Y53" s="170">
        <v>0</v>
      </c>
      <c r="Z53" s="170">
        <v>0</v>
      </c>
      <c r="AA53" s="170">
        <v>0</v>
      </c>
      <c r="AB53" s="165">
        <v>0</v>
      </c>
      <c r="AC53" s="166">
        <f t="shared" si="3"/>
        <v>0</v>
      </c>
    </row>
    <row r="54" spans="1:29" x14ac:dyDescent="0.25">
      <c r="A54" s="167" t="s">
        <v>130</v>
      </c>
      <c r="B54" s="172" t="s">
        <v>124</v>
      </c>
      <c r="C54" s="165">
        <v>0</v>
      </c>
      <c r="D54" s="165">
        <v>0</v>
      </c>
      <c r="E54" s="170">
        <f t="shared" si="4"/>
        <v>0</v>
      </c>
      <c r="F54" s="165">
        <f t="shared" si="2"/>
        <v>0</v>
      </c>
      <c r="G54" s="170">
        <v>0</v>
      </c>
      <c r="H54" s="165" t="s">
        <v>526</v>
      </c>
      <c r="I54" s="170">
        <v>0</v>
      </c>
      <c r="J54" s="170">
        <v>0</v>
      </c>
      <c r="K54" s="170">
        <v>0</v>
      </c>
      <c r="L54" s="165" t="s">
        <v>526</v>
      </c>
      <c r="M54" s="170">
        <v>0</v>
      </c>
      <c r="N54" s="170">
        <v>0</v>
      </c>
      <c r="O54" s="170">
        <v>0</v>
      </c>
      <c r="P54" s="170">
        <v>0</v>
      </c>
      <c r="Q54" s="170">
        <v>0</v>
      </c>
      <c r="R54" s="165">
        <v>0</v>
      </c>
      <c r="S54" s="170">
        <v>0</v>
      </c>
      <c r="T54" s="170">
        <v>0</v>
      </c>
      <c r="U54" s="170">
        <v>0</v>
      </c>
      <c r="V54" s="170">
        <v>0</v>
      </c>
      <c r="W54" s="170">
        <v>0</v>
      </c>
      <c r="X54" s="165">
        <v>0</v>
      </c>
      <c r="Y54" s="170">
        <v>0</v>
      </c>
      <c r="Z54" s="170">
        <v>0</v>
      </c>
      <c r="AA54" s="170">
        <v>0</v>
      </c>
      <c r="AB54" s="165">
        <v>0</v>
      </c>
      <c r="AC54" s="166">
        <f t="shared" si="3"/>
        <v>0</v>
      </c>
    </row>
    <row r="55" spans="1:29" x14ac:dyDescent="0.25">
      <c r="A55" s="167" t="s">
        <v>129</v>
      </c>
      <c r="B55" s="172" t="s">
        <v>123</v>
      </c>
      <c r="C55" s="165">
        <v>0</v>
      </c>
      <c r="D55" s="165">
        <v>0</v>
      </c>
      <c r="E55" s="170">
        <f t="shared" si="4"/>
        <v>0</v>
      </c>
      <c r="F55" s="165">
        <f t="shared" si="2"/>
        <v>0</v>
      </c>
      <c r="G55" s="170">
        <v>0</v>
      </c>
      <c r="H55" s="165" t="s">
        <v>526</v>
      </c>
      <c r="I55" s="170">
        <v>0</v>
      </c>
      <c r="J55" s="170">
        <v>0</v>
      </c>
      <c r="K55" s="170">
        <v>0</v>
      </c>
      <c r="L55" s="165" t="s">
        <v>526</v>
      </c>
      <c r="M55" s="170">
        <v>0</v>
      </c>
      <c r="N55" s="170">
        <v>0</v>
      </c>
      <c r="O55" s="170">
        <v>0</v>
      </c>
      <c r="P55" s="170">
        <v>0</v>
      </c>
      <c r="Q55" s="170">
        <v>0</v>
      </c>
      <c r="R55" s="165">
        <v>0</v>
      </c>
      <c r="S55" s="170">
        <v>0</v>
      </c>
      <c r="T55" s="170">
        <v>0</v>
      </c>
      <c r="U55" s="170">
        <v>0</v>
      </c>
      <c r="V55" s="170">
        <v>0</v>
      </c>
      <c r="W55" s="170">
        <v>0</v>
      </c>
      <c r="X55" s="165">
        <v>0</v>
      </c>
      <c r="Y55" s="170">
        <v>0</v>
      </c>
      <c r="Z55" s="170">
        <v>0</v>
      </c>
      <c r="AA55" s="170">
        <v>0</v>
      </c>
      <c r="AB55" s="165">
        <v>0</v>
      </c>
      <c r="AC55" s="166">
        <f t="shared" si="3"/>
        <v>0</v>
      </c>
    </row>
    <row r="56" spans="1:29" x14ac:dyDescent="0.25">
      <c r="A56" s="167" t="s">
        <v>128</v>
      </c>
      <c r="B56" s="172" t="s">
        <v>122</v>
      </c>
      <c r="C56" s="165">
        <v>0</v>
      </c>
      <c r="D56" s="165">
        <v>0</v>
      </c>
      <c r="E56" s="170">
        <f t="shared" si="4"/>
        <v>0</v>
      </c>
      <c r="F56" s="165">
        <f t="shared" si="2"/>
        <v>0</v>
      </c>
      <c r="G56" s="170">
        <v>0</v>
      </c>
      <c r="H56" s="165" t="s">
        <v>526</v>
      </c>
      <c r="I56" s="170">
        <v>0</v>
      </c>
      <c r="J56" s="170">
        <v>0</v>
      </c>
      <c r="K56" s="170">
        <v>0</v>
      </c>
      <c r="L56" s="165" t="s">
        <v>526</v>
      </c>
      <c r="M56" s="170">
        <v>0</v>
      </c>
      <c r="N56" s="170">
        <v>0</v>
      </c>
      <c r="O56" s="170">
        <v>0</v>
      </c>
      <c r="P56" s="170">
        <v>0</v>
      </c>
      <c r="Q56" s="170">
        <v>0</v>
      </c>
      <c r="R56" s="165">
        <v>0</v>
      </c>
      <c r="S56" s="170">
        <v>0</v>
      </c>
      <c r="T56" s="170">
        <v>0</v>
      </c>
      <c r="U56" s="170">
        <v>0</v>
      </c>
      <c r="V56" s="170">
        <v>0</v>
      </c>
      <c r="W56" s="170">
        <v>0</v>
      </c>
      <c r="X56" s="165">
        <v>0</v>
      </c>
      <c r="Y56" s="170">
        <v>0</v>
      </c>
      <c r="Z56" s="170">
        <v>0</v>
      </c>
      <c r="AA56" s="170">
        <v>0</v>
      </c>
      <c r="AB56" s="165">
        <v>0</v>
      </c>
      <c r="AC56" s="166">
        <f t="shared" si="3"/>
        <v>0</v>
      </c>
    </row>
    <row r="57" spans="1:29" ht="18.75" x14ac:dyDescent="0.25">
      <c r="A57" s="167" t="s">
        <v>127</v>
      </c>
      <c r="B57" s="172" t="s">
        <v>544</v>
      </c>
      <c r="C57" s="165">
        <v>0</v>
      </c>
      <c r="D57" s="165">
        <v>0</v>
      </c>
      <c r="E57" s="170">
        <f t="shared" si="4"/>
        <v>0</v>
      </c>
      <c r="F57" s="165">
        <f t="shared" si="2"/>
        <v>0</v>
      </c>
      <c r="G57" s="170">
        <v>0</v>
      </c>
      <c r="H57" s="165" t="s">
        <v>526</v>
      </c>
      <c r="I57" s="170">
        <v>0</v>
      </c>
      <c r="J57" s="170">
        <v>0</v>
      </c>
      <c r="K57" s="170">
        <v>0</v>
      </c>
      <c r="L57" s="165" t="s">
        <v>526</v>
      </c>
      <c r="M57" s="170">
        <v>0</v>
      </c>
      <c r="N57" s="170">
        <v>0</v>
      </c>
      <c r="O57" s="170">
        <v>0</v>
      </c>
      <c r="P57" s="170">
        <v>0</v>
      </c>
      <c r="Q57" s="170">
        <v>0</v>
      </c>
      <c r="R57" s="165">
        <v>0</v>
      </c>
      <c r="S57" s="170">
        <v>0</v>
      </c>
      <c r="T57" s="170">
        <v>0</v>
      </c>
      <c r="U57" s="170">
        <v>0</v>
      </c>
      <c r="V57" s="170">
        <v>0</v>
      </c>
      <c r="W57" s="170">
        <v>0</v>
      </c>
      <c r="X57" s="165">
        <v>0</v>
      </c>
      <c r="Y57" s="170">
        <v>0</v>
      </c>
      <c r="Z57" s="170">
        <v>0</v>
      </c>
      <c r="AA57" s="170">
        <v>0</v>
      </c>
      <c r="AB57" s="165">
        <v>0</v>
      </c>
      <c r="AC57" s="166">
        <f t="shared" si="3"/>
        <v>0</v>
      </c>
    </row>
    <row r="58" spans="1:29" ht="36.75" customHeight="1" x14ac:dyDescent="0.25">
      <c r="A58" s="163" t="s">
        <v>56</v>
      </c>
      <c r="B58" s="173" t="s">
        <v>224</v>
      </c>
      <c r="C58" s="165">
        <v>0</v>
      </c>
      <c r="D58" s="165">
        <v>0</v>
      </c>
      <c r="E58" s="171">
        <f t="shared" si="4"/>
        <v>0</v>
      </c>
      <c r="F58" s="165">
        <f t="shared" si="2"/>
        <v>0</v>
      </c>
      <c r="G58" s="165">
        <v>0</v>
      </c>
      <c r="H58" s="165" t="s">
        <v>526</v>
      </c>
      <c r="I58" s="165">
        <v>0</v>
      </c>
      <c r="J58" s="165">
        <v>0</v>
      </c>
      <c r="K58" s="165">
        <v>0</v>
      </c>
      <c r="L58" s="165" t="s">
        <v>526</v>
      </c>
      <c r="M58" s="165">
        <v>0</v>
      </c>
      <c r="N58" s="165">
        <v>0</v>
      </c>
      <c r="O58" s="165">
        <v>0</v>
      </c>
      <c r="P58" s="170">
        <v>0</v>
      </c>
      <c r="Q58" s="165">
        <v>0</v>
      </c>
      <c r="R58" s="165">
        <v>0</v>
      </c>
      <c r="S58" s="165">
        <v>0</v>
      </c>
      <c r="T58" s="170">
        <v>0</v>
      </c>
      <c r="U58" s="165">
        <v>0</v>
      </c>
      <c r="V58" s="165">
        <v>0</v>
      </c>
      <c r="W58" s="165">
        <v>0</v>
      </c>
      <c r="X58" s="165">
        <v>0</v>
      </c>
      <c r="Y58" s="165">
        <v>0</v>
      </c>
      <c r="Z58" s="165">
        <v>0</v>
      </c>
      <c r="AA58" s="165">
        <v>0</v>
      </c>
      <c r="AB58" s="165">
        <v>0</v>
      </c>
      <c r="AC58" s="166">
        <f t="shared" si="3"/>
        <v>0</v>
      </c>
    </row>
    <row r="59" spans="1:29" x14ac:dyDescent="0.25">
      <c r="A59" s="163" t="s">
        <v>54</v>
      </c>
      <c r="B59" s="164" t="s">
        <v>126</v>
      </c>
      <c r="C59" s="165">
        <v>0</v>
      </c>
      <c r="D59" s="165">
        <v>0</v>
      </c>
      <c r="E59" s="171">
        <f t="shared" si="4"/>
        <v>0</v>
      </c>
      <c r="F59" s="165">
        <f t="shared" si="2"/>
        <v>0</v>
      </c>
      <c r="G59" s="165">
        <v>0</v>
      </c>
      <c r="H59" s="165" t="s">
        <v>526</v>
      </c>
      <c r="I59" s="165">
        <v>0</v>
      </c>
      <c r="J59" s="165">
        <v>0</v>
      </c>
      <c r="K59" s="165">
        <v>0</v>
      </c>
      <c r="L59" s="165" t="s">
        <v>526</v>
      </c>
      <c r="M59" s="165">
        <v>0</v>
      </c>
      <c r="N59" s="165">
        <v>0</v>
      </c>
      <c r="O59" s="165">
        <v>0</v>
      </c>
      <c r="P59" s="170">
        <v>0</v>
      </c>
      <c r="Q59" s="165">
        <v>0</v>
      </c>
      <c r="R59" s="165">
        <v>0</v>
      </c>
      <c r="S59" s="165">
        <v>0</v>
      </c>
      <c r="T59" s="170">
        <v>0</v>
      </c>
      <c r="U59" s="165">
        <v>0</v>
      </c>
      <c r="V59" s="165">
        <v>0</v>
      </c>
      <c r="W59" s="165">
        <v>0</v>
      </c>
      <c r="X59" s="165">
        <v>0</v>
      </c>
      <c r="Y59" s="165">
        <v>0</v>
      </c>
      <c r="Z59" s="165">
        <v>0</v>
      </c>
      <c r="AA59" s="165">
        <v>0</v>
      </c>
      <c r="AB59" s="165">
        <v>0</v>
      </c>
      <c r="AC59" s="166">
        <f t="shared" si="3"/>
        <v>0</v>
      </c>
    </row>
    <row r="60" spans="1:29" x14ac:dyDescent="0.25">
      <c r="A60" s="167" t="s">
        <v>218</v>
      </c>
      <c r="B60" s="51" t="s">
        <v>146</v>
      </c>
      <c r="C60" s="165">
        <v>0</v>
      </c>
      <c r="D60" s="165">
        <v>0</v>
      </c>
      <c r="E60" s="170">
        <f t="shared" si="4"/>
        <v>0</v>
      </c>
      <c r="F60" s="165">
        <f t="shared" si="2"/>
        <v>0</v>
      </c>
      <c r="G60" s="170">
        <v>0</v>
      </c>
      <c r="H60" s="165" t="s">
        <v>526</v>
      </c>
      <c r="I60" s="170">
        <v>0</v>
      </c>
      <c r="J60" s="170">
        <v>0</v>
      </c>
      <c r="K60" s="170">
        <v>0</v>
      </c>
      <c r="L60" s="165" t="s">
        <v>526</v>
      </c>
      <c r="M60" s="170">
        <v>0</v>
      </c>
      <c r="N60" s="170">
        <v>0</v>
      </c>
      <c r="O60" s="170">
        <v>0</v>
      </c>
      <c r="P60" s="170">
        <v>0</v>
      </c>
      <c r="Q60" s="170">
        <v>0</v>
      </c>
      <c r="R60" s="165">
        <v>0</v>
      </c>
      <c r="S60" s="170">
        <v>0</v>
      </c>
      <c r="T60" s="170">
        <v>0</v>
      </c>
      <c r="U60" s="170">
        <v>0</v>
      </c>
      <c r="V60" s="170">
        <v>0</v>
      </c>
      <c r="W60" s="170">
        <v>0</v>
      </c>
      <c r="X60" s="165">
        <v>0</v>
      </c>
      <c r="Y60" s="170">
        <v>0</v>
      </c>
      <c r="Z60" s="170">
        <v>0</v>
      </c>
      <c r="AA60" s="170">
        <v>0</v>
      </c>
      <c r="AB60" s="165">
        <v>0</v>
      </c>
      <c r="AC60" s="166">
        <f t="shared" si="3"/>
        <v>0</v>
      </c>
    </row>
    <row r="61" spans="1:29" x14ac:dyDescent="0.25">
      <c r="A61" s="167" t="s">
        <v>219</v>
      </c>
      <c r="B61" s="51" t="s">
        <v>144</v>
      </c>
      <c r="C61" s="165">
        <v>0</v>
      </c>
      <c r="D61" s="165">
        <v>0</v>
      </c>
      <c r="E61" s="170">
        <f t="shared" si="4"/>
        <v>0</v>
      </c>
      <c r="F61" s="165">
        <f t="shared" si="2"/>
        <v>0</v>
      </c>
      <c r="G61" s="170">
        <v>0</v>
      </c>
      <c r="H61" s="165" t="s">
        <v>526</v>
      </c>
      <c r="I61" s="170">
        <v>0</v>
      </c>
      <c r="J61" s="170">
        <v>0</v>
      </c>
      <c r="K61" s="170">
        <v>0</v>
      </c>
      <c r="L61" s="165" t="s">
        <v>526</v>
      </c>
      <c r="M61" s="170">
        <v>0</v>
      </c>
      <c r="N61" s="170">
        <v>0</v>
      </c>
      <c r="O61" s="170">
        <v>0</v>
      </c>
      <c r="P61" s="170">
        <v>0</v>
      </c>
      <c r="Q61" s="170">
        <v>0</v>
      </c>
      <c r="R61" s="165">
        <v>0</v>
      </c>
      <c r="S61" s="170">
        <v>0</v>
      </c>
      <c r="T61" s="170">
        <v>0</v>
      </c>
      <c r="U61" s="170">
        <v>0</v>
      </c>
      <c r="V61" s="170">
        <v>0</v>
      </c>
      <c r="W61" s="170">
        <v>0</v>
      </c>
      <c r="X61" s="165">
        <v>0</v>
      </c>
      <c r="Y61" s="170">
        <v>0</v>
      </c>
      <c r="Z61" s="170">
        <v>0</v>
      </c>
      <c r="AA61" s="170">
        <v>0</v>
      </c>
      <c r="AB61" s="165">
        <v>0</v>
      </c>
      <c r="AC61" s="166">
        <f t="shared" si="3"/>
        <v>0</v>
      </c>
    </row>
    <row r="62" spans="1:29" x14ac:dyDescent="0.25">
      <c r="A62" s="167" t="s">
        <v>220</v>
      </c>
      <c r="B62" s="51" t="s">
        <v>142</v>
      </c>
      <c r="C62" s="165">
        <v>0</v>
      </c>
      <c r="D62" s="165">
        <v>0</v>
      </c>
      <c r="E62" s="170">
        <f t="shared" si="4"/>
        <v>0</v>
      </c>
      <c r="F62" s="165">
        <f t="shared" si="2"/>
        <v>0</v>
      </c>
      <c r="G62" s="170">
        <v>0</v>
      </c>
      <c r="H62" s="165" t="s">
        <v>526</v>
      </c>
      <c r="I62" s="170">
        <v>0</v>
      </c>
      <c r="J62" s="170">
        <v>0</v>
      </c>
      <c r="K62" s="170">
        <v>0</v>
      </c>
      <c r="L62" s="165" t="s">
        <v>526</v>
      </c>
      <c r="M62" s="170">
        <v>0</v>
      </c>
      <c r="N62" s="170">
        <v>0</v>
      </c>
      <c r="O62" s="170">
        <v>0</v>
      </c>
      <c r="P62" s="170">
        <v>0</v>
      </c>
      <c r="Q62" s="170">
        <v>0</v>
      </c>
      <c r="R62" s="165">
        <v>0</v>
      </c>
      <c r="S62" s="170">
        <v>0</v>
      </c>
      <c r="T62" s="170">
        <v>0</v>
      </c>
      <c r="U62" s="170">
        <v>0</v>
      </c>
      <c r="V62" s="170">
        <v>0</v>
      </c>
      <c r="W62" s="170">
        <v>0</v>
      </c>
      <c r="X62" s="165">
        <v>0</v>
      </c>
      <c r="Y62" s="170">
        <v>0</v>
      </c>
      <c r="Z62" s="170">
        <v>0</v>
      </c>
      <c r="AA62" s="170">
        <v>0</v>
      </c>
      <c r="AB62" s="165">
        <v>0</v>
      </c>
      <c r="AC62" s="166">
        <f t="shared" si="3"/>
        <v>0</v>
      </c>
    </row>
    <row r="63" spans="1:29" x14ac:dyDescent="0.25">
      <c r="A63" s="167" t="s">
        <v>221</v>
      </c>
      <c r="B63" s="51" t="s">
        <v>223</v>
      </c>
      <c r="C63" s="165">
        <v>0</v>
      </c>
      <c r="D63" s="165">
        <v>0</v>
      </c>
      <c r="E63" s="170">
        <f t="shared" si="4"/>
        <v>0</v>
      </c>
      <c r="F63" s="165">
        <f t="shared" si="2"/>
        <v>0</v>
      </c>
      <c r="G63" s="170">
        <v>0</v>
      </c>
      <c r="H63" s="165" t="s">
        <v>526</v>
      </c>
      <c r="I63" s="170">
        <v>0</v>
      </c>
      <c r="J63" s="170">
        <v>0</v>
      </c>
      <c r="K63" s="170">
        <v>0</v>
      </c>
      <c r="L63" s="165" t="s">
        <v>526</v>
      </c>
      <c r="M63" s="170">
        <v>0</v>
      </c>
      <c r="N63" s="170">
        <v>0</v>
      </c>
      <c r="O63" s="170">
        <v>0</v>
      </c>
      <c r="P63" s="170">
        <v>0</v>
      </c>
      <c r="Q63" s="170">
        <v>0</v>
      </c>
      <c r="R63" s="165">
        <v>0</v>
      </c>
      <c r="S63" s="170">
        <v>0</v>
      </c>
      <c r="T63" s="170">
        <v>0</v>
      </c>
      <c r="U63" s="170">
        <v>0</v>
      </c>
      <c r="V63" s="170">
        <v>0</v>
      </c>
      <c r="W63" s="170">
        <v>0</v>
      </c>
      <c r="X63" s="165">
        <v>0</v>
      </c>
      <c r="Y63" s="170">
        <v>0</v>
      </c>
      <c r="Z63" s="170">
        <v>0</v>
      </c>
      <c r="AA63" s="170">
        <v>0</v>
      </c>
      <c r="AB63" s="165">
        <v>0</v>
      </c>
      <c r="AC63" s="166">
        <f t="shared" si="3"/>
        <v>0</v>
      </c>
    </row>
    <row r="64" spans="1:29" ht="18.75" x14ac:dyDescent="0.25">
      <c r="A64" s="167" t="s">
        <v>222</v>
      </c>
      <c r="B64" s="172" t="s">
        <v>544</v>
      </c>
      <c r="C64" s="165">
        <v>0</v>
      </c>
      <c r="D64" s="165">
        <v>0</v>
      </c>
      <c r="E64" s="170">
        <f t="shared" si="4"/>
        <v>0</v>
      </c>
      <c r="F64" s="165">
        <f t="shared" si="2"/>
        <v>0</v>
      </c>
      <c r="G64" s="170">
        <v>0</v>
      </c>
      <c r="H64" s="170">
        <v>0</v>
      </c>
      <c r="I64" s="170">
        <v>0</v>
      </c>
      <c r="J64" s="170">
        <v>0</v>
      </c>
      <c r="K64" s="170">
        <v>0</v>
      </c>
      <c r="L64" s="170">
        <v>0</v>
      </c>
      <c r="M64" s="170">
        <v>0</v>
      </c>
      <c r="N64" s="170">
        <v>0</v>
      </c>
      <c r="O64" s="170">
        <v>0</v>
      </c>
      <c r="P64" s="170">
        <v>0</v>
      </c>
      <c r="Q64" s="170">
        <v>0</v>
      </c>
      <c r="R64" s="165">
        <v>0</v>
      </c>
      <c r="S64" s="170">
        <v>0</v>
      </c>
      <c r="T64" s="170">
        <v>0</v>
      </c>
      <c r="U64" s="170">
        <v>0</v>
      </c>
      <c r="V64" s="170">
        <v>0</v>
      </c>
      <c r="W64" s="170">
        <v>0</v>
      </c>
      <c r="X64" s="165">
        <v>0</v>
      </c>
      <c r="Y64" s="170">
        <v>0</v>
      </c>
      <c r="Z64" s="170">
        <v>0</v>
      </c>
      <c r="AA64" s="170">
        <v>0</v>
      </c>
      <c r="AB64" s="165">
        <v>0</v>
      </c>
      <c r="AC64" s="166">
        <f t="shared" si="3"/>
        <v>0</v>
      </c>
    </row>
    <row r="65" spans="1:28" x14ac:dyDescent="0.25">
      <c r="A65" s="48"/>
      <c r="B65" s="49"/>
      <c r="C65" s="49"/>
      <c r="D65" s="49"/>
      <c r="E65" s="49"/>
      <c r="F65" s="49"/>
      <c r="G65" s="49"/>
      <c r="H65" s="49"/>
      <c r="I65" s="49"/>
      <c r="J65" s="49"/>
      <c r="K65" s="49"/>
      <c r="L65" s="49"/>
      <c r="M65" s="49"/>
      <c r="N65" s="49"/>
      <c r="O65" s="49"/>
      <c r="P65" s="49"/>
      <c r="Q65" s="49"/>
      <c r="R65" s="49"/>
      <c r="S65" s="49"/>
      <c r="T65" s="49"/>
      <c r="U65" s="49"/>
      <c r="V65" s="49"/>
      <c r="W65" s="49"/>
      <c r="X65" s="49"/>
      <c r="Y65" s="49"/>
      <c r="Z65" s="49"/>
      <c r="AA65" s="49"/>
    </row>
    <row r="66" spans="1:28" ht="54" customHeight="1" x14ac:dyDescent="0.25">
      <c r="B66" s="409"/>
      <c r="C66" s="409"/>
      <c r="D66" s="409"/>
      <c r="E66" s="409"/>
      <c r="F66" s="409"/>
      <c r="G66" s="409"/>
      <c r="H66" s="409"/>
      <c r="I66" s="409"/>
      <c r="J66" s="409"/>
      <c r="K66" s="409"/>
      <c r="L66" s="409"/>
      <c r="M66" s="409"/>
      <c r="N66" s="46"/>
      <c r="O66" s="46"/>
      <c r="P66" s="46"/>
      <c r="Q66" s="46"/>
      <c r="R66" s="46"/>
      <c r="S66" s="46"/>
      <c r="T66" s="46"/>
      <c r="U66" s="46"/>
      <c r="V66" s="46"/>
      <c r="W66" s="46"/>
      <c r="X66" s="46"/>
      <c r="Y66" s="46"/>
      <c r="Z66" s="46"/>
      <c r="AA66" s="46"/>
      <c r="AB66" s="47"/>
    </row>
    <row r="68" spans="1:28" ht="50.25" customHeight="1" x14ac:dyDescent="0.25">
      <c r="B68" s="409"/>
      <c r="C68" s="409"/>
      <c r="D68" s="409"/>
      <c r="E68" s="409"/>
      <c r="F68" s="409"/>
      <c r="G68" s="409"/>
      <c r="H68" s="409"/>
      <c r="I68" s="409"/>
      <c r="J68" s="409"/>
      <c r="K68" s="409"/>
      <c r="L68" s="409"/>
      <c r="M68" s="409"/>
      <c r="N68" s="46"/>
      <c r="O68" s="46"/>
      <c r="P68" s="46"/>
      <c r="Q68" s="46"/>
      <c r="R68" s="46"/>
      <c r="S68" s="46"/>
      <c r="T68" s="46"/>
      <c r="U68" s="46"/>
      <c r="V68" s="46"/>
      <c r="W68" s="46"/>
      <c r="X68" s="46"/>
      <c r="Y68" s="46"/>
      <c r="Z68" s="46"/>
      <c r="AA68" s="46"/>
    </row>
    <row r="70" spans="1:28" ht="36.75" customHeight="1" x14ac:dyDescent="0.25">
      <c r="B70" s="409"/>
      <c r="C70" s="409"/>
      <c r="D70" s="409"/>
      <c r="E70" s="409"/>
      <c r="F70" s="409"/>
      <c r="G70" s="409"/>
      <c r="H70" s="409"/>
      <c r="I70" s="409"/>
      <c r="J70" s="409"/>
      <c r="K70" s="409"/>
      <c r="L70" s="409"/>
      <c r="M70" s="409"/>
      <c r="N70" s="46"/>
      <c r="O70" s="46"/>
      <c r="P70" s="46"/>
      <c r="Q70" s="46"/>
      <c r="R70" s="46"/>
      <c r="S70" s="46"/>
      <c r="T70" s="46"/>
      <c r="U70" s="46"/>
      <c r="V70" s="46"/>
      <c r="W70" s="46"/>
      <c r="X70" s="46"/>
      <c r="Y70" s="46"/>
      <c r="Z70" s="46"/>
      <c r="AA70" s="46"/>
    </row>
    <row r="72" spans="1:28" ht="51" customHeight="1" x14ac:dyDescent="0.25">
      <c r="B72" s="409"/>
      <c r="C72" s="409"/>
      <c r="D72" s="409"/>
      <c r="E72" s="409"/>
      <c r="F72" s="409"/>
      <c r="G72" s="409"/>
      <c r="H72" s="409"/>
      <c r="I72" s="409"/>
      <c r="J72" s="409"/>
      <c r="K72" s="409"/>
      <c r="L72" s="409"/>
      <c r="M72" s="409"/>
      <c r="N72" s="46"/>
      <c r="O72" s="46"/>
      <c r="P72" s="46"/>
      <c r="Q72" s="46"/>
      <c r="R72" s="46"/>
      <c r="S72" s="46"/>
      <c r="T72" s="46"/>
      <c r="U72" s="46"/>
      <c r="V72" s="46"/>
      <c r="W72" s="46"/>
      <c r="X72" s="46"/>
      <c r="Y72" s="46"/>
      <c r="Z72" s="46"/>
      <c r="AA72" s="46"/>
    </row>
    <row r="73" spans="1:28" ht="32.25" customHeight="1" x14ac:dyDescent="0.25">
      <c r="B73" s="409"/>
      <c r="C73" s="409"/>
      <c r="D73" s="409"/>
      <c r="E73" s="409"/>
      <c r="F73" s="409"/>
      <c r="G73" s="409"/>
      <c r="H73" s="409"/>
      <c r="I73" s="409"/>
      <c r="J73" s="409"/>
      <c r="K73" s="409"/>
      <c r="L73" s="409"/>
      <c r="M73" s="409"/>
      <c r="N73" s="46"/>
      <c r="O73" s="46"/>
      <c r="P73" s="46"/>
      <c r="Q73" s="46"/>
      <c r="R73" s="46"/>
      <c r="S73" s="46"/>
      <c r="T73" s="46"/>
      <c r="U73" s="46"/>
      <c r="V73" s="46"/>
      <c r="W73" s="46"/>
      <c r="X73" s="46"/>
      <c r="Y73" s="46"/>
      <c r="Z73" s="46"/>
      <c r="AA73" s="46"/>
    </row>
    <row r="74" spans="1:28" ht="51.75" customHeight="1" x14ac:dyDescent="0.25">
      <c r="B74" s="409"/>
      <c r="C74" s="409"/>
      <c r="D74" s="409"/>
      <c r="E74" s="409"/>
      <c r="F74" s="409"/>
      <c r="G74" s="409"/>
      <c r="H74" s="409"/>
      <c r="I74" s="409"/>
      <c r="J74" s="409"/>
      <c r="K74" s="409"/>
      <c r="L74" s="409"/>
      <c r="M74" s="409"/>
      <c r="N74" s="46"/>
      <c r="O74" s="46"/>
      <c r="P74" s="46"/>
      <c r="Q74" s="46"/>
      <c r="R74" s="46"/>
      <c r="S74" s="46"/>
      <c r="T74" s="46"/>
      <c r="U74" s="46"/>
      <c r="V74" s="46"/>
      <c r="W74" s="46"/>
      <c r="X74" s="46"/>
      <c r="Y74" s="46"/>
      <c r="Z74" s="46"/>
      <c r="AA74" s="46"/>
    </row>
    <row r="75" spans="1:28" ht="21.75" customHeight="1" x14ac:dyDescent="0.25">
      <c r="B75" s="410"/>
      <c r="C75" s="410"/>
      <c r="D75" s="410"/>
      <c r="E75" s="410"/>
      <c r="F75" s="410"/>
      <c r="G75" s="410"/>
      <c r="H75" s="410"/>
      <c r="I75" s="410"/>
      <c r="J75" s="410"/>
      <c r="K75" s="410"/>
      <c r="L75" s="410"/>
      <c r="M75" s="410"/>
      <c r="N75" s="150"/>
      <c r="O75" s="150"/>
      <c r="P75" s="150"/>
      <c r="Q75" s="150"/>
      <c r="R75" s="150"/>
      <c r="S75" s="150"/>
      <c r="T75" s="150"/>
      <c r="U75" s="150"/>
      <c r="V75" s="150"/>
      <c r="W75" s="150"/>
      <c r="X75" s="150"/>
      <c r="Y75" s="150"/>
      <c r="Z75" s="150"/>
      <c r="AA75" s="150"/>
    </row>
    <row r="76" spans="1:28" ht="23.25" customHeight="1" x14ac:dyDescent="0.25"/>
    <row r="77" spans="1:28" ht="18.75" customHeight="1" x14ac:dyDescent="0.25">
      <c r="B77" s="408"/>
      <c r="C77" s="408"/>
      <c r="D77" s="408"/>
      <c r="E77" s="408"/>
      <c r="F77" s="408"/>
      <c r="G77" s="408"/>
      <c r="H77" s="408"/>
      <c r="I77" s="408"/>
      <c r="J77" s="408"/>
      <c r="K77" s="408"/>
      <c r="L77" s="408"/>
      <c r="M77" s="408"/>
      <c r="N77" s="49"/>
      <c r="O77" s="49"/>
      <c r="P77" s="49"/>
      <c r="Q77" s="49"/>
      <c r="R77" s="49"/>
      <c r="S77" s="49"/>
      <c r="T77" s="49"/>
      <c r="U77" s="49"/>
      <c r="V77" s="49"/>
      <c r="W77" s="49"/>
      <c r="X77" s="49"/>
      <c r="Y77" s="49"/>
      <c r="Z77" s="49"/>
      <c r="AA77" s="49"/>
    </row>
    <row r="81" s="45" customFormat="1" x14ac:dyDescent="0.25"/>
    <row r="82" s="45" customFormat="1" x14ac:dyDescent="0.25"/>
    <row r="83" s="45" customFormat="1" x14ac:dyDescent="0.25"/>
    <row r="84" s="45" customFormat="1" x14ac:dyDescent="0.25"/>
    <row r="85" s="45" customFormat="1" x14ac:dyDescent="0.25"/>
    <row r="86" s="45" customFormat="1" x14ac:dyDescent="0.25"/>
    <row r="87" s="45" customFormat="1" x14ac:dyDescent="0.25"/>
    <row r="88" s="45" customFormat="1" x14ac:dyDescent="0.25"/>
    <row r="89" s="45" customFormat="1" x14ac:dyDescent="0.25"/>
    <row r="90" s="45" customFormat="1" x14ac:dyDescent="0.25"/>
    <row r="91" s="45" customFormat="1" x14ac:dyDescent="0.25"/>
    <row r="92" s="45" customFormat="1" x14ac:dyDescent="0.25"/>
  </sheetData>
  <mergeCells count="39">
    <mergeCell ref="AB20:AC21"/>
    <mergeCell ref="A12:AC12"/>
    <mergeCell ref="A14:AC14"/>
    <mergeCell ref="A15:AC15"/>
    <mergeCell ref="A16:AC16"/>
    <mergeCell ref="A18:AC18"/>
    <mergeCell ref="B20:B22"/>
    <mergeCell ref="T20:W20"/>
    <mergeCell ref="V21:W21"/>
    <mergeCell ref="T21:U21"/>
    <mergeCell ref="P21:Q21"/>
    <mergeCell ref="R21:S21"/>
    <mergeCell ref="G20:G22"/>
    <mergeCell ref="L21:M21"/>
    <mergeCell ref="L20:O20"/>
    <mergeCell ref="N21:O21"/>
    <mergeCell ref="A4:AC4"/>
    <mergeCell ref="A6:AC6"/>
    <mergeCell ref="A8:AC8"/>
    <mergeCell ref="A9:AC9"/>
    <mergeCell ref="A11:AC11"/>
    <mergeCell ref="C20:D21"/>
    <mergeCell ref="A20:A22"/>
    <mergeCell ref="E20:F21"/>
    <mergeCell ref="P20:S20"/>
    <mergeCell ref="B77:M77"/>
    <mergeCell ref="B66:M66"/>
    <mergeCell ref="B68:M68"/>
    <mergeCell ref="B70:M70"/>
    <mergeCell ref="B72:M72"/>
    <mergeCell ref="B73:M73"/>
    <mergeCell ref="B74:M74"/>
    <mergeCell ref="B75:M75"/>
    <mergeCell ref="X20:AA20"/>
    <mergeCell ref="X21:Y21"/>
    <mergeCell ref="Z21:AA21"/>
    <mergeCell ref="H20:K20"/>
    <mergeCell ref="H21:I21"/>
    <mergeCell ref="J21:K21"/>
  </mergeCells>
  <conditionalFormatting sqref="C24:G64">
    <cfRule type="cellIs" dxfId="4" priority="11" operator="notEqual">
      <formula>0</formula>
    </cfRule>
  </conditionalFormatting>
  <conditionalFormatting sqref="H24:P63">
    <cfRule type="cellIs" dxfId="3" priority="5" operator="notEqual">
      <formula>0</formula>
    </cfRule>
  </conditionalFormatting>
  <conditionalFormatting sqref="H64:Q64">
    <cfRule type="cellIs" dxfId="2" priority="6" operator="notEqual">
      <formula>0</formula>
    </cfRule>
  </conditionalFormatting>
  <conditionalFormatting sqref="Q24:S24 Q25:Q63 R25:S64">
    <cfRule type="cellIs" dxfId="1" priority="13" operator="notEqual">
      <formula>0</formula>
    </cfRule>
  </conditionalFormatting>
  <conditionalFormatting sqref="T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7"/>
  <sheetViews>
    <sheetView view="pageBreakPreview" zoomScale="85" zoomScaleSheetLayoutView="85" workbookViewId="0">
      <selection activeCell="D27" sqref="D27"/>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3" width="10.7109375" style="15" customWidth="1"/>
    <col min="14" max="14" width="28.7109375" style="15" customWidth="1"/>
    <col min="15"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3" width="21.42578125" style="15" customWidth="1"/>
    <col min="24" max="24" width="10.7109375" style="15" customWidth="1"/>
    <col min="25" max="25" width="18.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8" t="s">
        <v>66</v>
      </c>
    </row>
    <row r="2" spans="1:48" ht="18.75" x14ac:dyDescent="0.3">
      <c r="AV2" s="12" t="s">
        <v>8</v>
      </c>
    </row>
    <row r="3" spans="1:48" ht="18.75" x14ac:dyDescent="0.3">
      <c r="AV3" s="12" t="s">
        <v>65</v>
      </c>
    </row>
    <row r="4" spans="1:48" ht="18.75" x14ac:dyDescent="0.3">
      <c r="AV4" s="12"/>
    </row>
    <row r="5" spans="1:48" ht="18.75" customHeight="1" x14ac:dyDescent="0.25">
      <c r="A5" s="338" t="str">
        <f>'1. паспорт местоположение'!A5:C5</f>
        <v>Год раскрытия информации: 2024 год</v>
      </c>
      <c r="B5" s="338"/>
      <c r="C5" s="338"/>
      <c r="D5" s="338"/>
      <c r="E5" s="338"/>
      <c r="F5" s="338"/>
      <c r="G5" s="338"/>
      <c r="H5" s="338"/>
      <c r="I5" s="338"/>
      <c r="J5" s="338"/>
      <c r="K5" s="338"/>
      <c r="L5" s="338"/>
      <c r="M5" s="338"/>
      <c r="N5" s="338"/>
      <c r="O5" s="338"/>
      <c r="P5" s="338"/>
      <c r="Q5" s="338"/>
      <c r="R5" s="338"/>
      <c r="S5" s="338"/>
      <c r="T5" s="338"/>
      <c r="U5" s="338"/>
      <c r="V5" s="338"/>
      <c r="W5" s="338"/>
      <c r="X5" s="338"/>
      <c r="Y5" s="338"/>
      <c r="Z5" s="338"/>
      <c r="AA5" s="338"/>
      <c r="AB5" s="338"/>
      <c r="AC5" s="338"/>
      <c r="AD5" s="338"/>
      <c r="AE5" s="338"/>
      <c r="AF5" s="338"/>
      <c r="AG5" s="338"/>
      <c r="AH5" s="338"/>
      <c r="AI5" s="338"/>
      <c r="AJ5" s="338"/>
      <c r="AK5" s="338"/>
      <c r="AL5" s="338"/>
      <c r="AM5" s="338"/>
      <c r="AN5" s="338"/>
      <c r="AO5" s="338"/>
      <c r="AP5" s="338"/>
      <c r="AQ5" s="338"/>
      <c r="AR5" s="338"/>
      <c r="AS5" s="338"/>
      <c r="AT5" s="338"/>
      <c r="AU5" s="338"/>
      <c r="AV5" s="338"/>
    </row>
    <row r="6" spans="1:48" ht="18.75" x14ac:dyDescent="0.3">
      <c r="AV6" s="12"/>
    </row>
    <row r="7" spans="1:48" ht="18.75" x14ac:dyDescent="0.25">
      <c r="A7" s="342" t="s">
        <v>7</v>
      </c>
      <c r="B7" s="342"/>
      <c r="C7" s="342"/>
      <c r="D7" s="342"/>
      <c r="E7" s="342"/>
      <c r="F7" s="342"/>
      <c r="G7" s="342"/>
      <c r="H7" s="342"/>
      <c r="I7" s="342"/>
      <c r="J7" s="342"/>
      <c r="K7" s="342"/>
      <c r="L7" s="342"/>
      <c r="M7" s="342"/>
      <c r="N7" s="342"/>
      <c r="O7" s="342"/>
      <c r="P7" s="342"/>
      <c r="Q7" s="342"/>
      <c r="R7" s="342"/>
      <c r="S7" s="342"/>
      <c r="T7" s="342"/>
      <c r="U7" s="342"/>
      <c r="V7" s="342"/>
      <c r="W7" s="342"/>
      <c r="X7" s="342"/>
      <c r="Y7" s="342"/>
      <c r="Z7" s="342"/>
      <c r="AA7" s="342"/>
      <c r="AB7" s="342"/>
      <c r="AC7" s="342"/>
      <c r="AD7" s="342"/>
      <c r="AE7" s="342"/>
      <c r="AF7" s="342"/>
      <c r="AG7" s="342"/>
      <c r="AH7" s="342"/>
      <c r="AI7" s="342"/>
      <c r="AJ7" s="342"/>
      <c r="AK7" s="342"/>
      <c r="AL7" s="342"/>
      <c r="AM7" s="342"/>
      <c r="AN7" s="342"/>
      <c r="AO7" s="342"/>
      <c r="AP7" s="342"/>
      <c r="AQ7" s="342"/>
      <c r="AR7" s="342"/>
      <c r="AS7" s="342"/>
      <c r="AT7" s="342"/>
      <c r="AU7" s="342"/>
      <c r="AV7" s="342"/>
    </row>
    <row r="8" spans="1:48" ht="18.75" x14ac:dyDescent="0.25">
      <c r="A8" s="342"/>
      <c r="B8" s="342"/>
      <c r="C8" s="342"/>
      <c r="D8" s="342"/>
      <c r="E8" s="342"/>
      <c r="F8" s="342"/>
      <c r="G8" s="342"/>
      <c r="H8" s="342"/>
      <c r="I8" s="342"/>
      <c r="J8" s="342"/>
      <c r="K8" s="342"/>
      <c r="L8" s="342"/>
      <c r="M8" s="342"/>
      <c r="N8" s="342"/>
      <c r="O8" s="342"/>
      <c r="P8" s="342"/>
      <c r="Q8" s="342"/>
      <c r="R8" s="342"/>
      <c r="S8" s="342"/>
      <c r="T8" s="342"/>
      <c r="U8" s="342"/>
      <c r="V8" s="342"/>
      <c r="W8" s="342"/>
      <c r="X8" s="342"/>
      <c r="Y8" s="342"/>
      <c r="Z8" s="342"/>
      <c r="AA8" s="342"/>
      <c r="AB8" s="342"/>
      <c r="AC8" s="342"/>
      <c r="AD8" s="342"/>
      <c r="AE8" s="342"/>
      <c r="AF8" s="342"/>
      <c r="AG8" s="342"/>
      <c r="AH8" s="342"/>
      <c r="AI8" s="342"/>
      <c r="AJ8" s="342"/>
      <c r="AK8" s="342"/>
      <c r="AL8" s="342"/>
      <c r="AM8" s="342"/>
      <c r="AN8" s="342"/>
      <c r="AO8" s="342"/>
      <c r="AP8" s="342"/>
      <c r="AQ8" s="342"/>
      <c r="AR8" s="342"/>
      <c r="AS8" s="342"/>
      <c r="AT8" s="342"/>
      <c r="AU8" s="342"/>
      <c r="AV8" s="342"/>
    </row>
    <row r="9" spans="1:48" x14ac:dyDescent="0.25">
      <c r="A9" s="348" t="str">
        <f>'1. паспорт местоположение'!A9:C9</f>
        <v>Акционерное общество "Западная энергетическая компания"</v>
      </c>
      <c r="B9" s="348"/>
      <c r="C9" s="348"/>
      <c r="D9" s="348"/>
      <c r="E9" s="348"/>
      <c r="F9" s="348"/>
      <c r="G9" s="348"/>
      <c r="H9" s="348"/>
      <c r="I9" s="348"/>
      <c r="J9" s="348"/>
      <c r="K9" s="348"/>
      <c r="L9" s="348"/>
      <c r="M9" s="348"/>
      <c r="N9" s="348"/>
      <c r="O9" s="348"/>
      <c r="P9" s="348"/>
      <c r="Q9" s="348"/>
      <c r="R9" s="348"/>
      <c r="S9" s="348"/>
      <c r="T9" s="348"/>
      <c r="U9" s="348"/>
      <c r="V9" s="348"/>
      <c r="W9" s="348"/>
      <c r="X9" s="348"/>
      <c r="Y9" s="348"/>
      <c r="Z9" s="348"/>
      <c r="AA9" s="348"/>
      <c r="AB9" s="348"/>
      <c r="AC9" s="348"/>
      <c r="AD9" s="348"/>
      <c r="AE9" s="348"/>
      <c r="AF9" s="348"/>
      <c r="AG9" s="348"/>
      <c r="AH9" s="348"/>
      <c r="AI9" s="348"/>
      <c r="AJ9" s="348"/>
      <c r="AK9" s="348"/>
      <c r="AL9" s="348"/>
      <c r="AM9" s="348"/>
      <c r="AN9" s="348"/>
      <c r="AO9" s="348"/>
      <c r="AP9" s="348"/>
      <c r="AQ9" s="348"/>
      <c r="AR9" s="348"/>
      <c r="AS9" s="348"/>
      <c r="AT9" s="348"/>
      <c r="AU9" s="348"/>
      <c r="AV9" s="348"/>
    </row>
    <row r="10" spans="1:48" ht="15.75" x14ac:dyDescent="0.25">
      <c r="A10" s="339" t="s">
        <v>6</v>
      </c>
      <c r="B10" s="339"/>
      <c r="C10" s="339"/>
      <c r="D10" s="339"/>
      <c r="E10" s="339"/>
      <c r="F10" s="339"/>
      <c r="G10" s="339"/>
      <c r="H10" s="339"/>
      <c r="I10" s="339"/>
      <c r="J10" s="339"/>
      <c r="K10" s="339"/>
      <c r="L10" s="339"/>
      <c r="M10" s="339"/>
      <c r="N10" s="339"/>
      <c r="O10" s="339"/>
      <c r="P10" s="339"/>
      <c r="Q10" s="339"/>
      <c r="R10" s="339"/>
      <c r="S10" s="339"/>
      <c r="T10" s="339"/>
      <c r="U10" s="339"/>
      <c r="V10" s="339"/>
      <c r="W10" s="339"/>
      <c r="X10" s="339"/>
      <c r="Y10" s="339"/>
      <c r="Z10" s="339"/>
      <c r="AA10" s="339"/>
      <c r="AB10" s="339"/>
      <c r="AC10" s="339"/>
      <c r="AD10" s="339"/>
      <c r="AE10" s="339"/>
      <c r="AF10" s="339"/>
      <c r="AG10" s="339"/>
      <c r="AH10" s="339"/>
      <c r="AI10" s="339"/>
      <c r="AJ10" s="339"/>
      <c r="AK10" s="339"/>
      <c r="AL10" s="339"/>
      <c r="AM10" s="339"/>
      <c r="AN10" s="339"/>
      <c r="AO10" s="339"/>
      <c r="AP10" s="339"/>
      <c r="AQ10" s="339"/>
      <c r="AR10" s="339"/>
      <c r="AS10" s="339"/>
      <c r="AT10" s="339"/>
      <c r="AU10" s="339"/>
      <c r="AV10" s="339"/>
    </row>
    <row r="11" spans="1:48" ht="18.75" x14ac:dyDescent="0.25">
      <c r="A11" s="342"/>
      <c r="B11" s="342"/>
      <c r="C11" s="342"/>
      <c r="D11" s="342"/>
      <c r="E11" s="342"/>
      <c r="F11" s="342"/>
      <c r="G11" s="342"/>
      <c r="H11" s="342"/>
      <c r="I11" s="342"/>
      <c r="J11" s="342"/>
      <c r="K11" s="342"/>
      <c r="L11" s="342"/>
      <c r="M11" s="342"/>
      <c r="N11" s="342"/>
      <c r="O11" s="342"/>
      <c r="P11" s="342"/>
      <c r="Q11" s="342"/>
      <c r="R11" s="342"/>
      <c r="S11" s="342"/>
      <c r="T11" s="342"/>
      <c r="U11" s="342"/>
      <c r="V11" s="342"/>
      <c r="W11" s="342"/>
      <c r="X11" s="342"/>
      <c r="Y11" s="342"/>
      <c r="Z11" s="342"/>
      <c r="AA11" s="342"/>
      <c r="AB11" s="342"/>
      <c r="AC11" s="342"/>
      <c r="AD11" s="342"/>
      <c r="AE11" s="342"/>
      <c r="AF11" s="342"/>
      <c r="AG11" s="342"/>
      <c r="AH11" s="342"/>
      <c r="AI11" s="342"/>
      <c r="AJ11" s="342"/>
      <c r="AK11" s="342"/>
      <c r="AL11" s="342"/>
      <c r="AM11" s="342"/>
      <c r="AN11" s="342"/>
      <c r="AO11" s="342"/>
      <c r="AP11" s="342"/>
      <c r="AQ11" s="342"/>
      <c r="AR11" s="342"/>
      <c r="AS11" s="342"/>
      <c r="AT11" s="342"/>
      <c r="AU11" s="342"/>
      <c r="AV11" s="342"/>
    </row>
    <row r="12" spans="1:48" x14ac:dyDescent="0.25">
      <c r="A12" s="348" t="str">
        <f>'1. паспорт местоположение'!A12:C12</f>
        <v>M 22-06</v>
      </c>
      <c r="B12" s="348"/>
      <c r="C12" s="348"/>
      <c r="D12" s="348"/>
      <c r="E12" s="348"/>
      <c r="F12" s="348"/>
      <c r="G12" s="348"/>
      <c r="H12" s="348"/>
      <c r="I12" s="348"/>
      <c r="J12" s="348"/>
      <c r="K12" s="348"/>
      <c r="L12" s="348"/>
      <c r="M12" s="348"/>
      <c r="N12" s="348"/>
      <c r="O12" s="348"/>
      <c r="P12" s="348"/>
      <c r="Q12" s="348"/>
      <c r="R12" s="348"/>
      <c r="S12" s="348"/>
      <c r="T12" s="348"/>
      <c r="U12" s="348"/>
      <c r="V12" s="348"/>
      <c r="W12" s="348"/>
      <c r="X12" s="348"/>
      <c r="Y12" s="348"/>
      <c r="Z12" s="348"/>
      <c r="AA12" s="348"/>
      <c r="AB12" s="348"/>
      <c r="AC12" s="348"/>
      <c r="AD12" s="348"/>
      <c r="AE12" s="348"/>
      <c r="AF12" s="348"/>
      <c r="AG12" s="348"/>
      <c r="AH12" s="348"/>
      <c r="AI12" s="348"/>
      <c r="AJ12" s="348"/>
      <c r="AK12" s="348"/>
      <c r="AL12" s="348"/>
      <c r="AM12" s="348"/>
      <c r="AN12" s="348"/>
      <c r="AO12" s="348"/>
      <c r="AP12" s="348"/>
      <c r="AQ12" s="348"/>
      <c r="AR12" s="348"/>
      <c r="AS12" s="348"/>
      <c r="AT12" s="348"/>
      <c r="AU12" s="348"/>
      <c r="AV12" s="348"/>
    </row>
    <row r="13" spans="1:48" ht="15.75" x14ac:dyDescent="0.25">
      <c r="A13" s="339" t="s">
        <v>5</v>
      </c>
      <c r="B13" s="339"/>
      <c r="C13" s="339"/>
      <c r="D13" s="339"/>
      <c r="E13" s="339"/>
      <c r="F13" s="339"/>
      <c r="G13" s="339"/>
      <c r="H13" s="339"/>
      <c r="I13" s="339"/>
      <c r="J13" s="339"/>
      <c r="K13" s="339"/>
      <c r="L13" s="339"/>
      <c r="M13" s="339"/>
      <c r="N13" s="339"/>
      <c r="O13" s="339"/>
      <c r="P13" s="339"/>
      <c r="Q13" s="339"/>
      <c r="R13" s="339"/>
      <c r="S13" s="339"/>
      <c r="T13" s="339"/>
      <c r="U13" s="339"/>
      <c r="V13" s="339"/>
      <c r="W13" s="339"/>
      <c r="X13" s="339"/>
      <c r="Y13" s="339"/>
      <c r="Z13" s="339"/>
      <c r="AA13" s="339"/>
      <c r="AB13" s="339"/>
      <c r="AC13" s="339"/>
      <c r="AD13" s="339"/>
      <c r="AE13" s="339"/>
      <c r="AF13" s="339"/>
      <c r="AG13" s="339"/>
      <c r="AH13" s="339"/>
      <c r="AI13" s="339"/>
      <c r="AJ13" s="339"/>
      <c r="AK13" s="339"/>
      <c r="AL13" s="339"/>
      <c r="AM13" s="339"/>
      <c r="AN13" s="339"/>
      <c r="AO13" s="339"/>
      <c r="AP13" s="339"/>
      <c r="AQ13" s="339"/>
      <c r="AR13" s="339"/>
      <c r="AS13" s="339"/>
      <c r="AT13" s="339"/>
      <c r="AU13" s="339"/>
      <c r="AV13" s="339"/>
    </row>
    <row r="14" spans="1:48" ht="18.75" x14ac:dyDescent="0.25">
      <c r="A14" s="346"/>
      <c r="B14" s="346"/>
      <c r="C14" s="346"/>
      <c r="D14" s="346"/>
      <c r="E14" s="346"/>
      <c r="F14" s="346"/>
      <c r="G14" s="346"/>
      <c r="H14" s="346"/>
      <c r="I14" s="346"/>
      <c r="J14" s="346"/>
      <c r="K14" s="346"/>
      <c r="L14" s="346"/>
      <c r="M14" s="346"/>
      <c r="N14" s="346"/>
      <c r="O14" s="346"/>
      <c r="P14" s="346"/>
      <c r="Q14" s="346"/>
      <c r="R14" s="346"/>
      <c r="S14" s="346"/>
      <c r="T14" s="346"/>
      <c r="U14" s="346"/>
      <c r="V14" s="346"/>
      <c r="W14" s="346"/>
      <c r="X14" s="346"/>
      <c r="Y14" s="346"/>
      <c r="Z14" s="346"/>
      <c r="AA14" s="346"/>
      <c r="AB14" s="346"/>
      <c r="AC14" s="346"/>
      <c r="AD14" s="346"/>
      <c r="AE14" s="346"/>
      <c r="AF14" s="346"/>
      <c r="AG14" s="346"/>
      <c r="AH14" s="346"/>
      <c r="AI14" s="346"/>
      <c r="AJ14" s="346"/>
      <c r="AK14" s="346"/>
      <c r="AL14" s="346"/>
      <c r="AM14" s="346"/>
      <c r="AN14" s="346"/>
      <c r="AO14" s="346"/>
      <c r="AP14" s="346"/>
      <c r="AQ14" s="346"/>
      <c r="AR14" s="346"/>
      <c r="AS14" s="346"/>
      <c r="AT14" s="346"/>
      <c r="AU14" s="346"/>
      <c r="AV14" s="346"/>
    </row>
    <row r="15" spans="1:48" ht="43.5" customHeight="1" x14ac:dyDescent="0.25">
      <c r="A15" s="345" t="str">
        <f>'1. паспорт местоположение'!A15</f>
        <v>Приобретение устройства испытательного  "Ретом-61" – 1 шт.</v>
      </c>
      <c r="B15" s="345"/>
      <c r="C15" s="345"/>
      <c r="D15" s="345"/>
      <c r="E15" s="345"/>
      <c r="F15" s="345"/>
      <c r="G15" s="345"/>
      <c r="H15" s="345"/>
      <c r="I15" s="345"/>
      <c r="J15" s="345"/>
      <c r="K15" s="345"/>
      <c r="L15" s="345"/>
      <c r="M15" s="345"/>
      <c r="N15" s="345"/>
      <c r="O15" s="345"/>
      <c r="P15" s="345"/>
      <c r="Q15" s="345"/>
      <c r="R15" s="345"/>
      <c r="S15" s="345"/>
      <c r="T15" s="345"/>
      <c r="U15" s="345"/>
      <c r="V15" s="345"/>
      <c r="W15" s="345"/>
      <c r="X15" s="345"/>
      <c r="Y15" s="345"/>
      <c r="Z15" s="345"/>
      <c r="AA15" s="345"/>
      <c r="AB15" s="345"/>
      <c r="AC15" s="345"/>
      <c r="AD15" s="345"/>
      <c r="AE15" s="345"/>
      <c r="AF15" s="345"/>
      <c r="AG15" s="345"/>
      <c r="AH15" s="345"/>
      <c r="AI15" s="345"/>
      <c r="AJ15" s="345"/>
      <c r="AK15" s="345"/>
      <c r="AL15" s="345"/>
      <c r="AM15" s="345"/>
      <c r="AN15" s="345"/>
      <c r="AO15" s="345"/>
      <c r="AP15" s="345"/>
      <c r="AQ15" s="345"/>
      <c r="AR15" s="345"/>
      <c r="AS15" s="345"/>
      <c r="AT15" s="345"/>
      <c r="AU15" s="345"/>
      <c r="AV15" s="345"/>
    </row>
    <row r="16" spans="1:48" ht="15.75" x14ac:dyDescent="0.25">
      <c r="A16" s="339" t="s">
        <v>4</v>
      </c>
      <c r="B16" s="339"/>
      <c r="C16" s="339"/>
      <c r="D16" s="339"/>
      <c r="E16" s="339"/>
      <c r="F16" s="339"/>
      <c r="G16" s="339"/>
      <c r="H16" s="339"/>
      <c r="I16" s="339"/>
      <c r="J16" s="339"/>
      <c r="K16" s="339"/>
      <c r="L16" s="339"/>
      <c r="M16" s="339"/>
      <c r="N16" s="339"/>
      <c r="O16" s="339"/>
      <c r="P16" s="339"/>
      <c r="Q16" s="339"/>
      <c r="R16" s="339"/>
      <c r="S16" s="339"/>
      <c r="T16" s="339"/>
      <c r="U16" s="339"/>
      <c r="V16" s="339"/>
      <c r="W16" s="339"/>
      <c r="X16" s="339"/>
      <c r="Y16" s="339"/>
      <c r="Z16" s="339"/>
      <c r="AA16" s="339"/>
      <c r="AB16" s="339"/>
      <c r="AC16" s="339"/>
      <c r="AD16" s="339"/>
      <c r="AE16" s="339"/>
      <c r="AF16" s="339"/>
      <c r="AG16" s="339"/>
      <c r="AH16" s="339"/>
      <c r="AI16" s="339"/>
      <c r="AJ16" s="339"/>
      <c r="AK16" s="339"/>
      <c r="AL16" s="339"/>
      <c r="AM16" s="339"/>
      <c r="AN16" s="339"/>
      <c r="AO16" s="339"/>
      <c r="AP16" s="339"/>
      <c r="AQ16" s="339"/>
      <c r="AR16" s="339"/>
      <c r="AS16" s="339"/>
      <c r="AT16" s="339"/>
      <c r="AU16" s="339"/>
      <c r="AV16" s="339"/>
    </row>
    <row r="17" spans="1:48" x14ac:dyDescent="0.25">
      <c r="A17" s="368"/>
      <c r="B17" s="368"/>
      <c r="C17" s="368"/>
      <c r="D17" s="368"/>
      <c r="E17" s="368"/>
      <c r="F17" s="368"/>
      <c r="G17" s="368"/>
      <c r="H17" s="368"/>
      <c r="I17" s="368"/>
      <c r="J17" s="368"/>
      <c r="K17" s="368"/>
      <c r="L17" s="368"/>
      <c r="M17" s="368"/>
      <c r="N17" s="368"/>
      <c r="O17" s="368"/>
      <c r="P17" s="368"/>
      <c r="Q17" s="368"/>
      <c r="R17" s="368"/>
      <c r="S17" s="368"/>
      <c r="T17" s="368"/>
      <c r="U17" s="368"/>
      <c r="V17" s="368"/>
      <c r="W17" s="368"/>
      <c r="X17" s="368"/>
      <c r="Y17" s="368"/>
      <c r="Z17" s="368"/>
      <c r="AA17" s="368"/>
      <c r="AB17" s="368"/>
      <c r="AC17" s="368"/>
      <c r="AD17" s="368"/>
      <c r="AE17" s="368"/>
      <c r="AF17" s="368"/>
      <c r="AG17" s="368"/>
      <c r="AH17" s="368"/>
      <c r="AI17" s="368"/>
      <c r="AJ17" s="368"/>
      <c r="AK17" s="368"/>
      <c r="AL17" s="368"/>
      <c r="AM17" s="368"/>
      <c r="AN17" s="368"/>
      <c r="AO17" s="368"/>
      <c r="AP17" s="368"/>
      <c r="AQ17" s="368"/>
      <c r="AR17" s="368"/>
      <c r="AS17" s="368"/>
      <c r="AT17" s="368"/>
      <c r="AU17" s="368"/>
      <c r="AV17" s="368"/>
    </row>
    <row r="18" spans="1:48" ht="14.25" customHeight="1" x14ac:dyDescent="0.25">
      <c r="A18" s="368"/>
      <c r="B18" s="368"/>
      <c r="C18" s="368"/>
      <c r="D18" s="368"/>
      <c r="E18" s="368"/>
      <c r="F18" s="368"/>
      <c r="G18" s="368"/>
      <c r="H18" s="368"/>
      <c r="I18" s="368"/>
      <c r="J18" s="368"/>
      <c r="K18" s="368"/>
      <c r="L18" s="368"/>
      <c r="M18" s="368"/>
      <c r="N18" s="368"/>
      <c r="O18" s="368"/>
      <c r="P18" s="368"/>
      <c r="Q18" s="368"/>
      <c r="R18" s="368"/>
      <c r="S18" s="368"/>
      <c r="T18" s="368"/>
      <c r="U18" s="368"/>
      <c r="V18" s="368"/>
      <c r="W18" s="368"/>
      <c r="X18" s="368"/>
      <c r="Y18" s="368"/>
      <c r="Z18" s="368"/>
      <c r="AA18" s="368"/>
      <c r="AB18" s="368"/>
      <c r="AC18" s="368"/>
      <c r="AD18" s="368"/>
      <c r="AE18" s="368"/>
      <c r="AF18" s="368"/>
      <c r="AG18" s="368"/>
      <c r="AH18" s="368"/>
      <c r="AI18" s="368"/>
      <c r="AJ18" s="368"/>
      <c r="AK18" s="368"/>
      <c r="AL18" s="368"/>
      <c r="AM18" s="368"/>
      <c r="AN18" s="368"/>
      <c r="AO18" s="368"/>
      <c r="AP18" s="368"/>
      <c r="AQ18" s="368"/>
      <c r="AR18" s="368"/>
      <c r="AS18" s="368"/>
      <c r="AT18" s="368"/>
      <c r="AU18" s="368"/>
      <c r="AV18" s="368"/>
    </row>
    <row r="19" spans="1:48" x14ac:dyDescent="0.25">
      <c r="A19" s="368"/>
      <c r="B19" s="368"/>
      <c r="C19" s="368"/>
      <c r="D19" s="368"/>
      <c r="E19" s="368"/>
      <c r="F19" s="368"/>
      <c r="G19" s="368"/>
      <c r="H19" s="368"/>
      <c r="I19" s="368"/>
      <c r="J19" s="368"/>
      <c r="K19" s="368"/>
      <c r="L19" s="368"/>
      <c r="M19" s="368"/>
      <c r="N19" s="368"/>
      <c r="O19" s="368"/>
      <c r="P19" s="368"/>
      <c r="Q19" s="368"/>
      <c r="R19" s="368"/>
      <c r="S19" s="368"/>
      <c r="T19" s="368"/>
      <c r="U19" s="368"/>
      <c r="V19" s="368"/>
      <c r="W19" s="368"/>
      <c r="X19" s="368"/>
      <c r="Y19" s="368"/>
      <c r="Z19" s="368"/>
      <c r="AA19" s="368"/>
      <c r="AB19" s="368"/>
      <c r="AC19" s="368"/>
      <c r="AD19" s="368"/>
      <c r="AE19" s="368"/>
      <c r="AF19" s="368"/>
      <c r="AG19" s="368"/>
      <c r="AH19" s="368"/>
      <c r="AI19" s="368"/>
      <c r="AJ19" s="368"/>
      <c r="AK19" s="368"/>
      <c r="AL19" s="368"/>
      <c r="AM19" s="368"/>
      <c r="AN19" s="368"/>
      <c r="AO19" s="368"/>
      <c r="AP19" s="368"/>
      <c r="AQ19" s="368"/>
      <c r="AR19" s="368"/>
      <c r="AS19" s="368"/>
      <c r="AT19" s="368"/>
      <c r="AU19" s="368"/>
      <c r="AV19" s="368"/>
    </row>
    <row r="20" spans="1:48" x14ac:dyDescent="0.25">
      <c r="A20" s="368"/>
      <c r="B20" s="368"/>
      <c r="C20" s="368"/>
      <c r="D20" s="368"/>
      <c r="E20" s="368"/>
      <c r="F20" s="368"/>
      <c r="G20" s="368"/>
      <c r="H20" s="368"/>
      <c r="I20" s="368"/>
      <c r="J20" s="368"/>
      <c r="K20" s="368"/>
      <c r="L20" s="368"/>
      <c r="M20" s="368"/>
      <c r="N20" s="368"/>
      <c r="O20" s="368"/>
      <c r="P20" s="368"/>
      <c r="Q20" s="368"/>
      <c r="R20" s="368"/>
      <c r="S20" s="368"/>
      <c r="T20" s="368"/>
      <c r="U20" s="368"/>
      <c r="V20" s="368"/>
      <c r="W20" s="368"/>
      <c r="X20" s="368"/>
      <c r="Y20" s="368"/>
      <c r="Z20" s="368"/>
      <c r="AA20" s="368"/>
      <c r="AB20" s="368"/>
      <c r="AC20" s="368"/>
      <c r="AD20" s="368"/>
      <c r="AE20" s="368"/>
      <c r="AF20" s="368"/>
      <c r="AG20" s="368"/>
      <c r="AH20" s="368"/>
      <c r="AI20" s="368"/>
      <c r="AJ20" s="368"/>
      <c r="AK20" s="368"/>
      <c r="AL20" s="368"/>
      <c r="AM20" s="368"/>
      <c r="AN20" s="368"/>
      <c r="AO20" s="368"/>
      <c r="AP20" s="368"/>
      <c r="AQ20" s="368"/>
      <c r="AR20" s="368"/>
      <c r="AS20" s="368"/>
      <c r="AT20" s="368"/>
      <c r="AU20" s="368"/>
      <c r="AV20" s="368"/>
    </row>
    <row r="21" spans="1:48" x14ac:dyDescent="0.25">
      <c r="A21" s="414" t="s">
        <v>492</v>
      </c>
      <c r="B21" s="414"/>
      <c r="C21" s="414"/>
      <c r="D21" s="414"/>
      <c r="E21" s="414"/>
      <c r="F21" s="414"/>
      <c r="G21" s="414"/>
      <c r="H21" s="414"/>
      <c r="I21" s="414"/>
      <c r="J21" s="414"/>
      <c r="K21" s="414"/>
      <c r="L21" s="414"/>
      <c r="M21" s="414"/>
      <c r="N21" s="414"/>
      <c r="O21" s="414"/>
      <c r="P21" s="414"/>
      <c r="Q21" s="414"/>
      <c r="R21" s="414"/>
      <c r="S21" s="414"/>
      <c r="T21" s="414"/>
      <c r="U21" s="414"/>
      <c r="V21" s="414"/>
      <c r="W21" s="414"/>
      <c r="X21" s="414"/>
      <c r="Y21" s="414"/>
      <c r="Z21" s="414"/>
      <c r="AA21" s="414"/>
      <c r="AB21" s="414"/>
      <c r="AC21" s="414"/>
      <c r="AD21" s="414"/>
      <c r="AE21" s="414"/>
      <c r="AF21" s="414"/>
      <c r="AG21" s="414"/>
      <c r="AH21" s="414"/>
      <c r="AI21" s="414"/>
      <c r="AJ21" s="414"/>
      <c r="AK21" s="414"/>
      <c r="AL21" s="414"/>
      <c r="AM21" s="414"/>
      <c r="AN21" s="414"/>
      <c r="AO21" s="414"/>
      <c r="AP21" s="414"/>
      <c r="AQ21" s="414"/>
      <c r="AR21" s="414"/>
      <c r="AS21" s="414"/>
      <c r="AT21" s="414"/>
      <c r="AU21" s="414"/>
      <c r="AV21" s="414"/>
    </row>
    <row r="22" spans="1:48" ht="58.5" customHeight="1" x14ac:dyDescent="0.25">
      <c r="A22" s="415" t="s">
        <v>50</v>
      </c>
      <c r="B22" s="418" t="s">
        <v>22</v>
      </c>
      <c r="C22" s="415" t="s">
        <v>49</v>
      </c>
      <c r="D22" s="415" t="s">
        <v>48</v>
      </c>
      <c r="E22" s="421" t="s">
        <v>503</v>
      </c>
      <c r="F22" s="422"/>
      <c r="G22" s="422"/>
      <c r="H22" s="422"/>
      <c r="I22" s="422"/>
      <c r="J22" s="422"/>
      <c r="K22" s="422"/>
      <c r="L22" s="423"/>
      <c r="M22" s="415" t="s">
        <v>47</v>
      </c>
      <c r="N22" s="415" t="s">
        <v>46</v>
      </c>
      <c r="O22" s="415" t="s">
        <v>45</v>
      </c>
      <c r="P22" s="424" t="s">
        <v>253</v>
      </c>
      <c r="Q22" s="424" t="s">
        <v>44</v>
      </c>
      <c r="R22" s="424" t="s">
        <v>43</v>
      </c>
      <c r="S22" s="424" t="s">
        <v>42</v>
      </c>
      <c r="T22" s="424"/>
      <c r="U22" s="425" t="s">
        <v>41</v>
      </c>
      <c r="V22" s="425" t="s">
        <v>40</v>
      </c>
      <c r="W22" s="424" t="s">
        <v>39</v>
      </c>
      <c r="X22" s="424" t="s">
        <v>38</v>
      </c>
      <c r="Y22" s="424" t="s">
        <v>37</v>
      </c>
      <c r="Z22" s="438" t="s">
        <v>36</v>
      </c>
      <c r="AA22" s="424" t="s">
        <v>35</v>
      </c>
      <c r="AB22" s="424" t="s">
        <v>34</v>
      </c>
      <c r="AC22" s="424" t="s">
        <v>33</v>
      </c>
      <c r="AD22" s="424" t="s">
        <v>32</v>
      </c>
      <c r="AE22" s="424" t="s">
        <v>31</v>
      </c>
      <c r="AF22" s="424" t="s">
        <v>30</v>
      </c>
      <c r="AG22" s="424"/>
      <c r="AH22" s="424"/>
      <c r="AI22" s="424"/>
      <c r="AJ22" s="424"/>
      <c r="AK22" s="424"/>
      <c r="AL22" s="424" t="s">
        <v>29</v>
      </c>
      <c r="AM22" s="424"/>
      <c r="AN22" s="424"/>
      <c r="AO22" s="424"/>
      <c r="AP22" s="424" t="s">
        <v>28</v>
      </c>
      <c r="AQ22" s="424"/>
      <c r="AR22" s="424" t="s">
        <v>27</v>
      </c>
      <c r="AS22" s="424" t="s">
        <v>26</v>
      </c>
      <c r="AT22" s="424" t="s">
        <v>25</v>
      </c>
      <c r="AU22" s="424" t="s">
        <v>24</v>
      </c>
      <c r="AV22" s="428" t="s">
        <v>23</v>
      </c>
    </row>
    <row r="23" spans="1:48" ht="64.5" customHeight="1" x14ac:dyDescent="0.25">
      <c r="A23" s="416"/>
      <c r="B23" s="419"/>
      <c r="C23" s="416"/>
      <c r="D23" s="416"/>
      <c r="E23" s="430" t="s">
        <v>21</v>
      </c>
      <c r="F23" s="432" t="s">
        <v>125</v>
      </c>
      <c r="G23" s="432" t="s">
        <v>124</v>
      </c>
      <c r="H23" s="432" t="s">
        <v>123</v>
      </c>
      <c r="I23" s="436" t="s">
        <v>413</v>
      </c>
      <c r="J23" s="436" t="s">
        <v>414</v>
      </c>
      <c r="K23" s="436" t="s">
        <v>415</v>
      </c>
      <c r="L23" s="432" t="s">
        <v>536</v>
      </c>
      <c r="M23" s="416"/>
      <c r="N23" s="416"/>
      <c r="O23" s="416"/>
      <c r="P23" s="424"/>
      <c r="Q23" s="424"/>
      <c r="R23" s="424"/>
      <c r="S23" s="434" t="s">
        <v>2</v>
      </c>
      <c r="T23" s="434" t="s">
        <v>9</v>
      </c>
      <c r="U23" s="425"/>
      <c r="V23" s="425"/>
      <c r="W23" s="424"/>
      <c r="X23" s="424"/>
      <c r="Y23" s="424"/>
      <c r="Z23" s="424"/>
      <c r="AA23" s="424"/>
      <c r="AB23" s="424"/>
      <c r="AC23" s="424"/>
      <c r="AD23" s="424"/>
      <c r="AE23" s="424"/>
      <c r="AF23" s="424" t="s">
        <v>20</v>
      </c>
      <c r="AG23" s="424"/>
      <c r="AH23" s="424" t="s">
        <v>19</v>
      </c>
      <c r="AI23" s="424"/>
      <c r="AJ23" s="415" t="s">
        <v>18</v>
      </c>
      <c r="AK23" s="415" t="s">
        <v>17</v>
      </c>
      <c r="AL23" s="415" t="s">
        <v>16</v>
      </c>
      <c r="AM23" s="415" t="s">
        <v>15</v>
      </c>
      <c r="AN23" s="415" t="s">
        <v>14</v>
      </c>
      <c r="AO23" s="415" t="s">
        <v>13</v>
      </c>
      <c r="AP23" s="415" t="s">
        <v>12</v>
      </c>
      <c r="AQ23" s="426" t="s">
        <v>9</v>
      </c>
      <c r="AR23" s="424"/>
      <c r="AS23" s="424"/>
      <c r="AT23" s="424"/>
      <c r="AU23" s="424"/>
      <c r="AV23" s="429"/>
    </row>
    <row r="24" spans="1:48" ht="96.75" customHeight="1" x14ac:dyDescent="0.25">
      <c r="A24" s="417"/>
      <c r="B24" s="420"/>
      <c r="C24" s="417"/>
      <c r="D24" s="417"/>
      <c r="E24" s="431"/>
      <c r="F24" s="433"/>
      <c r="G24" s="433"/>
      <c r="H24" s="433"/>
      <c r="I24" s="437"/>
      <c r="J24" s="437"/>
      <c r="K24" s="437"/>
      <c r="L24" s="433"/>
      <c r="M24" s="417"/>
      <c r="N24" s="417"/>
      <c r="O24" s="417"/>
      <c r="P24" s="424"/>
      <c r="Q24" s="424"/>
      <c r="R24" s="424"/>
      <c r="S24" s="435"/>
      <c r="T24" s="435"/>
      <c r="U24" s="425"/>
      <c r="V24" s="425"/>
      <c r="W24" s="424"/>
      <c r="X24" s="424"/>
      <c r="Y24" s="424"/>
      <c r="Z24" s="424"/>
      <c r="AA24" s="424"/>
      <c r="AB24" s="424"/>
      <c r="AC24" s="424"/>
      <c r="AD24" s="424"/>
      <c r="AE24" s="424"/>
      <c r="AF24" s="112" t="s">
        <v>11</v>
      </c>
      <c r="AG24" s="112" t="s">
        <v>10</v>
      </c>
      <c r="AH24" s="113" t="s">
        <v>2</v>
      </c>
      <c r="AI24" s="113" t="s">
        <v>9</v>
      </c>
      <c r="AJ24" s="417"/>
      <c r="AK24" s="417"/>
      <c r="AL24" s="417"/>
      <c r="AM24" s="417"/>
      <c r="AN24" s="417"/>
      <c r="AO24" s="417"/>
      <c r="AP24" s="417"/>
      <c r="AQ24" s="427"/>
      <c r="AR24" s="424"/>
      <c r="AS24" s="424"/>
      <c r="AT24" s="424"/>
      <c r="AU24" s="424"/>
      <c r="AV24" s="429"/>
    </row>
    <row r="25" spans="1:48" s="16"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6" customFormat="1" ht="12.75" x14ac:dyDescent="0.2">
      <c r="A26" s="127">
        <v>1</v>
      </c>
      <c r="B26" s="128" t="s">
        <v>513</v>
      </c>
      <c r="C26" s="17"/>
      <c r="D26" s="130">
        <f>'6.1. Паспорт сетевой график'!D53</f>
        <v>45322</v>
      </c>
      <c r="E26" s="19"/>
      <c r="F26" s="19"/>
      <c r="G26" s="19"/>
      <c r="H26" s="19"/>
      <c r="I26" s="19"/>
      <c r="J26" s="19"/>
      <c r="K26" s="19"/>
      <c r="L26" s="19"/>
      <c r="M26" s="17"/>
      <c r="N26" s="137"/>
      <c r="O26" s="139"/>
      <c r="P26" s="20"/>
      <c r="Q26" s="139"/>
      <c r="R26" s="20"/>
      <c r="S26" s="139"/>
      <c r="T26" s="139"/>
      <c r="U26" s="138"/>
      <c r="V26" s="138"/>
      <c r="W26" s="137"/>
      <c r="X26" s="20"/>
      <c r="Y26" s="17"/>
      <c r="Z26" s="18"/>
      <c r="AA26" s="20"/>
      <c r="AB26" s="20"/>
      <c r="AC26" s="137"/>
      <c r="AD26" s="20"/>
      <c r="AE26" s="20"/>
      <c r="AF26" s="19"/>
      <c r="AG26" s="17"/>
      <c r="AH26" s="18"/>
      <c r="AI26" s="134"/>
      <c r="AJ26" s="134"/>
      <c r="AK26" s="134"/>
      <c r="AL26" s="134"/>
      <c r="AM26" s="134"/>
      <c r="AN26" s="134"/>
      <c r="AO26" s="134"/>
      <c r="AP26" s="134"/>
      <c r="AQ26" s="134"/>
      <c r="AR26" s="134"/>
      <c r="AS26" s="134"/>
      <c r="AT26" s="134"/>
      <c r="AU26" s="134"/>
      <c r="AV26" s="134"/>
    </row>
    <row r="27" spans="1:48" s="16" customFormat="1" ht="12.75" x14ac:dyDescent="0.2">
      <c r="A27" s="140"/>
      <c r="B27" s="141"/>
      <c r="C27" s="142"/>
      <c r="D27" s="143"/>
      <c r="E27" s="144"/>
      <c r="F27" s="144"/>
      <c r="G27" s="144"/>
      <c r="H27" s="144"/>
      <c r="I27" s="144"/>
      <c r="J27" s="144"/>
      <c r="K27" s="144"/>
      <c r="L27" s="144"/>
      <c r="M27" s="142"/>
      <c r="N27" s="142"/>
      <c r="O27" s="142"/>
      <c r="P27" s="145"/>
      <c r="Q27" s="142"/>
      <c r="R27" s="145"/>
      <c r="S27" s="142"/>
      <c r="T27" s="142"/>
      <c r="U27" s="144"/>
      <c r="V27" s="144"/>
      <c r="W27" s="139"/>
      <c r="X27" s="145"/>
      <c r="Y27" s="142"/>
      <c r="Z27" s="146"/>
      <c r="AA27" s="145"/>
      <c r="AB27" s="145"/>
      <c r="AC27" s="145"/>
      <c r="AD27" s="145"/>
      <c r="AE27" s="145"/>
      <c r="AF27" s="144"/>
      <c r="AG27" s="142"/>
      <c r="AH27" s="146"/>
      <c r="AI27" s="147"/>
      <c r="AJ27" s="147"/>
      <c r="AK27" s="147"/>
      <c r="AL27" s="147"/>
      <c r="AM27" s="147"/>
      <c r="AN27" s="147"/>
      <c r="AO27" s="147"/>
      <c r="AP27" s="147"/>
      <c r="AQ27" s="147"/>
      <c r="AR27" s="147"/>
      <c r="AS27" s="147"/>
      <c r="AT27" s="147"/>
      <c r="AU27" s="147"/>
      <c r="AV27" s="14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zoomScale="90" zoomScaleNormal="90" zoomScaleSheetLayoutView="90" workbookViewId="0">
      <selection activeCell="B21" sqref="B21"/>
    </sheetView>
  </sheetViews>
  <sheetFormatPr defaultRowHeight="15.75" x14ac:dyDescent="0.25"/>
  <cols>
    <col min="1" max="1" width="66.140625" style="90" customWidth="1"/>
    <col min="2" max="2" width="40.85546875" style="90" customWidth="1"/>
    <col min="3" max="3" width="0" style="45" hidden="1" customWidth="1"/>
    <col min="4" max="256" width="9.140625" style="45"/>
    <col min="257" max="258" width="66.140625" style="45" customWidth="1"/>
    <col min="259" max="512" width="9.140625" style="45"/>
    <col min="513" max="514" width="66.140625" style="45" customWidth="1"/>
    <col min="515" max="768" width="9.140625" style="45"/>
    <col min="769" max="770" width="66.140625" style="45" customWidth="1"/>
    <col min="771" max="1024" width="9.140625" style="45"/>
    <col min="1025" max="1026" width="66.140625" style="45" customWidth="1"/>
    <col min="1027" max="1280" width="9.140625" style="45"/>
    <col min="1281" max="1282" width="66.140625" style="45" customWidth="1"/>
    <col min="1283" max="1536" width="9.140625" style="45"/>
    <col min="1537" max="1538" width="66.140625" style="45" customWidth="1"/>
    <col min="1539" max="1792" width="9.140625" style="45"/>
    <col min="1793" max="1794" width="66.140625" style="45" customWidth="1"/>
    <col min="1795" max="2048" width="9.140625" style="45"/>
    <col min="2049" max="2050" width="66.140625" style="45" customWidth="1"/>
    <col min="2051" max="2304" width="9.140625" style="45"/>
    <col min="2305" max="2306" width="66.140625" style="45" customWidth="1"/>
    <col min="2307" max="2560" width="9.140625" style="45"/>
    <col min="2561" max="2562" width="66.140625" style="45" customWidth="1"/>
    <col min="2563" max="2816" width="9.140625" style="45"/>
    <col min="2817" max="2818" width="66.140625" style="45" customWidth="1"/>
    <col min="2819" max="3072" width="9.140625" style="45"/>
    <col min="3073" max="3074" width="66.140625" style="45" customWidth="1"/>
    <col min="3075" max="3328" width="9.140625" style="45"/>
    <col min="3329" max="3330" width="66.140625" style="45" customWidth="1"/>
    <col min="3331" max="3584" width="9.140625" style="45"/>
    <col min="3585" max="3586" width="66.140625" style="45" customWidth="1"/>
    <col min="3587" max="3840" width="9.140625" style="45"/>
    <col min="3841" max="3842" width="66.140625" style="45" customWidth="1"/>
    <col min="3843" max="4096" width="9.140625" style="45"/>
    <col min="4097" max="4098" width="66.140625" style="45" customWidth="1"/>
    <col min="4099" max="4352" width="9.140625" style="45"/>
    <col min="4353" max="4354" width="66.140625" style="45" customWidth="1"/>
    <col min="4355" max="4608" width="9.140625" style="45"/>
    <col min="4609" max="4610" width="66.140625" style="45" customWidth="1"/>
    <col min="4611" max="4864" width="9.140625" style="45"/>
    <col min="4865" max="4866" width="66.140625" style="45" customWidth="1"/>
    <col min="4867" max="5120" width="9.140625" style="45"/>
    <col min="5121" max="5122" width="66.140625" style="45" customWidth="1"/>
    <col min="5123" max="5376" width="9.140625" style="45"/>
    <col min="5377" max="5378" width="66.140625" style="45" customWidth="1"/>
    <col min="5379" max="5632" width="9.140625" style="45"/>
    <col min="5633" max="5634" width="66.140625" style="45" customWidth="1"/>
    <col min="5635" max="5888" width="9.140625" style="45"/>
    <col min="5889" max="5890" width="66.140625" style="45" customWidth="1"/>
    <col min="5891" max="6144" width="9.140625" style="45"/>
    <col min="6145" max="6146" width="66.140625" style="45" customWidth="1"/>
    <col min="6147" max="6400" width="9.140625" style="45"/>
    <col min="6401" max="6402" width="66.140625" style="45" customWidth="1"/>
    <col min="6403" max="6656" width="9.140625" style="45"/>
    <col min="6657" max="6658" width="66.140625" style="45" customWidth="1"/>
    <col min="6659" max="6912" width="9.140625" style="45"/>
    <col min="6913" max="6914" width="66.140625" style="45" customWidth="1"/>
    <col min="6915" max="7168" width="9.140625" style="45"/>
    <col min="7169" max="7170" width="66.140625" style="45" customWidth="1"/>
    <col min="7171" max="7424" width="9.140625" style="45"/>
    <col min="7425" max="7426" width="66.140625" style="45" customWidth="1"/>
    <col min="7427" max="7680" width="9.140625" style="45"/>
    <col min="7681" max="7682" width="66.140625" style="45" customWidth="1"/>
    <col min="7683" max="7936" width="9.140625" style="45"/>
    <col min="7937" max="7938" width="66.140625" style="45" customWidth="1"/>
    <col min="7939" max="8192" width="9.140625" style="45"/>
    <col min="8193" max="8194" width="66.140625" style="45" customWidth="1"/>
    <col min="8195" max="8448" width="9.140625" style="45"/>
    <col min="8449" max="8450" width="66.140625" style="45" customWidth="1"/>
    <col min="8451" max="8704" width="9.140625" style="45"/>
    <col min="8705" max="8706" width="66.140625" style="45" customWidth="1"/>
    <col min="8707" max="8960" width="9.140625" style="45"/>
    <col min="8961" max="8962" width="66.140625" style="45" customWidth="1"/>
    <col min="8963" max="9216" width="9.140625" style="45"/>
    <col min="9217" max="9218" width="66.140625" style="45" customWidth="1"/>
    <col min="9219" max="9472" width="9.140625" style="45"/>
    <col min="9473" max="9474" width="66.140625" style="45" customWidth="1"/>
    <col min="9475" max="9728" width="9.140625" style="45"/>
    <col min="9729" max="9730" width="66.140625" style="45" customWidth="1"/>
    <col min="9731" max="9984" width="9.140625" style="45"/>
    <col min="9985" max="9986" width="66.140625" style="45" customWidth="1"/>
    <col min="9987" max="10240" width="9.140625" style="45"/>
    <col min="10241" max="10242" width="66.140625" style="45" customWidth="1"/>
    <col min="10243" max="10496" width="9.140625" style="45"/>
    <col min="10497" max="10498" width="66.140625" style="45" customWidth="1"/>
    <col min="10499" max="10752" width="9.140625" style="45"/>
    <col min="10753" max="10754" width="66.140625" style="45" customWidth="1"/>
    <col min="10755" max="11008" width="9.140625" style="45"/>
    <col min="11009" max="11010" width="66.140625" style="45" customWidth="1"/>
    <col min="11011" max="11264" width="9.140625" style="45"/>
    <col min="11265" max="11266" width="66.140625" style="45" customWidth="1"/>
    <col min="11267" max="11520" width="9.140625" style="45"/>
    <col min="11521" max="11522" width="66.140625" style="45" customWidth="1"/>
    <col min="11523" max="11776" width="9.140625" style="45"/>
    <col min="11777" max="11778" width="66.140625" style="45" customWidth="1"/>
    <col min="11779" max="12032" width="9.140625" style="45"/>
    <col min="12033" max="12034" width="66.140625" style="45" customWidth="1"/>
    <col min="12035" max="12288" width="9.140625" style="45"/>
    <col min="12289" max="12290" width="66.140625" style="45" customWidth="1"/>
    <col min="12291" max="12544" width="9.140625" style="45"/>
    <col min="12545" max="12546" width="66.140625" style="45" customWidth="1"/>
    <col min="12547" max="12800" width="9.140625" style="45"/>
    <col min="12801" max="12802" width="66.140625" style="45" customWidth="1"/>
    <col min="12803" max="13056" width="9.140625" style="45"/>
    <col min="13057" max="13058" width="66.140625" style="45" customWidth="1"/>
    <col min="13059" max="13312" width="9.140625" style="45"/>
    <col min="13313" max="13314" width="66.140625" style="45" customWidth="1"/>
    <col min="13315" max="13568" width="9.140625" style="45"/>
    <col min="13569" max="13570" width="66.140625" style="45" customWidth="1"/>
    <col min="13571" max="13824" width="9.140625" style="45"/>
    <col min="13825" max="13826" width="66.140625" style="45" customWidth="1"/>
    <col min="13827" max="14080" width="9.140625" style="45"/>
    <col min="14081" max="14082" width="66.140625" style="45" customWidth="1"/>
    <col min="14083" max="14336" width="9.140625" style="45"/>
    <col min="14337" max="14338" width="66.140625" style="45" customWidth="1"/>
    <col min="14339" max="14592" width="9.140625" style="45"/>
    <col min="14593" max="14594" width="66.140625" style="45" customWidth="1"/>
    <col min="14595" max="14848" width="9.140625" style="45"/>
    <col min="14849" max="14850" width="66.140625" style="45" customWidth="1"/>
    <col min="14851" max="15104" width="9.140625" style="45"/>
    <col min="15105" max="15106" width="66.140625" style="45" customWidth="1"/>
    <col min="15107" max="15360" width="9.140625" style="45"/>
    <col min="15361" max="15362" width="66.140625" style="45" customWidth="1"/>
    <col min="15363" max="15616" width="9.140625" style="45"/>
    <col min="15617" max="15618" width="66.140625" style="45" customWidth="1"/>
    <col min="15619" max="15872" width="9.140625" style="45"/>
    <col min="15873" max="15874" width="66.140625" style="45" customWidth="1"/>
    <col min="15875" max="16128" width="9.140625" style="45"/>
    <col min="16129" max="16130" width="66.140625" style="45" customWidth="1"/>
    <col min="16131" max="16384" width="9.140625" style="45"/>
  </cols>
  <sheetData>
    <row r="1" spans="1:8" ht="18.75" x14ac:dyDescent="0.25">
      <c r="B1" s="28" t="s">
        <v>66</v>
      </c>
    </row>
    <row r="2" spans="1:8" ht="18.75" x14ac:dyDescent="0.3">
      <c r="B2" s="12" t="s">
        <v>8</v>
      </c>
    </row>
    <row r="3" spans="1:8" ht="18.75" x14ac:dyDescent="0.3">
      <c r="B3" s="12" t="s">
        <v>511</v>
      </c>
    </row>
    <row r="4" spans="1:8" x14ac:dyDescent="0.25">
      <c r="B4" s="31"/>
    </row>
    <row r="5" spans="1:8" ht="18.75" x14ac:dyDescent="0.3">
      <c r="A5" s="439" t="str">
        <f>'7. Паспорт отчет о закупке'!A5:AV5</f>
        <v>Год раскрытия информации: 2024 год</v>
      </c>
      <c r="B5" s="439"/>
      <c r="C5" s="56"/>
      <c r="D5" s="56"/>
      <c r="E5" s="56"/>
      <c r="F5" s="56"/>
      <c r="G5" s="56"/>
      <c r="H5" s="56"/>
    </row>
    <row r="6" spans="1:8" ht="18.75" x14ac:dyDescent="0.3">
      <c r="A6" s="152"/>
      <c r="B6" s="152"/>
      <c r="C6" s="152"/>
      <c r="D6" s="152"/>
      <c r="E6" s="152"/>
      <c r="F6" s="152"/>
      <c r="G6" s="152"/>
      <c r="H6" s="152"/>
    </row>
    <row r="7" spans="1:8" ht="18.75" x14ac:dyDescent="0.25">
      <c r="A7" s="342" t="s">
        <v>7</v>
      </c>
      <c r="B7" s="342"/>
      <c r="C7" s="10"/>
      <c r="D7" s="10"/>
      <c r="E7" s="10"/>
      <c r="F7" s="10"/>
      <c r="G7" s="10"/>
      <c r="H7" s="10"/>
    </row>
    <row r="8" spans="1:8" ht="18.75" x14ac:dyDescent="0.25">
      <c r="A8" s="10"/>
      <c r="B8" s="10"/>
      <c r="C8" s="10"/>
      <c r="D8" s="10"/>
      <c r="E8" s="10"/>
      <c r="F8" s="10"/>
      <c r="G8" s="10"/>
      <c r="H8" s="10"/>
    </row>
    <row r="9" spans="1:8" x14ac:dyDescent="0.25">
      <c r="A9" s="348" t="str">
        <f>'7. Паспорт отчет о закупке'!A9:AV9</f>
        <v>Акционерное общество "Западная энергетическая компания"</v>
      </c>
      <c r="B9" s="348"/>
      <c r="C9" s="7"/>
      <c r="D9" s="7"/>
      <c r="E9" s="7"/>
      <c r="F9" s="7"/>
      <c r="G9" s="7"/>
      <c r="H9" s="7"/>
    </row>
    <row r="10" spans="1:8" x14ac:dyDescent="0.25">
      <c r="A10" s="339" t="s">
        <v>6</v>
      </c>
      <c r="B10" s="339"/>
      <c r="C10" s="5"/>
      <c r="D10" s="5"/>
      <c r="E10" s="5"/>
      <c r="F10" s="5"/>
      <c r="G10" s="5"/>
      <c r="H10" s="5"/>
    </row>
    <row r="11" spans="1:8" ht="18.75" x14ac:dyDescent="0.25">
      <c r="A11" s="10"/>
      <c r="B11" s="10"/>
      <c r="C11" s="10"/>
      <c r="D11" s="10"/>
      <c r="E11" s="10"/>
      <c r="F11" s="10"/>
      <c r="G11" s="10"/>
      <c r="H11" s="10"/>
    </row>
    <row r="12" spans="1:8" x14ac:dyDescent="0.25">
      <c r="A12" s="348" t="str">
        <f>'7. Паспорт отчет о закупке'!A12:AV12</f>
        <v>M 22-06</v>
      </c>
      <c r="B12" s="348"/>
      <c r="C12" s="7"/>
      <c r="D12" s="7"/>
      <c r="E12" s="7"/>
      <c r="F12" s="7"/>
      <c r="G12" s="7"/>
      <c r="H12" s="7"/>
    </row>
    <row r="13" spans="1:8" x14ac:dyDescent="0.25">
      <c r="A13" s="339" t="s">
        <v>5</v>
      </c>
      <c r="B13" s="339"/>
      <c r="C13" s="5"/>
      <c r="D13" s="5"/>
      <c r="E13" s="5"/>
      <c r="F13" s="5"/>
      <c r="G13" s="5"/>
      <c r="H13" s="5"/>
    </row>
    <row r="14" spans="1:8" ht="18.75" x14ac:dyDescent="0.25">
      <c r="A14" s="9"/>
      <c r="B14" s="9"/>
      <c r="C14" s="9"/>
      <c r="D14" s="9"/>
      <c r="E14" s="9"/>
      <c r="F14" s="9"/>
      <c r="G14" s="9"/>
      <c r="H14" s="9"/>
    </row>
    <row r="15" spans="1:8" ht="53.25" customHeight="1" x14ac:dyDescent="0.25">
      <c r="A15" s="374" t="str">
        <f>'7. Паспорт отчет о закупке'!A15:AV15</f>
        <v>Приобретение устройства испытательного  "Ретом-61" – 1 шт.</v>
      </c>
      <c r="B15" s="374"/>
      <c r="C15" s="7"/>
      <c r="D15" s="7"/>
      <c r="E15" s="7"/>
      <c r="F15" s="7"/>
      <c r="G15" s="7"/>
      <c r="H15" s="7"/>
    </row>
    <row r="16" spans="1:8" x14ac:dyDescent="0.25">
      <c r="A16" s="339" t="s">
        <v>4</v>
      </c>
      <c r="B16" s="339"/>
      <c r="C16" s="5"/>
      <c r="D16" s="5"/>
      <c r="E16" s="5"/>
      <c r="F16" s="5"/>
      <c r="G16" s="5"/>
      <c r="H16" s="5"/>
    </row>
    <row r="17" spans="1:2" x14ac:dyDescent="0.25">
      <c r="B17" s="91"/>
    </row>
    <row r="18" spans="1:2" x14ac:dyDescent="0.25">
      <c r="A18" s="440" t="s">
        <v>493</v>
      </c>
      <c r="B18" s="441"/>
    </row>
    <row r="19" spans="1:2" x14ac:dyDescent="0.25">
      <c r="B19" s="31"/>
    </row>
    <row r="20" spans="1:2" ht="16.5" thickBot="1" x14ac:dyDescent="0.3">
      <c r="B20" s="92"/>
    </row>
    <row r="21" spans="1:2" ht="83.25" customHeight="1" thickBot="1" x14ac:dyDescent="0.3">
      <c r="A21" s="93" t="s">
        <v>363</v>
      </c>
      <c r="B21" s="94" t="str">
        <f>A15</f>
        <v>Приобретение устройства испытательного  "Ретом-61" – 1 шт.</v>
      </c>
    </row>
    <row r="22" spans="1:2" ht="30.75" thickBot="1" x14ac:dyDescent="0.3">
      <c r="A22" s="93" t="s">
        <v>364</v>
      </c>
      <c r="B22" s="94"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93" t="s">
        <v>329</v>
      </c>
      <c r="B23" s="95" t="s">
        <v>546</v>
      </c>
    </row>
    <row r="24" spans="1:2" ht="16.5" thickBot="1" x14ac:dyDescent="0.3">
      <c r="A24" s="93" t="s">
        <v>365</v>
      </c>
      <c r="B24" s="95" t="s">
        <v>547</v>
      </c>
    </row>
    <row r="25" spans="1:2" ht="16.5" thickBot="1" x14ac:dyDescent="0.3">
      <c r="A25" s="96" t="s">
        <v>366</v>
      </c>
      <c r="B25" s="94">
        <v>2022</v>
      </c>
    </row>
    <row r="26" spans="1:2" ht="16.5" thickBot="1" x14ac:dyDescent="0.3">
      <c r="A26" s="97" t="s">
        <v>367</v>
      </c>
      <c r="B26" s="98" t="s">
        <v>540</v>
      </c>
    </row>
    <row r="27" spans="1:2" ht="29.25" thickBot="1" x14ac:dyDescent="0.3">
      <c r="A27" s="104" t="s">
        <v>556</v>
      </c>
      <c r="B27" s="133">
        <f>'6.2. Паспорт фин осв ввод'!D24</f>
        <v>2.4140000000000001</v>
      </c>
    </row>
    <row r="28" spans="1:2" ht="16.5" thickBot="1" x14ac:dyDescent="0.3">
      <c r="A28" s="132" t="s">
        <v>368</v>
      </c>
      <c r="B28" s="132" t="s">
        <v>545</v>
      </c>
    </row>
    <row r="29" spans="1:2" ht="29.25" thickBot="1" x14ac:dyDescent="0.3">
      <c r="A29" s="105" t="s">
        <v>369</v>
      </c>
      <c r="B29" s="174">
        <f>'7. Паспорт отчет о закупке'!AD27/1000</f>
        <v>0</v>
      </c>
    </row>
    <row r="30" spans="1:2" ht="29.25" thickBot="1" x14ac:dyDescent="0.3">
      <c r="A30" s="105" t="s">
        <v>370</v>
      </c>
      <c r="B30" s="174">
        <f>B32+B49+B66</f>
        <v>0</v>
      </c>
    </row>
    <row r="31" spans="1:2" ht="16.5" thickBot="1" x14ac:dyDescent="0.3">
      <c r="A31" s="132" t="s">
        <v>371</v>
      </c>
      <c r="B31" s="175"/>
    </row>
    <row r="32" spans="1:2" ht="29.25" thickBot="1" x14ac:dyDescent="0.3">
      <c r="A32" s="105" t="s">
        <v>372</v>
      </c>
      <c r="B32" s="174">
        <f>SUMIF(C33:C48,10,B33:B48)</f>
        <v>0</v>
      </c>
    </row>
    <row r="33" spans="1:3" ht="16.5" thickBot="1" x14ac:dyDescent="0.3">
      <c r="A33" s="176" t="s">
        <v>373</v>
      </c>
      <c r="B33" s="177"/>
      <c r="C33" s="45">
        <v>10</v>
      </c>
    </row>
    <row r="34" spans="1:3" ht="16.5" thickBot="1" x14ac:dyDescent="0.3">
      <c r="A34" s="132" t="s">
        <v>374</v>
      </c>
      <c r="B34" s="178">
        <f>B33/$B$27</f>
        <v>0</v>
      </c>
    </row>
    <row r="35" spans="1:3" ht="16.5" thickBot="1" x14ac:dyDescent="0.3">
      <c r="A35" s="132" t="s">
        <v>375</v>
      </c>
      <c r="B35" s="174"/>
      <c r="C35" s="45">
        <v>1</v>
      </c>
    </row>
    <row r="36" spans="1:3" ht="16.5" thickBot="1" x14ac:dyDescent="0.3">
      <c r="A36" s="132" t="s">
        <v>376</v>
      </c>
      <c r="B36" s="174"/>
      <c r="C36" s="45">
        <v>2</v>
      </c>
    </row>
    <row r="37" spans="1:3" ht="16.5" thickBot="1" x14ac:dyDescent="0.3">
      <c r="A37" s="176" t="s">
        <v>373</v>
      </c>
      <c r="B37" s="177"/>
      <c r="C37" s="45">
        <v>10</v>
      </c>
    </row>
    <row r="38" spans="1:3" ht="16.5" thickBot="1" x14ac:dyDescent="0.3">
      <c r="A38" s="132" t="s">
        <v>374</v>
      </c>
      <c r="B38" s="178">
        <f t="shared" ref="B38" si="0">B37/$B$27</f>
        <v>0</v>
      </c>
    </row>
    <row r="39" spans="1:3" ht="16.5" thickBot="1" x14ac:dyDescent="0.3">
      <c r="A39" s="132" t="s">
        <v>375</v>
      </c>
      <c r="B39" s="174"/>
      <c r="C39" s="45">
        <v>1</v>
      </c>
    </row>
    <row r="40" spans="1:3" ht="16.5" thickBot="1" x14ac:dyDescent="0.3">
      <c r="A40" s="132" t="s">
        <v>376</v>
      </c>
      <c r="B40" s="174"/>
      <c r="C40" s="45">
        <v>2</v>
      </c>
    </row>
    <row r="41" spans="1:3" ht="16.5" thickBot="1" x14ac:dyDescent="0.3">
      <c r="A41" s="176" t="s">
        <v>373</v>
      </c>
      <c r="B41" s="177"/>
      <c r="C41" s="45">
        <v>10</v>
      </c>
    </row>
    <row r="42" spans="1:3" ht="16.5" thickBot="1" x14ac:dyDescent="0.3">
      <c r="A42" s="132" t="s">
        <v>374</v>
      </c>
      <c r="B42" s="178">
        <f t="shared" ref="B42" si="1">B41/$B$27</f>
        <v>0</v>
      </c>
    </row>
    <row r="43" spans="1:3" ht="16.5" thickBot="1" x14ac:dyDescent="0.3">
      <c r="A43" s="132" t="s">
        <v>375</v>
      </c>
      <c r="B43" s="174"/>
      <c r="C43" s="45">
        <v>1</v>
      </c>
    </row>
    <row r="44" spans="1:3" ht="16.5" thickBot="1" x14ac:dyDescent="0.3">
      <c r="A44" s="132" t="s">
        <v>376</v>
      </c>
      <c r="B44" s="174"/>
      <c r="C44" s="45">
        <v>2</v>
      </c>
    </row>
    <row r="45" spans="1:3" ht="16.5" thickBot="1" x14ac:dyDescent="0.3">
      <c r="A45" s="176" t="s">
        <v>373</v>
      </c>
      <c r="B45" s="177"/>
      <c r="C45" s="45">
        <v>10</v>
      </c>
    </row>
    <row r="46" spans="1:3" ht="16.5" thickBot="1" x14ac:dyDescent="0.3">
      <c r="A46" s="132" t="s">
        <v>374</v>
      </c>
      <c r="B46" s="178">
        <f t="shared" ref="B46" si="2">B45/$B$27</f>
        <v>0</v>
      </c>
    </row>
    <row r="47" spans="1:3" ht="16.5" thickBot="1" x14ac:dyDescent="0.3">
      <c r="A47" s="132" t="s">
        <v>375</v>
      </c>
      <c r="B47" s="174"/>
      <c r="C47" s="45">
        <v>1</v>
      </c>
    </row>
    <row r="48" spans="1:3" ht="16.5" thickBot="1" x14ac:dyDescent="0.3">
      <c r="A48" s="132" t="s">
        <v>376</v>
      </c>
      <c r="B48" s="174"/>
      <c r="C48" s="45">
        <v>2</v>
      </c>
    </row>
    <row r="49" spans="1:3" ht="29.25" thickBot="1" x14ac:dyDescent="0.3">
      <c r="A49" s="105" t="s">
        <v>377</v>
      </c>
      <c r="B49" s="174">
        <f>SUMIF(C50:C65,20,B50:B65)</f>
        <v>0</v>
      </c>
    </row>
    <row r="50" spans="1:3" ht="16.5" thickBot="1" x14ac:dyDescent="0.3">
      <c r="A50" s="176" t="s">
        <v>373</v>
      </c>
      <c r="B50" s="177"/>
      <c r="C50" s="45">
        <v>20</v>
      </c>
    </row>
    <row r="51" spans="1:3" ht="16.5" thickBot="1" x14ac:dyDescent="0.3">
      <c r="A51" s="132" t="s">
        <v>374</v>
      </c>
      <c r="B51" s="178">
        <f>B50/$B$27</f>
        <v>0</v>
      </c>
    </row>
    <row r="52" spans="1:3" ht="16.5" thickBot="1" x14ac:dyDescent="0.3">
      <c r="A52" s="132" t="s">
        <v>375</v>
      </c>
      <c r="B52" s="174"/>
      <c r="C52" s="45">
        <v>1</v>
      </c>
    </row>
    <row r="53" spans="1:3" ht="16.5" thickBot="1" x14ac:dyDescent="0.3">
      <c r="A53" s="132" t="s">
        <v>376</v>
      </c>
      <c r="B53" s="174"/>
      <c r="C53" s="45">
        <v>2</v>
      </c>
    </row>
    <row r="54" spans="1:3" ht="16.5" thickBot="1" x14ac:dyDescent="0.3">
      <c r="A54" s="176" t="s">
        <v>373</v>
      </c>
      <c r="B54" s="177"/>
      <c r="C54" s="45">
        <v>20</v>
      </c>
    </row>
    <row r="55" spans="1:3" ht="16.5" thickBot="1" x14ac:dyDescent="0.3">
      <c r="A55" s="132" t="s">
        <v>374</v>
      </c>
      <c r="B55" s="178">
        <f t="shared" ref="B55" si="3">B54/$B$27</f>
        <v>0</v>
      </c>
    </row>
    <row r="56" spans="1:3" ht="16.5" thickBot="1" x14ac:dyDescent="0.3">
      <c r="A56" s="132" t="s">
        <v>375</v>
      </c>
      <c r="B56" s="174"/>
      <c r="C56" s="45">
        <v>1</v>
      </c>
    </row>
    <row r="57" spans="1:3" ht="16.5" thickBot="1" x14ac:dyDescent="0.3">
      <c r="A57" s="132" t="s">
        <v>376</v>
      </c>
      <c r="B57" s="174"/>
      <c r="C57" s="45">
        <v>2</v>
      </c>
    </row>
    <row r="58" spans="1:3" ht="16.5" thickBot="1" x14ac:dyDescent="0.3">
      <c r="A58" s="176" t="s">
        <v>373</v>
      </c>
      <c r="B58" s="177"/>
      <c r="C58" s="45">
        <v>20</v>
      </c>
    </row>
    <row r="59" spans="1:3" ht="16.5" thickBot="1" x14ac:dyDescent="0.3">
      <c r="A59" s="132" t="s">
        <v>374</v>
      </c>
      <c r="B59" s="178">
        <f t="shared" ref="B59" si="4">B58/$B$27</f>
        <v>0</v>
      </c>
    </row>
    <row r="60" spans="1:3" ht="16.5" thickBot="1" x14ac:dyDescent="0.3">
      <c r="A60" s="132" t="s">
        <v>375</v>
      </c>
      <c r="B60" s="174"/>
      <c r="C60" s="45">
        <v>1</v>
      </c>
    </row>
    <row r="61" spans="1:3" ht="16.5" thickBot="1" x14ac:dyDescent="0.3">
      <c r="A61" s="132" t="s">
        <v>376</v>
      </c>
      <c r="B61" s="174"/>
      <c r="C61" s="45">
        <v>2</v>
      </c>
    </row>
    <row r="62" spans="1:3" ht="16.5" thickBot="1" x14ac:dyDescent="0.3">
      <c r="A62" s="176" t="s">
        <v>373</v>
      </c>
      <c r="B62" s="177"/>
      <c r="C62" s="45">
        <v>20</v>
      </c>
    </row>
    <row r="63" spans="1:3" ht="16.5" thickBot="1" x14ac:dyDescent="0.3">
      <c r="A63" s="132" t="s">
        <v>374</v>
      </c>
      <c r="B63" s="178">
        <f t="shared" ref="B63" si="5">B62/$B$27</f>
        <v>0</v>
      </c>
    </row>
    <row r="64" spans="1:3" ht="16.5" thickBot="1" x14ac:dyDescent="0.3">
      <c r="A64" s="132" t="s">
        <v>375</v>
      </c>
      <c r="B64" s="174"/>
      <c r="C64" s="45">
        <v>1</v>
      </c>
    </row>
    <row r="65" spans="1:3" ht="16.5" thickBot="1" x14ac:dyDescent="0.3">
      <c r="A65" s="132" t="s">
        <v>376</v>
      </c>
      <c r="B65" s="174"/>
      <c r="C65" s="45">
        <v>2</v>
      </c>
    </row>
    <row r="66" spans="1:3" ht="29.25" thickBot="1" x14ac:dyDescent="0.3">
      <c r="A66" s="105" t="s">
        <v>378</v>
      </c>
      <c r="B66" s="174">
        <f>SUMIF(C67:C82,30,B67:B82)</f>
        <v>0</v>
      </c>
    </row>
    <row r="67" spans="1:3" ht="16.5" thickBot="1" x14ac:dyDescent="0.3">
      <c r="A67" s="176" t="s">
        <v>373</v>
      </c>
      <c r="B67" s="177"/>
      <c r="C67" s="45">
        <v>30</v>
      </c>
    </row>
    <row r="68" spans="1:3" ht="16.5" thickBot="1" x14ac:dyDescent="0.3">
      <c r="A68" s="132" t="s">
        <v>374</v>
      </c>
      <c r="B68" s="178">
        <f t="shared" ref="B68" si="6">B67/$B$27</f>
        <v>0</v>
      </c>
    </row>
    <row r="69" spans="1:3" ht="16.5" thickBot="1" x14ac:dyDescent="0.3">
      <c r="A69" s="132" t="s">
        <v>375</v>
      </c>
      <c r="B69" s="174"/>
      <c r="C69" s="45">
        <v>1</v>
      </c>
    </row>
    <row r="70" spans="1:3" ht="16.5" thickBot="1" x14ac:dyDescent="0.3">
      <c r="A70" s="132" t="s">
        <v>376</v>
      </c>
      <c r="B70" s="174"/>
      <c r="C70" s="45">
        <v>2</v>
      </c>
    </row>
    <row r="71" spans="1:3" ht="16.5" thickBot="1" x14ac:dyDescent="0.3">
      <c r="A71" s="176" t="s">
        <v>373</v>
      </c>
      <c r="B71" s="177"/>
      <c r="C71" s="45">
        <v>30</v>
      </c>
    </row>
    <row r="72" spans="1:3" ht="16.5" thickBot="1" x14ac:dyDescent="0.3">
      <c r="A72" s="132" t="s">
        <v>374</v>
      </c>
      <c r="B72" s="178">
        <f t="shared" ref="B72" si="7">B71/$B$27</f>
        <v>0</v>
      </c>
    </row>
    <row r="73" spans="1:3" ht="16.5" thickBot="1" x14ac:dyDescent="0.3">
      <c r="A73" s="132" t="s">
        <v>375</v>
      </c>
      <c r="B73" s="174"/>
      <c r="C73" s="45">
        <v>1</v>
      </c>
    </row>
    <row r="74" spans="1:3" ht="16.5" thickBot="1" x14ac:dyDescent="0.3">
      <c r="A74" s="132" t="s">
        <v>376</v>
      </c>
      <c r="B74" s="174"/>
      <c r="C74" s="45">
        <v>2</v>
      </c>
    </row>
    <row r="75" spans="1:3" ht="16.5" thickBot="1" x14ac:dyDescent="0.3">
      <c r="A75" s="176" t="s">
        <v>373</v>
      </c>
      <c r="B75" s="177"/>
      <c r="C75" s="45">
        <v>30</v>
      </c>
    </row>
    <row r="76" spans="1:3" ht="16.5" thickBot="1" x14ac:dyDescent="0.3">
      <c r="A76" s="132" t="s">
        <v>374</v>
      </c>
      <c r="B76" s="178">
        <f t="shared" ref="B76" si="8">B75/$B$27</f>
        <v>0</v>
      </c>
    </row>
    <row r="77" spans="1:3" ht="16.5" thickBot="1" x14ac:dyDescent="0.3">
      <c r="A77" s="132" t="s">
        <v>375</v>
      </c>
      <c r="B77" s="174"/>
      <c r="C77" s="45">
        <v>1</v>
      </c>
    </row>
    <row r="78" spans="1:3" ht="16.5" thickBot="1" x14ac:dyDescent="0.3">
      <c r="A78" s="132" t="s">
        <v>376</v>
      </c>
      <c r="B78" s="174"/>
      <c r="C78" s="45">
        <v>2</v>
      </c>
    </row>
    <row r="79" spans="1:3" ht="16.5" thickBot="1" x14ac:dyDescent="0.3">
      <c r="A79" s="176" t="s">
        <v>373</v>
      </c>
      <c r="B79" s="177"/>
      <c r="C79" s="45">
        <v>30</v>
      </c>
    </row>
    <row r="80" spans="1:3" ht="16.5" thickBot="1" x14ac:dyDescent="0.3">
      <c r="A80" s="132" t="s">
        <v>374</v>
      </c>
      <c r="B80" s="178">
        <f t="shared" ref="B80" si="9">B79/$B$27</f>
        <v>0</v>
      </c>
    </row>
    <row r="81" spans="1:3" ht="16.5" thickBot="1" x14ac:dyDescent="0.3">
      <c r="A81" s="132" t="s">
        <v>375</v>
      </c>
      <c r="B81" s="174"/>
      <c r="C81" s="45">
        <v>1</v>
      </c>
    </row>
    <row r="82" spans="1:3" ht="16.5" thickBot="1" x14ac:dyDescent="0.3">
      <c r="A82" s="132" t="s">
        <v>376</v>
      </c>
      <c r="B82" s="174"/>
      <c r="C82" s="45">
        <v>2</v>
      </c>
    </row>
    <row r="83" spans="1:3" ht="29.25" thickBot="1" x14ac:dyDescent="0.3">
      <c r="A83" s="99" t="s">
        <v>379</v>
      </c>
      <c r="B83" s="179">
        <f>B30/B27</f>
        <v>0</v>
      </c>
    </row>
    <row r="84" spans="1:3" ht="16.5" thickBot="1" x14ac:dyDescent="0.3">
      <c r="A84" s="100" t="s">
        <v>371</v>
      </c>
      <c r="B84" s="180"/>
    </row>
    <row r="85" spans="1:3" ht="16.5" thickBot="1" x14ac:dyDescent="0.3">
      <c r="A85" s="100" t="s">
        <v>380</v>
      </c>
      <c r="B85" s="179"/>
    </row>
    <row r="86" spans="1:3" ht="16.5" thickBot="1" x14ac:dyDescent="0.3">
      <c r="A86" s="100" t="s">
        <v>381</v>
      </c>
      <c r="B86" s="179"/>
    </row>
    <row r="87" spans="1:3" ht="16.5" thickBot="1" x14ac:dyDescent="0.3">
      <c r="A87" s="100" t="s">
        <v>382</v>
      </c>
      <c r="B87" s="179"/>
    </row>
    <row r="88" spans="1:3" ht="16.5" thickBot="1" x14ac:dyDescent="0.3">
      <c r="A88" s="96" t="s">
        <v>383</v>
      </c>
      <c r="B88" s="181">
        <f>B89/$B$27</f>
        <v>0</v>
      </c>
    </row>
    <row r="89" spans="1:3" ht="16.5" thickBot="1" x14ac:dyDescent="0.3">
      <c r="A89" s="96" t="s">
        <v>384</v>
      </c>
      <c r="B89" s="182">
        <f xml:space="preserve"> SUMIF(C33:C82, 1,B33:B82)</f>
        <v>0</v>
      </c>
    </row>
    <row r="90" spans="1:3" ht="16.5" thickBot="1" x14ac:dyDescent="0.3">
      <c r="A90" s="96" t="s">
        <v>385</v>
      </c>
      <c r="B90" s="181">
        <f>B91/$B$27</f>
        <v>0</v>
      </c>
    </row>
    <row r="91" spans="1:3" ht="16.5" thickBot="1" x14ac:dyDescent="0.3">
      <c r="A91" s="97" t="s">
        <v>386</v>
      </c>
      <c r="B91" s="182">
        <f xml:space="preserve"> SUMIF(C33:C82, 2,B33:B82)</f>
        <v>0</v>
      </c>
    </row>
    <row r="92" spans="1:3" ht="60" x14ac:dyDescent="0.25">
      <c r="A92" s="99" t="s">
        <v>387</v>
      </c>
      <c r="B92" s="100" t="s">
        <v>388</v>
      </c>
    </row>
    <row r="93" spans="1:3" x14ac:dyDescent="0.25">
      <c r="A93" s="102" t="s">
        <v>389</v>
      </c>
      <c r="B93" s="102" t="s">
        <v>557</v>
      </c>
    </row>
    <row r="94" spans="1:3" x14ac:dyDescent="0.25">
      <c r="A94" s="102" t="s">
        <v>390</v>
      </c>
      <c r="B94" s="102"/>
    </row>
    <row r="95" spans="1:3" x14ac:dyDescent="0.25">
      <c r="A95" s="102" t="s">
        <v>391</v>
      </c>
      <c r="B95" s="102"/>
    </row>
    <row r="96" spans="1:3" x14ac:dyDescent="0.25">
      <c r="A96" s="102" t="s">
        <v>392</v>
      </c>
      <c r="B96" s="102"/>
    </row>
    <row r="97" spans="1:2" ht="16.5" thickBot="1" x14ac:dyDescent="0.3">
      <c r="A97" s="103" t="s">
        <v>393</v>
      </c>
      <c r="B97" s="103"/>
    </row>
    <row r="98" spans="1:2" ht="30.75" thickBot="1" x14ac:dyDescent="0.3">
      <c r="A98" s="100" t="s">
        <v>394</v>
      </c>
      <c r="B98" s="101" t="s">
        <v>526</v>
      </c>
    </row>
    <row r="99" spans="1:2" ht="29.25" thickBot="1" x14ac:dyDescent="0.3">
      <c r="A99" s="96" t="s">
        <v>395</v>
      </c>
      <c r="B99" s="183">
        <v>0</v>
      </c>
    </row>
    <row r="100" spans="1:2" ht="16.5" thickBot="1" x14ac:dyDescent="0.3">
      <c r="A100" s="100" t="s">
        <v>371</v>
      </c>
      <c r="B100" s="184"/>
    </row>
    <row r="101" spans="1:2" ht="16.5" thickBot="1" x14ac:dyDescent="0.3">
      <c r="A101" s="100" t="s">
        <v>396</v>
      </c>
      <c r="B101" s="183">
        <v>0</v>
      </c>
    </row>
    <row r="102" spans="1:2" ht="16.5" thickBot="1" x14ac:dyDescent="0.3">
      <c r="A102" s="100" t="s">
        <v>397</v>
      </c>
      <c r="B102" s="183">
        <v>0</v>
      </c>
    </row>
    <row r="103" spans="1:2" ht="75.75" thickBot="1" x14ac:dyDescent="0.3">
      <c r="A103" s="108" t="s">
        <v>398</v>
      </c>
      <c r="B103" s="187" t="str">
        <f>'3.3 паспорт описание'!C24</f>
        <v xml:space="preserve">
Приобретение «Комплекса программно-технического измерительного Ретом-61" - 1 шт.
</v>
      </c>
    </row>
    <row r="104" spans="1:2" ht="16.5" thickBot="1" x14ac:dyDescent="0.3">
      <c r="A104" s="96" t="s">
        <v>399</v>
      </c>
      <c r="B104" s="106"/>
    </row>
    <row r="105" spans="1:2" ht="16.5" thickBot="1" x14ac:dyDescent="0.3">
      <c r="A105" s="102" t="s">
        <v>400</v>
      </c>
      <c r="B105" s="131">
        <f>'6.1. Паспорт сетевой график'!D43</f>
        <v>45656</v>
      </c>
    </row>
    <row r="106" spans="1:2" ht="16.5" thickBot="1" x14ac:dyDescent="0.3">
      <c r="A106" s="102" t="s">
        <v>401</v>
      </c>
      <c r="B106" s="109" t="s">
        <v>526</v>
      </c>
    </row>
    <row r="107" spans="1:2" ht="16.5" thickBot="1" x14ac:dyDescent="0.3">
      <c r="A107" s="102" t="s">
        <v>402</v>
      </c>
      <c r="B107" s="109" t="s">
        <v>526</v>
      </c>
    </row>
    <row r="108" spans="1:2" ht="30.75" thickBot="1" x14ac:dyDescent="0.3">
      <c r="A108" s="110" t="s">
        <v>403</v>
      </c>
      <c r="B108" s="107" t="s">
        <v>535</v>
      </c>
    </row>
    <row r="109" spans="1:2" ht="28.5" x14ac:dyDescent="0.25">
      <c r="A109" s="99" t="s">
        <v>404</v>
      </c>
      <c r="B109" s="442" t="s">
        <v>534</v>
      </c>
    </row>
    <row r="110" spans="1:2" x14ac:dyDescent="0.25">
      <c r="A110" s="102" t="s">
        <v>405</v>
      </c>
      <c r="B110" s="443"/>
    </row>
    <row r="111" spans="1:2" x14ac:dyDescent="0.25">
      <c r="A111" s="102" t="s">
        <v>406</v>
      </c>
      <c r="B111" s="443"/>
    </row>
    <row r="112" spans="1:2" x14ac:dyDescent="0.25">
      <c r="A112" s="102" t="s">
        <v>407</v>
      </c>
      <c r="B112" s="443"/>
    </row>
    <row r="113" spans="1:2" x14ac:dyDescent="0.25">
      <c r="A113" s="102" t="s">
        <v>408</v>
      </c>
      <c r="B113" s="443"/>
    </row>
    <row r="114" spans="1:2" ht="16.5" thickBot="1" x14ac:dyDescent="0.3">
      <c r="A114" s="111" t="s">
        <v>409</v>
      </c>
      <c r="B114" s="444"/>
    </row>
  </sheetData>
  <mergeCells count="10">
    <mergeCell ref="A13:B13"/>
    <mergeCell ref="A15:B15"/>
    <mergeCell ref="A16:B16"/>
    <mergeCell ref="A18:B18"/>
    <mergeCell ref="B109:B114"/>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V27" sqref="V27:W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4"/>
      <c r="S1" s="28" t="s">
        <v>66</v>
      </c>
    </row>
    <row r="2" spans="1:28" s="8" customFormat="1" ht="18.75" customHeight="1" x14ac:dyDescent="0.3">
      <c r="A2" s="14"/>
      <c r="S2" s="12" t="s">
        <v>8</v>
      </c>
    </row>
    <row r="3" spans="1:28" s="8" customFormat="1" ht="18.75" x14ac:dyDescent="0.3">
      <c r="S3" s="12" t="s">
        <v>65</v>
      </c>
    </row>
    <row r="4" spans="1:28" s="8" customFormat="1" ht="18.75" customHeight="1" x14ac:dyDescent="0.2">
      <c r="A4" s="338" t="str">
        <f>'1. паспорт местоположение'!A5:C5</f>
        <v>Год раскрытия информации: 2024 год</v>
      </c>
      <c r="B4" s="338"/>
      <c r="C4" s="338"/>
      <c r="D4" s="338"/>
      <c r="E4" s="338"/>
      <c r="F4" s="338"/>
      <c r="G4" s="338"/>
      <c r="H4" s="338"/>
      <c r="I4" s="338"/>
      <c r="J4" s="338"/>
      <c r="K4" s="338"/>
      <c r="L4" s="338"/>
      <c r="M4" s="338"/>
      <c r="N4" s="338"/>
      <c r="O4" s="338"/>
      <c r="P4" s="338"/>
      <c r="Q4" s="338"/>
      <c r="R4" s="338"/>
      <c r="S4" s="338"/>
    </row>
    <row r="5" spans="1:28" s="8" customFormat="1" ht="15.75" x14ac:dyDescent="0.2">
      <c r="A5" s="13"/>
    </row>
    <row r="6" spans="1:28" s="8" customFormat="1" ht="18.75" x14ac:dyDescent="0.2">
      <c r="A6" s="342" t="s">
        <v>7</v>
      </c>
      <c r="B6" s="342"/>
      <c r="C6" s="342"/>
      <c r="D6" s="342"/>
      <c r="E6" s="342"/>
      <c r="F6" s="342"/>
      <c r="G6" s="342"/>
      <c r="H6" s="342"/>
      <c r="I6" s="342"/>
      <c r="J6" s="342"/>
      <c r="K6" s="342"/>
      <c r="L6" s="342"/>
      <c r="M6" s="342"/>
      <c r="N6" s="342"/>
      <c r="O6" s="342"/>
      <c r="P6" s="342"/>
      <c r="Q6" s="342"/>
      <c r="R6" s="342"/>
      <c r="S6" s="342"/>
      <c r="T6" s="10"/>
      <c r="U6" s="10"/>
      <c r="V6" s="10"/>
      <c r="W6" s="10"/>
      <c r="X6" s="10"/>
      <c r="Y6" s="10"/>
      <c r="Z6" s="10"/>
      <c r="AA6" s="10"/>
      <c r="AB6" s="10"/>
    </row>
    <row r="7" spans="1:28" s="8" customFormat="1" ht="18.75" x14ac:dyDescent="0.2">
      <c r="A7" s="342"/>
      <c r="B7" s="342"/>
      <c r="C7" s="342"/>
      <c r="D7" s="342"/>
      <c r="E7" s="342"/>
      <c r="F7" s="342"/>
      <c r="G7" s="342"/>
      <c r="H7" s="342"/>
      <c r="I7" s="342"/>
      <c r="J7" s="342"/>
      <c r="K7" s="342"/>
      <c r="L7" s="342"/>
      <c r="M7" s="342"/>
      <c r="N7" s="342"/>
      <c r="O7" s="342"/>
      <c r="P7" s="342"/>
      <c r="Q7" s="342"/>
      <c r="R7" s="342"/>
      <c r="S7" s="342"/>
      <c r="T7" s="10"/>
      <c r="U7" s="10"/>
      <c r="V7" s="10"/>
      <c r="W7" s="10"/>
      <c r="X7" s="10"/>
      <c r="Y7" s="10"/>
      <c r="Z7" s="10"/>
      <c r="AA7" s="10"/>
      <c r="AB7" s="10"/>
    </row>
    <row r="8" spans="1:28" s="8" customFormat="1" ht="18.75" x14ac:dyDescent="0.2">
      <c r="A8" s="348" t="str">
        <f>'1. паспорт местоположение'!A9:C9</f>
        <v>Акционерное общество "Западная энергетическая компания"</v>
      </c>
      <c r="B8" s="348"/>
      <c r="C8" s="348"/>
      <c r="D8" s="348"/>
      <c r="E8" s="348"/>
      <c r="F8" s="348"/>
      <c r="G8" s="348"/>
      <c r="H8" s="348"/>
      <c r="I8" s="348"/>
      <c r="J8" s="348"/>
      <c r="K8" s="348"/>
      <c r="L8" s="348"/>
      <c r="M8" s="348"/>
      <c r="N8" s="348"/>
      <c r="O8" s="348"/>
      <c r="P8" s="348"/>
      <c r="Q8" s="348"/>
      <c r="R8" s="348"/>
      <c r="S8" s="348"/>
      <c r="T8" s="10"/>
      <c r="U8" s="10"/>
      <c r="V8" s="10"/>
      <c r="W8" s="10"/>
      <c r="X8" s="10"/>
      <c r="Y8" s="10"/>
      <c r="Z8" s="10"/>
      <c r="AA8" s="10"/>
      <c r="AB8" s="10"/>
    </row>
    <row r="9" spans="1:28" s="8" customFormat="1" ht="18.75" x14ac:dyDescent="0.2">
      <c r="A9" s="339" t="s">
        <v>6</v>
      </c>
      <c r="B9" s="339"/>
      <c r="C9" s="339"/>
      <c r="D9" s="339"/>
      <c r="E9" s="339"/>
      <c r="F9" s="339"/>
      <c r="G9" s="339"/>
      <c r="H9" s="339"/>
      <c r="I9" s="339"/>
      <c r="J9" s="339"/>
      <c r="K9" s="339"/>
      <c r="L9" s="339"/>
      <c r="M9" s="339"/>
      <c r="N9" s="339"/>
      <c r="O9" s="339"/>
      <c r="P9" s="339"/>
      <c r="Q9" s="339"/>
      <c r="R9" s="339"/>
      <c r="S9" s="339"/>
      <c r="T9" s="10"/>
      <c r="U9" s="10"/>
      <c r="V9" s="10"/>
      <c r="W9" s="10"/>
      <c r="X9" s="10"/>
      <c r="Y9" s="10"/>
      <c r="Z9" s="10"/>
      <c r="AA9" s="10"/>
      <c r="AB9" s="10"/>
    </row>
    <row r="10" spans="1:28" s="8" customFormat="1" ht="18.75" x14ac:dyDescent="0.2">
      <c r="A10" s="342"/>
      <c r="B10" s="342"/>
      <c r="C10" s="342"/>
      <c r="D10" s="342"/>
      <c r="E10" s="342"/>
      <c r="F10" s="342"/>
      <c r="G10" s="342"/>
      <c r="H10" s="342"/>
      <c r="I10" s="342"/>
      <c r="J10" s="342"/>
      <c r="K10" s="342"/>
      <c r="L10" s="342"/>
      <c r="M10" s="342"/>
      <c r="N10" s="342"/>
      <c r="O10" s="342"/>
      <c r="P10" s="342"/>
      <c r="Q10" s="342"/>
      <c r="R10" s="342"/>
      <c r="S10" s="342"/>
      <c r="T10" s="10"/>
      <c r="U10" s="10"/>
      <c r="V10" s="10"/>
      <c r="W10" s="10"/>
      <c r="X10" s="10"/>
      <c r="Y10" s="10"/>
      <c r="Z10" s="10"/>
      <c r="AA10" s="10"/>
      <c r="AB10" s="10"/>
    </row>
    <row r="11" spans="1:28" s="8" customFormat="1" ht="18.75" x14ac:dyDescent="0.2">
      <c r="A11" s="348" t="str">
        <f>'1. паспорт местоположение'!A12:C12</f>
        <v>M 22-06</v>
      </c>
      <c r="B11" s="348"/>
      <c r="C11" s="348"/>
      <c r="D11" s="348"/>
      <c r="E11" s="348"/>
      <c r="F11" s="348"/>
      <c r="G11" s="348"/>
      <c r="H11" s="348"/>
      <c r="I11" s="348"/>
      <c r="J11" s="348"/>
      <c r="K11" s="348"/>
      <c r="L11" s="348"/>
      <c r="M11" s="348"/>
      <c r="N11" s="348"/>
      <c r="O11" s="348"/>
      <c r="P11" s="348"/>
      <c r="Q11" s="348"/>
      <c r="R11" s="348"/>
      <c r="S11" s="348"/>
      <c r="T11" s="10"/>
      <c r="U11" s="10"/>
      <c r="V11" s="10"/>
      <c r="W11" s="10"/>
      <c r="X11" s="10"/>
      <c r="Y11" s="10"/>
      <c r="Z11" s="10"/>
      <c r="AA11" s="10"/>
      <c r="AB11" s="10"/>
    </row>
    <row r="12" spans="1:28" s="8" customFormat="1" ht="18.75" x14ac:dyDescent="0.2">
      <c r="A12" s="339" t="s">
        <v>5</v>
      </c>
      <c r="B12" s="339"/>
      <c r="C12" s="339"/>
      <c r="D12" s="339"/>
      <c r="E12" s="339"/>
      <c r="F12" s="339"/>
      <c r="G12" s="339"/>
      <c r="H12" s="339"/>
      <c r="I12" s="339"/>
      <c r="J12" s="339"/>
      <c r="K12" s="339"/>
      <c r="L12" s="339"/>
      <c r="M12" s="339"/>
      <c r="N12" s="339"/>
      <c r="O12" s="339"/>
      <c r="P12" s="339"/>
      <c r="Q12" s="339"/>
      <c r="R12" s="339"/>
      <c r="S12" s="339"/>
      <c r="T12" s="10"/>
      <c r="U12" s="10"/>
      <c r="V12" s="10"/>
      <c r="W12" s="10"/>
      <c r="X12" s="10"/>
      <c r="Y12" s="10"/>
      <c r="Z12" s="10"/>
      <c r="AA12" s="10"/>
      <c r="AB12" s="10"/>
    </row>
    <row r="13" spans="1:28" s="8" customFormat="1" ht="15.75" customHeight="1" x14ac:dyDescent="0.2">
      <c r="A13" s="346"/>
      <c r="B13" s="346"/>
      <c r="C13" s="346"/>
      <c r="D13" s="346"/>
      <c r="E13" s="346"/>
      <c r="F13" s="346"/>
      <c r="G13" s="346"/>
      <c r="H13" s="346"/>
      <c r="I13" s="346"/>
      <c r="J13" s="346"/>
      <c r="K13" s="346"/>
      <c r="L13" s="346"/>
      <c r="M13" s="346"/>
      <c r="N13" s="346"/>
      <c r="O13" s="346"/>
      <c r="P13" s="346"/>
      <c r="Q13" s="346"/>
      <c r="R13" s="346"/>
      <c r="S13" s="346"/>
      <c r="T13" s="4"/>
      <c r="U13" s="4"/>
      <c r="V13" s="4"/>
      <c r="W13" s="4"/>
      <c r="X13" s="4"/>
      <c r="Y13" s="4"/>
      <c r="Z13" s="4"/>
      <c r="AA13" s="4"/>
      <c r="AB13" s="4"/>
    </row>
    <row r="14" spans="1:28" s="3" customFormat="1" ht="36.75" customHeight="1" x14ac:dyDescent="0.2">
      <c r="A14" s="345" t="str">
        <f>'1. паспорт местоположение'!A15:C15</f>
        <v>Приобретение устройства испытательного  "Ретом-61" – 1 шт.</v>
      </c>
      <c r="B14" s="345"/>
      <c r="C14" s="345"/>
      <c r="D14" s="345"/>
      <c r="E14" s="345"/>
      <c r="F14" s="345"/>
      <c r="G14" s="345"/>
      <c r="H14" s="345"/>
      <c r="I14" s="345"/>
      <c r="J14" s="345"/>
      <c r="K14" s="345"/>
      <c r="L14" s="345"/>
      <c r="M14" s="345"/>
      <c r="N14" s="345"/>
      <c r="O14" s="345"/>
      <c r="P14" s="345"/>
      <c r="Q14" s="345"/>
      <c r="R14" s="345"/>
      <c r="S14" s="345"/>
      <c r="T14" s="7"/>
      <c r="U14" s="7"/>
      <c r="V14" s="7"/>
      <c r="W14" s="7"/>
      <c r="X14" s="7"/>
      <c r="Y14" s="7"/>
      <c r="Z14" s="7"/>
      <c r="AA14" s="7"/>
      <c r="AB14" s="7"/>
    </row>
    <row r="15" spans="1:28" s="3" customFormat="1" ht="15" customHeight="1" x14ac:dyDescent="0.2">
      <c r="A15" s="339" t="s">
        <v>4</v>
      </c>
      <c r="B15" s="339"/>
      <c r="C15" s="339"/>
      <c r="D15" s="339"/>
      <c r="E15" s="339"/>
      <c r="F15" s="339"/>
      <c r="G15" s="339"/>
      <c r="H15" s="339"/>
      <c r="I15" s="339"/>
      <c r="J15" s="339"/>
      <c r="K15" s="339"/>
      <c r="L15" s="339"/>
      <c r="M15" s="339"/>
      <c r="N15" s="339"/>
      <c r="O15" s="339"/>
      <c r="P15" s="339"/>
      <c r="Q15" s="339"/>
      <c r="R15" s="339"/>
      <c r="S15" s="339"/>
      <c r="T15" s="5"/>
      <c r="U15" s="5"/>
      <c r="V15" s="5"/>
      <c r="W15" s="5"/>
      <c r="X15" s="5"/>
      <c r="Y15" s="5"/>
      <c r="Z15" s="5"/>
      <c r="AA15" s="5"/>
      <c r="AB15" s="5"/>
    </row>
    <row r="16" spans="1:28" s="3" customFormat="1" ht="15" customHeight="1" x14ac:dyDescent="0.2">
      <c r="A16" s="346"/>
      <c r="B16" s="346"/>
      <c r="C16" s="346"/>
      <c r="D16" s="346"/>
      <c r="E16" s="346"/>
      <c r="F16" s="346"/>
      <c r="G16" s="346"/>
      <c r="H16" s="346"/>
      <c r="I16" s="346"/>
      <c r="J16" s="346"/>
      <c r="K16" s="346"/>
      <c r="L16" s="346"/>
      <c r="M16" s="346"/>
      <c r="N16" s="346"/>
      <c r="O16" s="346"/>
      <c r="P16" s="346"/>
      <c r="Q16" s="346"/>
      <c r="R16" s="346"/>
      <c r="S16" s="346"/>
      <c r="T16" s="4"/>
      <c r="U16" s="4"/>
      <c r="V16" s="4"/>
      <c r="W16" s="4"/>
      <c r="X16" s="4"/>
      <c r="Y16" s="4"/>
    </row>
    <row r="17" spans="1:28" s="3" customFormat="1" ht="45.75" customHeight="1" x14ac:dyDescent="0.2">
      <c r="A17" s="340" t="s">
        <v>468</v>
      </c>
      <c r="B17" s="340"/>
      <c r="C17" s="340"/>
      <c r="D17" s="340"/>
      <c r="E17" s="340"/>
      <c r="F17" s="340"/>
      <c r="G17" s="340"/>
      <c r="H17" s="340"/>
      <c r="I17" s="340"/>
      <c r="J17" s="340"/>
      <c r="K17" s="340"/>
      <c r="L17" s="340"/>
      <c r="M17" s="340"/>
      <c r="N17" s="340"/>
      <c r="O17" s="340"/>
      <c r="P17" s="340"/>
      <c r="Q17" s="340"/>
      <c r="R17" s="340"/>
      <c r="S17" s="340"/>
      <c r="T17" s="6"/>
      <c r="U17" s="6"/>
      <c r="V17" s="6"/>
      <c r="W17" s="6"/>
      <c r="X17" s="6"/>
      <c r="Y17" s="6"/>
      <c r="Z17" s="6"/>
      <c r="AA17" s="6"/>
      <c r="AB17" s="6"/>
    </row>
    <row r="18" spans="1:28" s="3" customFormat="1" ht="15" customHeight="1" x14ac:dyDescent="0.2">
      <c r="A18" s="347"/>
      <c r="B18" s="347"/>
      <c r="C18" s="347"/>
      <c r="D18" s="347"/>
      <c r="E18" s="347"/>
      <c r="F18" s="347"/>
      <c r="G18" s="347"/>
      <c r="H18" s="347"/>
      <c r="I18" s="347"/>
      <c r="J18" s="347"/>
      <c r="K18" s="347"/>
      <c r="L18" s="347"/>
      <c r="M18" s="347"/>
      <c r="N18" s="347"/>
      <c r="O18" s="347"/>
      <c r="P18" s="347"/>
      <c r="Q18" s="347"/>
      <c r="R18" s="347"/>
      <c r="S18" s="347"/>
      <c r="T18" s="4"/>
      <c r="U18" s="4"/>
      <c r="V18" s="4"/>
      <c r="W18" s="4"/>
      <c r="X18" s="4"/>
      <c r="Y18" s="4"/>
    </row>
    <row r="19" spans="1:28" s="3" customFormat="1" ht="54" customHeight="1" x14ac:dyDescent="0.2">
      <c r="A19" s="349" t="s">
        <v>3</v>
      </c>
      <c r="B19" s="349" t="s">
        <v>94</v>
      </c>
      <c r="C19" s="350" t="s">
        <v>362</v>
      </c>
      <c r="D19" s="349" t="s">
        <v>361</v>
      </c>
      <c r="E19" s="349" t="s">
        <v>93</v>
      </c>
      <c r="F19" s="349" t="s">
        <v>92</v>
      </c>
      <c r="G19" s="349" t="s">
        <v>357</v>
      </c>
      <c r="H19" s="349" t="s">
        <v>91</v>
      </c>
      <c r="I19" s="349" t="s">
        <v>90</v>
      </c>
      <c r="J19" s="349" t="s">
        <v>89</v>
      </c>
      <c r="K19" s="349" t="s">
        <v>88</v>
      </c>
      <c r="L19" s="349" t="s">
        <v>87</v>
      </c>
      <c r="M19" s="349" t="s">
        <v>86</v>
      </c>
      <c r="N19" s="349" t="s">
        <v>85</v>
      </c>
      <c r="O19" s="349" t="s">
        <v>84</v>
      </c>
      <c r="P19" s="349" t="s">
        <v>83</v>
      </c>
      <c r="Q19" s="349" t="s">
        <v>360</v>
      </c>
      <c r="R19" s="349"/>
      <c r="S19" s="352" t="s">
        <v>462</v>
      </c>
      <c r="T19" s="4"/>
      <c r="U19" s="4"/>
      <c r="V19" s="4"/>
      <c r="W19" s="4"/>
      <c r="X19" s="4"/>
      <c r="Y19" s="4"/>
    </row>
    <row r="20" spans="1:28" s="3" customFormat="1" ht="180.75" customHeight="1" x14ac:dyDescent="0.2">
      <c r="A20" s="349"/>
      <c r="B20" s="349"/>
      <c r="C20" s="351"/>
      <c r="D20" s="349"/>
      <c r="E20" s="349"/>
      <c r="F20" s="349"/>
      <c r="G20" s="349"/>
      <c r="H20" s="349"/>
      <c r="I20" s="349"/>
      <c r="J20" s="349"/>
      <c r="K20" s="349"/>
      <c r="L20" s="349"/>
      <c r="M20" s="349"/>
      <c r="N20" s="349"/>
      <c r="O20" s="349"/>
      <c r="P20" s="349"/>
      <c r="Q20" s="29" t="s">
        <v>358</v>
      </c>
      <c r="R20" s="30" t="s">
        <v>359</v>
      </c>
      <c r="S20" s="352"/>
      <c r="T20" s="4"/>
      <c r="U20" s="4"/>
      <c r="V20" s="4"/>
      <c r="W20" s="4"/>
      <c r="X20" s="4"/>
      <c r="Y20" s="4"/>
    </row>
    <row r="21" spans="1:28" s="3" customFormat="1" ht="18.75" x14ac:dyDescent="0.2">
      <c r="A21" s="29">
        <v>1</v>
      </c>
      <c r="B21" s="32">
        <v>2</v>
      </c>
      <c r="C21" s="29">
        <v>3</v>
      </c>
      <c r="D21" s="32">
        <v>4</v>
      </c>
      <c r="E21" s="29">
        <v>5</v>
      </c>
      <c r="F21" s="32">
        <v>6</v>
      </c>
      <c r="G21" s="29">
        <v>7</v>
      </c>
      <c r="H21" s="32">
        <v>8</v>
      </c>
      <c r="I21" s="29">
        <v>9</v>
      </c>
      <c r="J21" s="32">
        <v>10</v>
      </c>
      <c r="K21" s="29">
        <v>11</v>
      </c>
      <c r="L21" s="32">
        <v>12</v>
      </c>
      <c r="M21" s="29">
        <v>13</v>
      </c>
      <c r="N21" s="32">
        <v>14</v>
      </c>
      <c r="O21" s="29">
        <v>15</v>
      </c>
      <c r="P21" s="32">
        <v>16</v>
      </c>
      <c r="Q21" s="29">
        <v>17</v>
      </c>
      <c r="R21" s="32">
        <v>18</v>
      </c>
      <c r="S21" s="29">
        <v>19</v>
      </c>
      <c r="T21" s="4"/>
      <c r="U21" s="4"/>
      <c r="V21" s="4"/>
      <c r="W21" s="4"/>
      <c r="X21" s="4"/>
      <c r="Y21" s="4"/>
    </row>
    <row r="22" spans="1:28" s="3" customFormat="1" ht="32.25" customHeight="1" x14ac:dyDescent="0.2">
      <c r="A22" s="29" t="s">
        <v>356</v>
      </c>
      <c r="B22" s="32" t="s">
        <v>356</v>
      </c>
      <c r="C22" s="32" t="s">
        <v>356</v>
      </c>
      <c r="D22" s="32" t="s">
        <v>356</v>
      </c>
      <c r="E22" s="32" t="s">
        <v>356</v>
      </c>
      <c r="F22" s="32" t="s">
        <v>356</v>
      </c>
      <c r="G22" s="32" t="s">
        <v>356</v>
      </c>
      <c r="H22" s="32" t="s">
        <v>356</v>
      </c>
      <c r="I22" s="32" t="s">
        <v>356</v>
      </c>
      <c r="J22" s="32" t="s">
        <v>356</v>
      </c>
      <c r="K22" s="32" t="s">
        <v>356</v>
      </c>
      <c r="L22" s="32" t="s">
        <v>356</v>
      </c>
      <c r="M22" s="32" t="s">
        <v>356</v>
      </c>
      <c r="N22" s="32" t="s">
        <v>356</v>
      </c>
      <c r="O22" s="32" t="s">
        <v>356</v>
      </c>
      <c r="P22" s="32" t="s">
        <v>356</v>
      </c>
      <c r="Q22" s="32" t="s">
        <v>356</v>
      </c>
      <c r="R22" s="33" t="s">
        <v>356</v>
      </c>
      <c r="S22" s="33" t="s">
        <v>356</v>
      </c>
      <c r="T22" s="4"/>
      <c r="U22" s="4"/>
      <c r="V22" s="4"/>
      <c r="W22" s="4"/>
      <c r="X22" s="4"/>
      <c r="Y22" s="4"/>
    </row>
    <row r="23" spans="1:28" ht="20.25" customHeight="1" x14ac:dyDescent="0.25">
      <c r="A23" s="88"/>
      <c r="B23" s="32" t="s">
        <v>355</v>
      </c>
      <c r="C23" s="32"/>
      <c r="D23" s="32"/>
      <c r="E23" s="88" t="s">
        <v>356</v>
      </c>
      <c r="F23" s="88" t="s">
        <v>356</v>
      </c>
      <c r="G23" s="88" t="s">
        <v>356</v>
      </c>
      <c r="H23" s="88"/>
      <c r="I23" s="88"/>
      <c r="J23" s="88"/>
      <c r="K23" s="88"/>
      <c r="L23" s="88"/>
      <c r="M23" s="88"/>
      <c r="N23" s="88"/>
      <c r="O23" s="88"/>
      <c r="P23" s="88"/>
      <c r="Q23" s="89"/>
      <c r="R23" s="2"/>
      <c r="S23" s="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V27" sqref="V27:W27"/>
    </sheetView>
  </sheetViews>
  <sheetFormatPr defaultColWidth="10.7109375" defaultRowHeight="15.75" x14ac:dyDescent="0.25"/>
  <cols>
    <col min="1" max="1" width="9.5703125" style="34" customWidth="1"/>
    <col min="2" max="2" width="8.7109375" style="34" customWidth="1"/>
    <col min="3" max="3" width="12.7109375" style="34" customWidth="1"/>
    <col min="4" max="4" width="16.140625" style="34" customWidth="1"/>
    <col min="5" max="5" width="11.140625" style="34" customWidth="1"/>
    <col min="6" max="6" width="11" style="34" customWidth="1"/>
    <col min="7" max="8" width="8.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8" t="s">
        <v>66</v>
      </c>
    </row>
    <row r="3" spans="1:20" s="8" customFormat="1" ht="18.75" customHeight="1" x14ac:dyDescent="0.3">
      <c r="A3" s="14"/>
      <c r="T3" s="12" t="s">
        <v>8</v>
      </c>
    </row>
    <row r="4" spans="1:20" s="8" customFormat="1" ht="18.75" customHeight="1" x14ac:dyDescent="0.3">
      <c r="A4" s="14"/>
      <c r="T4" s="12" t="s">
        <v>65</v>
      </c>
    </row>
    <row r="5" spans="1:20" s="8" customFormat="1" ht="18.75" customHeight="1" x14ac:dyDescent="0.3">
      <c r="A5" s="14"/>
      <c r="T5" s="12"/>
    </row>
    <row r="6" spans="1:20" s="8" customFormat="1" x14ac:dyDescent="0.2">
      <c r="A6" s="338" t="str">
        <f>'1. паспорт местоположение'!A5:C5</f>
        <v>Год раскрытия информации: 2024 год</v>
      </c>
      <c r="B6" s="338"/>
      <c r="C6" s="338"/>
      <c r="D6" s="338"/>
      <c r="E6" s="338"/>
      <c r="F6" s="338"/>
      <c r="G6" s="338"/>
      <c r="H6" s="338"/>
      <c r="I6" s="338"/>
      <c r="J6" s="338"/>
      <c r="K6" s="338"/>
      <c r="L6" s="338"/>
      <c r="M6" s="338"/>
      <c r="N6" s="338"/>
      <c r="O6" s="338"/>
      <c r="P6" s="338"/>
      <c r="Q6" s="338"/>
      <c r="R6" s="338"/>
      <c r="S6" s="338"/>
      <c r="T6" s="338"/>
    </row>
    <row r="7" spans="1:20" s="8" customFormat="1" x14ac:dyDescent="0.2">
      <c r="A7" s="13"/>
    </row>
    <row r="8" spans="1:20" s="8" customFormat="1" ht="18.75" x14ac:dyDescent="0.2">
      <c r="A8" s="342" t="s">
        <v>7</v>
      </c>
      <c r="B8" s="342"/>
      <c r="C8" s="342"/>
      <c r="D8" s="342"/>
      <c r="E8" s="342"/>
      <c r="F8" s="342"/>
      <c r="G8" s="342"/>
      <c r="H8" s="342"/>
      <c r="I8" s="342"/>
      <c r="J8" s="342"/>
      <c r="K8" s="342"/>
      <c r="L8" s="342"/>
      <c r="M8" s="342"/>
      <c r="N8" s="342"/>
      <c r="O8" s="342"/>
      <c r="P8" s="342"/>
      <c r="Q8" s="342"/>
      <c r="R8" s="342"/>
      <c r="S8" s="342"/>
      <c r="T8" s="342"/>
    </row>
    <row r="9" spans="1:20" s="8" customFormat="1" ht="18.75" x14ac:dyDescent="0.2">
      <c r="A9" s="342"/>
      <c r="B9" s="342"/>
      <c r="C9" s="342"/>
      <c r="D9" s="342"/>
      <c r="E9" s="342"/>
      <c r="F9" s="342"/>
      <c r="G9" s="342"/>
      <c r="H9" s="342"/>
      <c r="I9" s="342"/>
      <c r="J9" s="342"/>
      <c r="K9" s="342"/>
      <c r="L9" s="342"/>
      <c r="M9" s="342"/>
      <c r="N9" s="342"/>
      <c r="O9" s="342"/>
      <c r="P9" s="342"/>
      <c r="Q9" s="342"/>
      <c r="R9" s="342"/>
      <c r="S9" s="342"/>
      <c r="T9" s="342"/>
    </row>
    <row r="10" spans="1:20" s="8" customFormat="1" ht="18.75" customHeight="1" x14ac:dyDescent="0.2">
      <c r="A10" s="348" t="str">
        <f>'1. паспорт местоположение'!A9:C9</f>
        <v>Акционерное общество "Западная энергетическая компания"</v>
      </c>
      <c r="B10" s="348"/>
      <c r="C10" s="348"/>
      <c r="D10" s="348"/>
      <c r="E10" s="348"/>
      <c r="F10" s="348"/>
      <c r="G10" s="348"/>
      <c r="H10" s="348"/>
      <c r="I10" s="348"/>
      <c r="J10" s="348"/>
      <c r="K10" s="348"/>
      <c r="L10" s="348"/>
      <c r="M10" s="348"/>
      <c r="N10" s="348"/>
      <c r="O10" s="348"/>
      <c r="P10" s="348"/>
      <c r="Q10" s="348"/>
      <c r="R10" s="348"/>
      <c r="S10" s="348"/>
      <c r="T10" s="348"/>
    </row>
    <row r="11" spans="1:20" s="8" customFormat="1" ht="18.75" customHeight="1" x14ac:dyDescent="0.2">
      <c r="A11" s="339" t="s">
        <v>6</v>
      </c>
      <c r="B11" s="339"/>
      <c r="C11" s="339"/>
      <c r="D11" s="339"/>
      <c r="E11" s="339"/>
      <c r="F11" s="339"/>
      <c r="G11" s="339"/>
      <c r="H11" s="339"/>
      <c r="I11" s="339"/>
      <c r="J11" s="339"/>
      <c r="K11" s="339"/>
      <c r="L11" s="339"/>
      <c r="M11" s="339"/>
      <c r="N11" s="339"/>
      <c r="O11" s="339"/>
      <c r="P11" s="339"/>
      <c r="Q11" s="339"/>
      <c r="R11" s="339"/>
      <c r="S11" s="339"/>
      <c r="T11" s="339"/>
    </row>
    <row r="12" spans="1:20" s="8" customFormat="1" ht="18.75" x14ac:dyDescent="0.2">
      <c r="A12" s="342"/>
      <c r="B12" s="342"/>
      <c r="C12" s="342"/>
      <c r="D12" s="342"/>
      <c r="E12" s="342"/>
      <c r="F12" s="342"/>
      <c r="G12" s="342"/>
      <c r="H12" s="342"/>
      <c r="I12" s="342"/>
      <c r="J12" s="342"/>
      <c r="K12" s="342"/>
      <c r="L12" s="342"/>
      <c r="M12" s="342"/>
      <c r="N12" s="342"/>
      <c r="O12" s="342"/>
      <c r="P12" s="342"/>
      <c r="Q12" s="342"/>
      <c r="R12" s="342"/>
      <c r="S12" s="342"/>
      <c r="T12" s="342"/>
    </row>
    <row r="13" spans="1:20" s="8" customFormat="1" ht="18.75" customHeight="1" x14ac:dyDescent="0.2">
      <c r="A13" s="348" t="str">
        <f>'1. паспорт местоположение'!A12:C12</f>
        <v>M 22-06</v>
      </c>
      <c r="B13" s="348"/>
      <c r="C13" s="348"/>
      <c r="D13" s="348"/>
      <c r="E13" s="348"/>
      <c r="F13" s="348"/>
      <c r="G13" s="348"/>
      <c r="H13" s="348"/>
      <c r="I13" s="348"/>
      <c r="J13" s="348"/>
      <c r="K13" s="348"/>
      <c r="L13" s="348"/>
      <c r="M13" s="348"/>
      <c r="N13" s="348"/>
      <c r="O13" s="348"/>
      <c r="P13" s="348"/>
      <c r="Q13" s="348"/>
      <c r="R13" s="348"/>
      <c r="S13" s="348"/>
      <c r="T13" s="348"/>
    </row>
    <row r="14" spans="1:20" s="8" customFormat="1" ht="18.75" customHeight="1" x14ac:dyDescent="0.2">
      <c r="A14" s="339" t="s">
        <v>5</v>
      </c>
      <c r="B14" s="339"/>
      <c r="C14" s="339"/>
      <c r="D14" s="339"/>
      <c r="E14" s="339"/>
      <c r="F14" s="339"/>
      <c r="G14" s="339"/>
      <c r="H14" s="339"/>
      <c r="I14" s="339"/>
      <c r="J14" s="339"/>
      <c r="K14" s="339"/>
      <c r="L14" s="339"/>
      <c r="M14" s="339"/>
      <c r="N14" s="339"/>
      <c r="O14" s="339"/>
      <c r="P14" s="339"/>
      <c r="Q14" s="339"/>
      <c r="R14" s="339"/>
      <c r="S14" s="339"/>
      <c r="T14" s="339"/>
    </row>
    <row r="15" spans="1:20" s="8" customFormat="1" ht="15.75" customHeight="1" x14ac:dyDescent="0.2">
      <c r="A15" s="346"/>
      <c r="B15" s="346"/>
      <c r="C15" s="346"/>
      <c r="D15" s="346"/>
      <c r="E15" s="346"/>
      <c r="F15" s="346"/>
      <c r="G15" s="346"/>
      <c r="H15" s="346"/>
      <c r="I15" s="346"/>
      <c r="J15" s="346"/>
      <c r="K15" s="346"/>
      <c r="L15" s="346"/>
      <c r="M15" s="346"/>
      <c r="N15" s="346"/>
      <c r="O15" s="346"/>
      <c r="P15" s="346"/>
      <c r="Q15" s="346"/>
      <c r="R15" s="346"/>
      <c r="S15" s="346"/>
      <c r="T15" s="346"/>
    </row>
    <row r="16" spans="1:20" s="3" customFormat="1" ht="66" customHeight="1" x14ac:dyDescent="0.2">
      <c r="A16" s="345" t="str">
        <f>'1. паспорт местоположение'!A15</f>
        <v>Приобретение устройства испытательного  "Ретом-61" – 1 шт.</v>
      </c>
      <c r="B16" s="345"/>
      <c r="C16" s="345"/>
      <c r="D16" s="345"/>
      <c r="E16" s="345"/>
      <c r="F16" s="345"/>
      <c r="G16" s="345"/>
      <c r="H16" s="345"/>
      <c r="I16" s="345"/>
      <c r="J16" s="345"/>
      <c r="K16" s="345"/>
      <c r="L16" s="345"/>
      <c r="M16" s="345"/>
      <c r="N16" s="345"/>
      <c r="O16" s="345"/>
      <c r="P16" s="345"/>
      <c r="Q16" s="345"/>
      <c r="R16" s="345"/>
      <c r="S16" s="345"/>
      <c r="T16" s="345"/>
    </row>
    <row r="17" spans="1:113" s="3" customFormat="1" ht="15" customHeight="1" x14ac:dyDescent="0.2">
      <c r="A17" s="339" t="s">
        <v>4</v>
      </c>
      <c r="B17" s="339"/>
      <c r="C17" s="339"/>
      <c r="D17" s="339"/>
      <c r="E17" s="339"/>
      <c r="F17" s="339"/>
      <c r="G17" s="339"/>
      <c r="H17" s="339"/>
      <c r="I17" s="339"/>
      <c r="J17" s="339"/>
      <c r="K17" s="339"/>
      <c r="L17" s="339"/>
      <c r="M17" s="339"/>
      <c r="N17" s="339"/>
      <c r="O17" s="339"/>
      <c r="P17" s="339"/>
      <c r="Q17" s="339"/>
      <c r="R17" s="339"/>
      <c r="S17" s="339"/>
      <c r="T17" s="339"/>
    </row>
    <row r="18" spans="1:113" s="3" customFormat="1" ht="15" customHeight="1" x14ac:dyDescent="0.2">
      <c r="A18" s="346"/>
      <c r="B18" s="346"/>
      <c r="C18" s="346"/>
      <c r="D18" s="346"/>
      <c r="E18" s="346"/>
      <c r="F18" s="346"/>
      <c r="G18" s="346"/>
      <c r="H18" s="346"/>
      <c r="I18" s="346"/>
      <c r="J18" s="346"/>
      <c r="K18" s="346"/>
      <c r="L18" s="346"/>
      <c r="M18" s="346"/>
      <c r="N18" s="346"/>
      <c r="O18" s="346"/>
      <c r="P18" s="346"/>
      <c r="Q18" s="346"/>
      <c r="R18" s="346"/>
      <c r="S18" s="346"/>
      <c r="T18" s="346"/>
    </row>
    <row r="19" spans="1:113" s="3" customFormat="1" ht="15" customHeight="1" x14ac:dyDescent="0.2">
      <c r="A19" s="341" t="s">
        <v>473</v>
      </c>
      <c r="B19" s="341"/>
      <c r="C19" s="341"/>
      <c r="D19" s="341"/>
      <c r="E19" s="341"/>
      <c r="F19" s="341"/>
      <c r="G19" s="341"/>
      <c r="H19" s="341"/>
      <c r="I19" s="341"/>
      <c r="J19" s="341"/>
      <c r="K19" s="341"/>
      <c r="L19" s="341"/>
      <c r="M19" s="341"/>
      <c r="N19" s="341"/>
      <c r="O19" s="341"/>
      <c r="P19" s="341"/>
      <c r="Q19" s="341"/>
      <c r="R19" s="341"/>
      <c r="S19" s="341"/>
      <c r="T19" s="341"/>
    </row>
    <row r="20" spans="1:113" s="35" customFormat="1" ht="21" customHeight="1" x14ac:dyDescent="0.25">
      <c r="A20" s="356"/>
      <c r="B20" s="356"/>
      <c r="C20" s="356"/>
      <c r="D20" s="356"/>
      <c r="E20" s="356"/>
      <c r="F20" s="356"/>
      <c r="G20" s="356"/>
      <c r="H20" s="356"/>
      <c r="I20" s="356"/>
      <c r="J20" s="356"/>
      <c r="K20" s="356"/>
      <c r="L20" s="356"/>
      <c r="M20" s="356"/>
      <c r="N20" s="356"/>
      <c r="O20" s="356"/>
      <c r="P20" s="356"/>
      <c r="Q20" s="356"/>
      <c r="R20" s="356"/>
      <c r="S20" s="356"/>
      <c r="T20" s="356"/>
    </row>
    <row r="21" spans="1:113" ht="46.5" customHeight="1" x14ac:dyDescent="0.25">
      <c r="A21" s="357" t="s">
        <v>3</v>
      </c>
      <c r="B21" s="360" t="s">
        <v>217</v>
      </c>
      <c r="C21" s="361"/>
      <c r="D21" s="364" t="s">
        <v>116</v>
      </c>
      <c r="E21" s="360" t="s">
        <v>502</v>
      </c>
      <c r="F21" s="361"/>
      <c r="G21" s="360" t="s">
        <v>267</v>
      </c>
      <c r="H21" s="361"/>
      <c r="I21" s="360" t="s">
        <v>115</v>
      </c>
      <c r="J21" s="361"/>
      <c r="K21" s="364" t="s">
        <v>114</v>
      </c>
      <c r="L21" s="360" t="s">
        <v>113</v>
      </c>
      <c r="M21" s="361"/>
      <c r="N21" s="360" t="s">
        <v>498</v>
      </c>
      <c r="O21" s="361"/>
      <c r="P21" s="364" t="s">
        <v>112</v>
      </c>
      <c r="Q21" s="353" t="s">
        <v>111</v>
      </c>
      <c r="R21" s="354"/>
      <c r="S21" s="353" t="s">
        <v>110</v>
      </c>
      <c r="T21" s="355"/>
    </row>
    <row r="22" spans="1:113" ht="204.75" customHeight="1" x14ac:dyDescent="0.25">
      <c r="A22" s="358"/>
      <c r="B22" s="362"/>
      <c r="C22" s="363"/>
      <c r="D22" s="367"/>
      <c r="E22" s="362"/>
      <c r="F22" s="363"/>
      <c r="G22" s="362"/>
      <c r="H22" s="363"/>
      <c r="I22" s="362"/>
      <c r="J22" s="363"/>
      <c r="K22" s="365"/>
      <c r="L22" s="362"/>
      <c r="M22" s="363"/>
      <c r="N22" s="362"/>
      <c r="O22" s="363"/>
      <c r="P22" s="365"/>
      <c r="Q22" s="75" t="s">
        <v>109</v>
      </c>
      <c r="R22" s="75" t="s">
        <v>472</v>
      </c>
      <c r="S22" s="75" t="s">
        <v>108</v>
      </c>
      <c r="T22" s="75" t="s">
        <v>107</v>
      </c>
    </row>
    <row r="23" spans="1:113" ht="51.75" customHeight="1" x14ac:dyDescent="0.25">
      <c r="A23" s="359"/>
      <c r="B23" s="75" t="s">
        <v>105</v>
      </c>
      <c r="C23" s="75" t="s">
        <v>106</v>
      </c>
      <c r="D23" s="365"/>
      <c r="E23" s="75" t="s">
        <v>105</v>
      </c>
      <c r="F23" s="75" t="s">
        <v>106</v>
      </c>
      <c r="G23" s="75" t="s">
        <v>105</v>
      </c>
      <c r="H23" s="75" t="s">
        <v>106</v>
      </c>
      <c r="I23" s="75" t="s">
        <v>105</v>
      </c>
      <c r="J23" s="75" t="s">
        <v>106</v>
      </c>
      <c r="K23" s="75" t="s">
        <v>105</v>
      </c>
      <c r="L23" s="75" t="s">
        <v>105</v>
      </c>
      <c r="M23" s="75" t="s">
        <v>106</v>
      </c>
      <c r="N23" s="75" t="s">
        <v>105</v>
      </c>
      <c r="O23" s="75" t="s">
        <v>106</v>
      </c>
      <c r="P23" s="76" t="s">
        <v>105</v>
      </c>
      <c r="Q23" s="75" t="s">
        <v>105</v>
      </c>
      <c r="R23" s="75" t="s">
        <v>105</v>
      </c>
      <c r="S23" s="75" t="s">
        <v>105</v>
      </c>
      <c r="T23" s="75" t="s">
        <v>105</v>
      </c>
    </row>
    <row r="24" spans="1:113"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row>
    <row r="25" spans="1:113" s="35" customFormat="1" ht="24" customHeight="1" x14ac:dyDescent="0.25">
      <c r="A25" s="43" t="s">
        <v>356</v>
      </c>
      <c r="B25" s="41" t="s">
        <v>356</v>
      </c>
      <c r="C25" s="41" t="s">
        <v>356</v>
      </c>
      <c r="D25" s="41" t="s">
        <v>356</v>
      </c>
      <c r="E25" s="41" t="s">
        <v>356</v>
      </c>
      <c r="F25" s="41" t="s">
        <v>356</v>
      </c>
      <c r="G25" s="41" t="s">
        <v>356</v>
      </c>
      <c r="H25" s="41" t="s">
        <v>356</v>
      </c>
      <c r="I25" s="41" t="s">
        <v>356</v>
      </c>
      <c r="J25" s="40" t="s">
        <v>356</v>
      </c>
      <c r="K25" s="40" t="s">
        <v>356</v>
      </c>
      <c r="L25" s="40" t="s">
        <v>356</v>
      </c>
      <c r="M25" s="42" t="s">
        <v>356</v>
      </c>
      <c r="N25" s="42" t="s">
        <v>356</v>
      </c>
      <c r="O25" s="42" t="s">
        <v>356</v>
      </c>
      <c r="P25" s="40" t="s">
        <v>356</v>
      </c>
      <c r="Q25" s="117" t="s">
        <v>356</v>
      </c>
      <c r="R25" s="41" t="s">
        <v>356</v>
      </c>
      <c r="S25" s="117" t="s">
        <v>356</v>
      </c>
      <c r="T25" s="41" t="s">
        <v>356</v>
      </c>
    </row>
    <row r="26" spans="1:113" ht="3" customHeight="1" x14ac:dyDescent="0.25"/>
    <row r="27" spans="1:113" s="38" customFormat="1" ht="12.75" x14ac:dyDescent="0.2">
      <c r="B27" s="39"/>
      <c r="C27" s="39"/>
      <c r="K27" s="39"/>
    </row>
    <row r="28" spans="1:113" s="38" customFormat="1" x14ac:dyDescent="0.25">
      <c r="B28" s="34" t="s">
        <v>104</v>
      </c>
      <c r="C28" s="34"/>
      <c r="D28" s="34"/>
      <c r="E28" s="34"/>
      <c r="F28" s="34"/>
      <c r="G28" s="34"/>
      <c r="H28" s="34"/>
      <c r="I28" s="34"/>
      <c r="J28" s="34"/>
      <c r="K28" s="34"/>
      <c r="L28" s="34"/>
      <c r="M28" s="34"/>
      <c r="N28" s="34"/>
      <c r="O28" s="34"/>
      <c r="P28" s="34"/>
      <c r="Q28" s="34"/>
      <c r="R28" s="34"/>
    </row>
    <row r="29" spans="1:113" x14ac:dyDescent="0.25">
      <c r="B29" s="366" t="s">
        <v>508</v>
      </c>
      <c r="C29" s="366"/>
      <c r="D29" s="366"/>
      <c r="E29" s="366"/>
      <c r="F29" s="366"/>
      <c r="G29" s="366"/>
      <c r="H29" s="366"/>
      <c r="I29" s="366"/>
      <c r="J29" s="366"/>
      <c r="K29" s="366"/>
      <c r="L29" s="366"/>
      <c r="M29" s="366"/>
      <c r="N29" s="366"/>
      <c r="O29" s="366"/>
      <c r="P29" s="366"/>
      <c r="Q29" s="366"/>
      <c r="R29" s="366"/>
    </row>
    <row r="31" spans="1:113" x14ac:dyDescent="0.25">
      <c r="B31" s="36" t="s">
        <v>471</v>
      </c>
      <c r="C31" s="36"/>
      <c r="D31" s="36"/>
      <c r="E31" s="36"/>
      <c r="H31" s="36"/>
      <c r="I31" s="36"/>
      <c r="J31" s="36"/>
      <c r="K31" s="36"/>
      <c r="L31" s="36"/>
      <c r="M31" s="36"/>
      <c r="N31" s="36"/>
      <c r="O31" s="36"/>
      <c r="P31" s="36"/>
      <c r="Q31" s="36"/>
      <c r="R31" s="36"/>
      <c r="S31" s="37"/>
      <c r="T31" s="37"/>
      <c r="U31" s="37"/>
      <c r="V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c r="CR31" s="37"/>
      <c r="CS31" s="37"/>
      <c r="CT31" s="37"/>
      <c r="CU31" s="37"/>
      <c r="CV31" s="37"/>
      <c r="CW31" s="37"/>
      <c r="CX31" s="37"/>
      <c r="CY31" s="37"/>
      <c r="CZ31" s="37"/>
      <c r="DA31" s="37"/>
      <c r="DB31" s="37"/>
      <c r="DC31" s="37"/>
      <c r="DD31" s="37"/>
      <c r="DE31" s="37"/>
      <c r="DF31" s="37"/>
      <c r="DG31" s="37"/>
      <c r="DH31" s="37"/>
      <c r="DI31" s="37"/>
    </row>
    <row r="32" spans="1:113" x14ac:dyDescent="0.25">
      <c r="B32" s="36" t="s">
        <v>103</v>
      </c>
      <c r="C32" s="36"/>
      <c r="D32" s="36"/>
      <c r="E32" s="36"/>
      <c r="H32" s="36"/>
      <c r="I32" s="36"/>
      <c r="J32" s="36"/>
      <c r="K32" s="36"/>
      <c r="L32" s="36"/>
      <c r="M32" s="36"/>
      <c r="N32" s="36"/>
      <c r="O32" s="36"/>
      <c r="P32" s="36"/>
      <c r="Q32" s="36"/>
      <c r="R32" s="36"/>
    </row>
    <row r="33" spans="2:113" x14ac:dyDescent="0.25">
      <c r="B33" s="36" t="s">
        <v>102</v>
      </c>
      <c r="C33" s="36"/>
      <c r="D33" s="36"/>
      <c r="E33" s="36"/>
      <c r="H33" s="36"/>
      <c r="I33" s="36"/>
      <c r="J33" s="36"/>
      <c r="K33" s="36"/>
      <c r="L33" s="36"/>
      <c r="M33" s="36"/>
      <c r="N33" s="36"/>
      <c r="O33" s="36"/>
      <c r="P33" s="36"/>
      <c r="Q33" s="36"/>
      <c r="R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5"/>
      <c r="CS33" s="35"/>
      <c r="CT33" s="35"/>
      <c r="CU33" s="35"/>
      <c r="CV33" s="35"/>
      <c r="CW33" s="35"/>
      <c r="CX33" s="35"/>
      <c r="CY33" s="35"/>
      <c r="CZ33" s="35"/>
      <c r="DA33" s="35"/>
      <c r="DB33" s="35"/>
      <c r="DC33" s="35"/>
      <c r="DD33" s="35"/>
      <c r="DE33" s="35"/>
      <c r="DF33" s="35"/>
      <c r="DG33" s="35"/>
      <c r="DH33" s="35"/>
      <c r="DI33" s="35"/>
    </row>
    <row r="34" spans="2:113" x14ac:dyDescent="0.25">
      <c r="B34" s="36" t="s">
        <v>101</v>
      </c>
      <c r="C34" s="36"/>
      <c r="D34" s="36"/>
      <c r="E34" s="36"/>
      <c r="H34" s="36"/>
      <c r="I34" s="36"/>
      <c r="J34" s="36"/>
      <c r="K34" s="36"/>
      <c r="L34" s="36"/>
      <c r="M34" s="36"/>
      <c r="N34" s="36"/>
      <c r="O34" s="36"/>
      <c r="P34" s="36"/>
      <c r="Q34" s="36"/>
      <c r="R34" s="36"/>
      <c r="S34" s="36"/>
      <c r="T34" s="36"/>
      <c r="U34" s="36"/>
      <c r="V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c r="CV34" s="35"/>
      <c r="CW34" s="35"/>
      <c r="CX34" s="35"/>
      <c r="CY34" s="35"/>
      <c r="CZ34" s="35"/>
      <c r="DA34" s="35"/>
      <c r="DB34" s="35"/>
      <c r="DC34" s="35"/>
      <c r="DD34" s="35"/>
      <c r="DE34" s="35"/>
      <c r="DF34" s="35"/>
      <c r="DG34" s="35"/>
      <c r="DH34" s="35"/>
      <c r="DI34" s="35"/>
    </row>
    <row r="35" spans="2:113" x14ac:dyDescent="0.25">
      <c r="B35" s="36" t="s">
        <v>100</v>
      </c>
      <c r="C35" s="36"/>
      <c r="D35" s="36"/>
      <c r="E35" s="36"/>
      <c r="H35" s="36"/>
      <c r="I35" s="36"/>
      <c r="J35" s="36"/>
      <c r="K35" s="36"/>
      <c r="L35" s="36"/>
      <c r="M35" s="36"/>
      <c r="N35" s="36"/>
      <c r="O35" s="36"/>
      <c r="P35" s="36"/>
      <c r="Q35" s="36"/>
      <c r="R35" s="36"/>
      <c r="S35" s="36"/>
      <c r="T35" s="36"/>
      <c r="U35" s="36"/>
      <c r="V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c r="CV35" s="35"/>
      <c r="CW35" s="35"/>
      <c r="CX35" s="35"/>
      <c r="CY35" s="35"/>
      <c r="CZ35" s="35"/>
      <c r="DA35" s="35"/>
      <c r="DB35" s="35"/>
      <c r="DC35" s="35"/>
      <c r="DD35" s="35"/>
      <c r="DE35" s="35"/>
      <c r="DF35" s="35"/>
      <c r="DG35" s="35"/>
      <c r="DH35" s="35"/>
      <c r="DI35" s="35"/>
    </row>
    <row r="36" spans="2:113" x14ac:dyDescent="0.25">
      <c r="B36" s="36" t="s">
        <v>99</v>
      </c>
      <c r="C36" s="36"/>
      <c r="D36" s="36"/>
      <c r="E36" s="36"/>
      <c r="H36" s="36"/>
      <c r="I36" s="36"/>
      <c r="J36" s="36"/>
      <c r="K36" s="36"/>
      <c r="L36" s="36"/>
      <c r="M36" s="36"/>
      <c r="N36" s="36"/>
      <c r="O36" s="36"/>
      <c r="P36" s="36"/>
      <c r="Q36" s="36"/>
      <c r="R36" s="36"/>
      <c r="S36" s="36"/>
      <c r="T36" s="36"/>
      <c r="U36" s="36"/>
      <c r="V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c r="CJ36" s="35"/>
      <c r="CK36" s="35"/>
      <c r="CL36" s="35"/>
      <c r="CM36" s="35"/>
      <c r="CN36" s="35"/>
      <c r="CO36" s="35"/>
      <c r="CP36" s="35"/>
      <c r="CQ36" s="35"/>
      <c r="CR36" s="35"/>
      <c r="CS36" s="35"/>
      <c r="CT36" s="35"/>
      <c r="CU36" s="35"/>
      <c r="CV36" s="35"/>
      <c r="CW36" s="35"/>
      <c r="CX36" s="35"/>
      <c r="CY36" s="35"/>
      <c r="CZ36" s="35"/>
      <c r="DA36" s="35"/>
      <c r="DB36" s="35"/>
      <c r="DC36" s="35"/>
      <c r="DD36" s="35"/>
      <c r="DE36" s="35"/>
      <c r="DF36" s="35"/>
      <c r="DG36" s="35"/>
      <c r="DH36" s="35"/>
      <c r="DI36" s="35"/>
    </row>
    <row r="37" spans="2:113" x14ac:dyDescent="0.25">
      <c r="B37" s="36" t="s">
        <v>98</v>
      </c>
      <c r="C37" s="36"/>
      <c r="D37" s="36"/>
      <c r="E37" s="36"/>
      <c r="H37" s="36"/>
      <c r="I37" s="36"/>
      <c r="J37" s="36"/>
      <c r="K37" s="36"/>
      <c r="L37" s="36"/>
      <c r="M37" s="36"/>
      <c r="N37" s="36"/>
      <c r="O37" s="36"/>
      <c r="P37" s="36"/>
      <c r="Q37" s="36"/>
      <c r="R37" s="36"/>
      <c r="S37" s="36"/>
      <c r="T37" s="36"/>
      <c r="U37" s="36"/>
      <c r="V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c r="CJ37" s="35"/>
      <c r="CK37" s="35"/>
      <c r="CL37" s="35"/>
      <c r="CM37" s="35"/>
      <c r="CN37" s="35"/>
      <c r="CO37" s="35"/>
      <c r="CP37" s="35"/>
      <c r="CQ37" s="35"/>
      <c r="CR37" s="35"/>
      <c r="CS37" s="35"/>
      <c r="CT37" s="35"/>
      <c r="CU37" s="35"/>
      <c r="CV37" s="35"/>
      <c r="CW37" s="35"/>
      <c r="CX37" s="35"/>
      <c r="CY37" s="35"/>
      <c r="CZ37" s="35"/>
      <c r="DA37" s="35"/>
      <c r="DB37" s="35"/>
      <c r="DC37" s="35"/>
      <c r="DD37" s="35"/>
      <c r="DE37" s="35"/>
      <c r="DF37" s="35"/>
      <c r="DG37" s="35"/>
      <c r="DH37" s="35"/>
      <c r="DI37" s="35"/>
    </row>
    <row r="38" spans="2:113" x14ac:dyDescent="0.25">
      <c r="B38" s="36" t="s">
        <v>97</v>
      </c>
      <c r="C38" s="36"/>
      <c r="D38" s="36"/>
      <c r="E38" s="36"/>
      <c r="H38" s="36"/>
      <c r="I38" s="36"/>
      <c r="J38" s="36"/>
      <c r="K38" s="36"/>
      <c r="L38" s="36"/>
      <c r="M38" s="36"/>
      <c r="N38" s="36"/>
      <c r="O38" s="36"/>
      <c r="P38" s="36"/>
      <c r="Q38" s="36"/>
      <c r="R38" s="36"/>
      <c r="S38" s="36"/>
      <c r="T38" s="36"/>
      <c r="U38" s="36"/>
      <c r="V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c r="CJ38" s="35"/>
      <c r="CK38" s="35"/>
      <c r="CL38" s="35"/>
      <c r="CM38" s="35"/>
      <c r="CN38" s="35"/>
      <c r="CO38" s="35"/>
      <c r="CP38" s="35"/>
      <c r="CQ38" s="35"/>
      <c r="CR38" s="35"/>
      <c r="CS38" s="35"/>
      <c r="CT38" s="35"/>
      <c r="CU38" s="35"/>
      <c r="CV38" s="35"/>
      <c r="CW38" s="35"/>
      <c r="CX38" s="35"/>
      <c r="CY38" s="35"/>
      <c r="CZ38" s="35"/>
      <c r="DA38" s="35"/>
      <c r="DB38" s="35"/>
      <c r="DC38" s="35"/>
      <c r="DD38" s="35"/>
      <c r="DE38" s="35"/>
      <c r="DF38" s="35"/>
      <c r="DG38" s="35"/>
      <c r="DH38" s="35"/>
      <c r="DI38" s="35"/>
    </row>
    <row r="39" spans="2:113" x14ac:dyDescent="0.25">
      <c r="B39" s="36" t="s">
        <v>96</v>
      </c>
      <c r="C39" s="36"/>
      <c r="D39" s="36"/>
      <c r="E39" s="36"/>
      <c r="H39" s="36"/>
      <c r="I39" s="36"/>
      <c r="J39" s="36"/>
      <c r="K39" s="36"/>
      <c r="L39" s="36"/>
      <c r="M39" s="36"/>
      <c r="N39" s="36"/>
      <c r="O39" s="36"/>
      <c r="P39" s="36"/>
      <c r="Q39" s="36"/>
      <c r="R39" s="36"/>
      <c r="S39" s="36"/>
      <c r="T39" s="36"/>
      <c r="U39" s="36"/>
      <c r="V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c r="CV39" s="35"/>
      <c r="CW39" s="35"/>
      <c r="CX39" s="35"/>
      <c r="CY39" s="35"/>
      <c r="CZ39" s="35"/>
      <c r="DA39" s="35"/>
      <c r="DB39" s="35"/>
      <c r="DC39" s="35"/>
      <c r="DD39" s="35"/>
      <c r="DE39" s="35"/>
      <c r="DF39" s="35"/>
      <c r="DG39" s="35"/>
      <c r="DH39" s="35"/>
      <c r="DI39" s="35"/>
    </row>
    <row r="40" spans="2:113" x14ac:dyDescent="0.25">
      <c r="B40" s="36" t="s">
        <v>95</v>
      </c>
      <c r="C40" s="36"/>
      <c r="D40" s="36"/>
      <c r="E40" s="36"/>
      <c r="H40" s="36"/>
      <c r="I40" s="36"/>
      <c r="J40" s="36"/>
      <c r="K40" s="36"/>
      <c r="L40" s="36"/>
      <c r="M40" s="36"/>
      <c r="N40" s="36"/>
      <c r="O40" s="36"/>
      <c r="P40" s="36"/>
      <c r="Q40" s="36"/>
      <c r="R40" s="36"/>
      <c r="S40" s="36"/>
      <c r="T40" s="36"/>
      <c r="U40" s="36"/>
      <c r="V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5"/>
      <c r="CS40" s="35"/>
      <c r="CT40" s="35"/>
      <c r="CU40" s="35"/>
      <c r="CV40" s="35"/>
      <c r="CW40" s="35"/>
      <c r="CX40" s="35"/>
      <c r="CY40" s="35"/>
      <c r="CZ40" s="35"/>
      <c r="DA40" s="35"/>
      <c r="DB40" s="35"/>
      <c r="DC40" s="35"/>
      <c r="DD40" s="35"/>
      <c r="DE40" s="35"/>
      <c r="DF40" s="35"/>
      <c r="DG40" s="35"/>
      <c r="DH40" s="35"/>
      <c r="DI40" s="35"/>
    </row>
    <row r="41" spans="2:113" x14ac:dyDescent="0.25">
      <c r="Q41" s="36"/>
      <c r="R41" s="36"/>
      <c r="S41" s="36"/>
      <c r="T41" s="36"/>
      <c r="U41" s="36"/>
      <c r="V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c r="CJ41" s="35"/>
      <c r="CK41" s="35"/>
      <c r="CL41" s="35"/>
      <c r="CM41" s="35"/>
      <c r="CN41" s="35"/>
      <c r="CO41" s="35"/>
      <c r="CP41" s="35"/>
      <c r="CQ41" s="35"/>
      <c r="CR41" s="35"/>
      <c r="CS41" s="35"/>
      <c r="CT41" s="35"/>
      <c r="CU41" s="35"/>
      <c r="CV41" s="35"/>
      <c r="CW41" s="35"/>
      <c r="CX41" s="35"/>
      <c r="CY41" s="35"/>
      <c r="CZ41" s="35"/>
      <c r="DA41" s="35"/>
      <c r="DB41" s="35"/>
      <c r="DC41" s="35"/>
      <c r="DD41" s="35"/>
      <c r="DE41" s="35"/>
      <c r="DF41" s="35"/>
      <c r="DG41" s="35"/>
      <c r="DH41" s="35"/>
      <c r="DI41" s="35"/>
    </row>
    <row r="42" spans="2:113" x14ac:dyDescent="0.25">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5"/>
      <c r="BL42" s="35"/>
      <c r="BM42" s="35"/>
      <c r="BN42" s="35"/>
      <c r="BO42" s="35"/>
      <c r="BP42" s="35"/>
      <c r="BQ42" s="35"/>
      <c r="BR42" s="35"/>
      <c r="BS42" s="35"/>
      <c r="BT42" s="35"/>
      <c r="BU42" s="35"/>
      <c r="BV42" s="35"/>
      <c r="BW42" s="35"/>
      <c r="BX42" s="35"/>
      <c r="BY42" s="35"/>
      <c r="BZ42" s="35"/>
      <c r="CA42" s="35"/>
      <c r="CB42" s="35"/>
      <c r="CC42" s="35"/>
      <c r="CD42" s="35"/>
      <c r="CE42" s="35"/>
      <c r="CF42" s="35"/>
      <c r="CG42" s="35"/>
      <c r="CH42" s="35"/>
      <c r="CI42" s="35"/>
      <c r="CJ42" s="35"/>
      <c r="CK42" s="35"/>
      <c r="CL42" s="35"/>
      <c r="CM42" s="35"/>
      <c r="CN42" s="35"/>
      <c r="CO42" s="35"/>
      <c r="CP42" s="35"/>
      <c r="CQ42" s="35"/>
      <c r="CR42" s="35"/>
      <c r="CS42" s="35"/>
      <c r="CT42" s="35"/>
      <c r="CU42" s="35"/>
      <c r="CV42" s="35"/>
      <c r="CW42" s="35"/>
      <c r="CX42" s="35"/>
      <c r="CY42" s="35"/>
      <c r="CZ42" s="35"/>
      <c r="DA42" s="35"/>
      <c r="DB42" s="35"/>
      <c r="DC42" s="35"/>
      <c r="DD42" s="35"/>
      <c r="DE42" s="35"/>
      <c r="DF42" s="35"/>
      <c r="DG42" s="35"/>
      <c r="DH42" s="35"/>
      <c r="DI42" s="35"/>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V27" sqref="V27:W27"/>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3" width="8.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8" t="s">
        <v>66</v>
      </c>
    </row>
    <row r="2" spans="1:27" s="8" customFormat="1" ht="18.75" customHeight="1" x14ac:dyDescent="0.3">
      <c r="E2" s="14"/>
      <c r="AA2" s="12" t="s">
        <v>8</v>
      </c>
    </row>
    <row r="3" spans="1:27" s="8" customFormat="1" ht="18.75" customHeight="1" x14ac:dyDescent="0.3">
      <c r="E3" s="14"/>
      <c r="AA3" s="12" t="s">
        <v>65</v>
      </c>
    </row>
    <row r="4" spans="1:27" s="8" customFormat="1" x14ac:dyDescent="0.2">
      <c r="E4" s="13"/>
    </row>
    <row r="5" spans="1:27" s="8" customFormat="1" x14ac:dyDescent="0.2">
      <c r="A5" s="338" t="str">
        <f>'1. паспорт местоположение'!A5:C5</f>
        <v>Год раскрытия информации: 2024 год</v>
      </c>
      <c r="B5" s="338"/>
      <c r="C5" s="338"/>
      <c r="D5" s="338"/>
      <c r="E5" s="338"/>
      <c r="F5" s="338"/>
      <c r="G5" s="338"/>
      <c r="H5" s="338"/>
      <c r="I5" s="338"/>
      <c r="J5" s="338"/>
      <c r="K5" s="338"/>
      <c r="L5" s="338"/>
      <c r="M5" s="338"/>
      <c r="N5" s="338"/>
      <c r="O5" s="338"/>
      <c r="P5" s="338"/>
      <c r="Q5" s="338"/>
      <c r="R5" s="338"/>
      <c r="S5" s="338"/>
      <c r="T5" s="338"/>
      <c r="U5" s="338"/>
      <c r="V5" s="338"/>
      <c r="W5" s="338"/>
      <c r="X5" s="338"/>
      <c r="Y5" s="338"/>
      <c r="Z5" s="338"/>
      <c r="AA5" s="338"/>
    </row>
    <row r="6" spans="1:27" s="8" customFormat="1" x14ac:dyDescent="0.2">
      <c r="A6" s="118"/>
      <c r="B6" s="118"/>
      <c r="C6" s="118"/>
      <c r="D6" s="118"/>
      <c r="E6" s="118"/>
      <c r="F6" s="118"/>
      <c r="G6" s="118"/>
      <c r="H6" s="118"/>
      <c r="I6" s="118"/>
      <c r="J6" s="118"/>
      <c r="K6" s="118"/>
      <c r="L6" s="118"/>
      <c r="M6" s="118"/>
      <c r="N6" s="118"/>
      <c r="O6" s="118"/>
      <c r="P6" s="118"/>
      <c r="Q6" s="118"/>
      <c r="R6" s="118"/>
      <c r="S6" s="118"/>
      <c r="T6" s="118"/>
    </row>
    <row r="7" spans="1:27" s="8" customFormat="1" ht="18.75" x14ac:dyDescent="0.2">
      <c r="E7" s="342" t="s">
        <v>7</v>
      </c>
      <c r="F7" s="342"/>
      <c r="G7" s="342"/>
      <c r="H7" s="342"/>
      <c r="I7" s="342"/>
      <c r="J7" s="342"/>
      <c r="K7" s="342"/>
      <c r="L7" s="342"/>
      <c r="M7" s="342"/>
      <c r="N7" s="342"/>
      <c r="O7" s="342"/>
      <c r="P7" s="342"/>
      <c r="Q7" s="342"/>
      <c r="R7" s="342"/>
      <c r="S7" s="342"/>
      <c r="T7" s="342"/>
      <c r="U7" s="342"/>
      <c r="V7" s="342"/>
      <c r="W7" s="342"/>
      <c r="X7" s="342"/>
      <c r="Y7" s="342"/>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348" t="str">
        <f>'1. паспорт местоположение'!A9</f>
        <v>Акционерное общество "Западная энергетическая компания"</v>
      </c>
      <c r="F9" s="348"/>
      <c r="G9" s="348"/>
      <c r="H9" s="348"/>
      <c r="I9" s="348"/>
      <c r="J9" s="348"/>
      <c r="K9" s="348"/>
      <c r="L9" s="348"/>
      <c r="M9" s="348"/>
      <c r="N9" s="348"/>
      <c r="O9" s="348"/>
      <c r="P9" s="348"/>
      <c r="Q9" s="348"/>
      <c r="R9" s="348"/>
      <c r="S9" s="348"/>
      <c r="T9" s="348"/>
      <c r="U9" s="348"/>
      <c r="V9" s="348"/>
      <c r="W9" s="348"/>
      <c r="X9" s="348"/>
      <c r="Y9" s="348"/>
    </row>
    <row r="10" spans="1:27" s="8" customFormat="1" ht="18.75" customHeight="1" x14ac:dyDescent="0.2">
      <c r="E10" s="339" t="s">
        <v>6</v>
      </c>
      <c r="F10" s="339"/>
      <c r="G10" s="339"/>
      <c r="H10" s="339"/>
      <c r="I10" s="339"/>
      <c r="J10" s="339"/>
      <c r="K10" s="339"/>
      <c r="L10" s="339"/>
      <c r="M10" s="339"/>
      <c r="N10" s="339"/>
      <c r="O10" s="339"/>
      <c r="P10" s="339"/>
      <c r="Q10" s="339"/>
      <c r="R10" s="339"/>
      <c r="S10" s="339"/>
      <c r="T10" s="339"/>
      <c r="U10" s="339"/>
      <c r="V10" s="339"/>
      <c r="W10" s="339"/>
      <c r="X10" s="339"/>
      <c r="Y10" s="339"/>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348" t="str">
        <f>'1. паспорт местоположение'!A12</f>
        <v>M 22-06</v>
      </c>
      <c r="F12" s="348"/>
      <c r="G12" s="348"/>
      <c r="H12" s="348"/>
      <c r="I12" s="348"/>
      <c r="J12" s="348"/>
      <c r="K12" s="348"/>
      <c r="L12" s="348"/>
      <c r="M12" s="348"/>
      <c r="N12" s="348"/>
      <c r="O12" s="348"/>
      <c r="P12" s="348"/>
      <c r="Q12" s="348"/>
      <c r="R12" s="348"/>
      <c r="S12" s="348"/>
      <c r="T12" s="348"/>
      <c r="U12" s="348"/>
      <c r="V12" s="348"/>
      <c r="W12" s="348"/>
      <c r="X12" s="348"/>
      <c r="Y12" s="348"/>
    </row>
    <row r="13" spans="1:27" s="8" customFormat="1" ht="18.75" customHeight="1" x14ac:dyDescent="0.2">
      <c r="E13" s="339" t="s">
        <v>5</v>
      </c>
      <c r="F13" s="339"/>
      <c r="G13" s="339"/>
      <c r="H13" s="339"/>
      <c r="I13" s="339"/>
      <c r="J13" s="339"/>
      <c r="K13" s="339"/>
      <c r="L13" s="339"/>
      <c r="M13" s="339"/>
      <c r="N13" s="339"/>
      <c r="O13" s="339"/>
      <c r="P13" s="339"/>
      <c r="Q13" s="339"/>
      <c r="R13" s="339"/>
      <c r="S13" s="339"/>
      <c r="T13" s="339"/>
      <c r="U13" s="339"/>
      <c r="V13" s="339"/>
      <c r="W13" s="339"/>
      <c r="X13" s="339"/>
      <c r="Y13" s="339"/>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44.25" customHeight="1" x14ac:dyDescent="0.2">
      <c r="E15" s="345" t="str">
        <f>'1. паспорт местоположение'!A15</f>
        <v>Приобретение устройства испытательного  "Ретом-61" – 1 шт.</v>
      </c>
      <c r="F15" s="345"/>
      <c r="G15" s="345"/>
      <c r="H15" s="345"/>
      <c r="I15" s="345"/>
      <c r="J15" s="345"/>
      <c r="K15" s="345"/>
      <c r="L15" s="345"/>
      <c r="M15" s="345"/>
      <c r="N15" s="345"/>
      <c r="O15" s="345"/>
      <c r="P15" s="345"/>
      <c r="Q15" s="345"/>
      <c r="R15" s="345"/>
      <c r="S15" s="345"/>
      <c r="T15" s="345"/>
      <c r="U15" s="345"/>
      <c r="V15" s="345"/>
      <c r="W15" s="345"/>
      <c r="X15" s="345"/>
      <c r="Y15" s="345"/>
    </row>
    <row r="16" spans="1:27" s="3" customFormat="1" ht="15" customHeight="1" x14ac:dyDescent="0.2">
      <c r="E16" s="339" t="s">
        <v>4</v>
      </c>
      <c r="F16" s="339"/>
      <c r="G16" s="339"/>
      <c r="H16" s="339"/>
      <c r="I16" s="339"/>
      <c r="J16" s="339"/>
      <c r="K16" s="339"/>
      <c r="L16" s="339"/>
      <c r="M16" s="339"/>
      <c r="N16" s="339"/>
      <c r="O16" s="339"/>
      <c r="P16" s="339"/>
      <c r="Q16" s="339"/>
      <c r="R16" s="339"/>
      <c r="S16" s="339"/>
      <c r="T16" s="339"/>
      <c r="U16" s="339"/>
      <c r="V16" s="339"/>
      <c r="W16" s="339"/>
      <c r="X16" s="339"/>
      <c r="Y16" s="33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41"/>
      <c r="F18" s="341"/>
      <c r="G18" s="341"/>
      <c r="H18" s="341"/>
      <c r="I18" s="341"/>
      <c r="J18" s="341"/>
      <c r="K18" s="341"/>
      <c r="L18" s="341"/>
      <c r="M18" s="341"/>
      <c r="N18" s="341"/>
      <c r="O18" s="341"/>
      <c r="P18" s="341"/>
      <c r="Q18" s="341"/>
      <c r="R18" s="341"/>
      <c r="S18" s="341"/>
      <c r="T18" s="341"/>
      <c r="U18" s="341"/>
      <c r="V18" s="341"/>
      <c r="W18" s="341"/>
      <c r="X18" s="341"/>
      <c r="Y18" s="341"/>
    </row>
    <row r="19" spans="1:27" ht="25.5" customHeight="1" x14ac:dyDescent="0.25">
      <c r="A19" s="341" t="s">
        <v>475</v>
      </c>
      <c r="B19" s="341"/>
      <c r="C19" s="341"/>
      <c r="D19" s="341"/>
      <c r="E19" s="341"/>
      <c r="F19" s="341"/>
      <c r="G19" s="341"/>
      <c r="H19" s="341"/>
      <c r="I19" s="341"/>
      <c r="J19" s="341"/>
      <c r="K19" s="341"/>
      <c r="L19" s="341"/>
      <c r="M19" s="341"/>
      <c r="N19" s="341"/>
      <c r="O19" s="341"/>
      <c r="P19" s="341"/>
      <c r="Q19" s="341"/>
      <c r="R19" s="341"/>
      <c r="S19" s="341"/>
      <c r="T19" s="341"/>
      <c r="U19" s="341"/>
      <c r="V19" s="341"/>
      <c r="W19" s="341"/>
      <c r="X19" s="341"/>
      <c r="Y19" s="341"/>
      <c r="Z19" s="341"/>
      <c r="AA19" s="341"/>
    </row>
    <row r="20" spans="1:27" s="35" customFormat="1" ht="21" customHeight="1" x14ac:dyDescent="0.25"/>
    <row r="21" spans="1:27" ht="15.75" customHeight="1" x14ac:dyDescent="0.25">
      <c r="A21" s="364" t="s">
        <v>3</v>
      </c>
      <c r="B21" s="360" t="s">
        <v>482</v>
      </c>
      <c r="C21" s="361"/>
      <c r="D21" s="360" t="s">
        <v>484</v>
      </c>
      <c r="E21" s="361"/>
      <c r="F21" s="353" t="s">
        <v>88</v>
      </c>
      <c r="G21" s="355"/>
      <c r="H21" s="355"/>
      <c r="I21" s="354"/>
      <c r="J21" s="364" t="s">
        <v>485</v>
      </c>
      <c r="K21" s="360" t="s">
        <v>486</v>
      </c>
      <c r="L21" s="361"/>
      <c r="M21" s="360" t="s">
        <v>487</v>
      </c>
      <c r="N21" s="361"/>
      <c r="O21" s="360" t="s">
        <v>474</v>
      </c>
      <c r="P21" s="361"/>
      <c r="Q21" s="360" t="s">
        <v>121</v>
      </c>
      <c r="R21" s="361"/>
      <c r="S21" s="364" t="s">
        <v>120</v>
      </c>
      <c r="T21" s="364" t="s">
        <v>488</v>
      </c>
      <c r="U21" s="364" t="s">
        <v>483</v>
      </c>
      <c r="V21" s="360" t="s">
        <v>119</v>
      </c>
      <c r="W21" s="361"/>
      <c r="X21" s="353" t="s">
        <v>111</v>
      </c>
      <c r="Y21" s="355"/>
      <c r="Z21" s="353" t="s">
        <v>110</v>
      </c>
      <c r="AA21" s="355"/>
    </row>
    <row r="22" spans="1:27" ht="216" customHeight="1" x14ac:dyDescent="0.25">
      <c r="A22" s="367"/>
      <c r="B22" s="362"/>
      <c r="C22" s="363"/>
      <c r="D22" s="362"/>
      <c r="E22" s="363"/>
      <c r="F22" s="353" t="s">
        <v>118</v>
      </c>
      <c r="G22" s="354"/>
      <c r="H22" s="353" t="s">
        <v>117</v>
      </c>
      <c r="I22" s="354"/>
      <c r="J22" s="365"/>
      <c r="K22" s="362"/>
      <c r="L22" s="363"/>
      <c r="M22" s="362"/>
      <c r="N22" s="363"/>
      <c r="O22" s="362"/>
      <c r="P22" s="363"/>
      <c r="Q22" s="362"/>
      <c r="R22" s="363"/>
      <c r="S22" s="365"/>
      <c r="T22" s="365"/>
      <c r="U22" s="365"/>
      <c r="V22" s="362"/>
      <c r="W22" s="363"/>
      <c r="X22" s="75" t="s">
        <v>109</v>
      </c>
      <c r="Y22" s="75" t="s">
        <v>472</v>
      </c>
      <c r="Z22" s="75" t="s">
        <v>108</v>
      </c>
      <c r="AA22" s="75" t="s">
        <v>107</v>
      </c>
    </row>
    <row r="23" spans="1:27" ht="60" customHeight="1" x14ac:dyDescent="0.25">
      <c r="A23" s="365"/>
      <c r="B23" s="76" t="s">
        <v>105</v>
      </c>
      <c r="C23" s="76" t="s">
        <v>106</v>
      </c>
      <c r="D23" s="76" t="s">
        <v>105</v>
      </c>
      <c r="E23" s="76" t="s">
        <v>106</v>
      </c>
      <c r="F23" s="76" t="s">
        <v>105</v>
      </c>
      <c r="G23" s="76" t="s">
        <v>106</v>
      </c>
      <c r="H23" s="76" t="s">
        <v>105</v>
      </c>
      <c r="I23" s="76" t="s">
        <v>106</v>
      </c>
      <c r="J23" s="76" t="s">
        <v>105</v>
      </c>
      <c r="K23" s="76" t="s">
        <v>105</v>
      </c>
      <c r="L23" s="76" t="s">
        <v>106</v>
      </c>
      <c r="M23" s="76" t="s">
        <v>105</v>
      </c>
      <c r="N23" s="76" t="s">
        <v>106</v>
      </c>
      <c r="O23" s="76" t="s">
        <v>105</v>
      </c>
      <c r="P23" s="76" t="s">
        <v>106</v>
      </c>
      <c r="Q23" s="76" t="s">
        <v>105</v>
      </c>
      <c r="R23" s="76" t="s">
        <v>106</v>
      </c>
      <c r="S23" s="76" t="s">
        <v>105</v>
      </c>
      <c r="T23" s="76" t="s">
        <v>105</v>
      </c>
      <c r="U23" s="76" t="s">
        <v>105</v>
      </c>
      <c r="V23" s="76" t="s">
        <v>105</v>
      </c>
      <c r="W23" s="76" t="s">
        <v>106</v>
      </c>
      <c r="X23" s="76" t="s">
        <v>105</v>
      </c>
      <c r="Y23" s="76" t="s">
        <v>105</v>
      </c>
      <c r="Z23" s="75" t="s">
        <v>105</v>
      </c>
      <c r="AA23" s="75" t="s">
        <v>105</v>
      </c>
    </row>
    <row r="24" spans="1:27" x14ac:dyDescent="0.25">
      <c r="A24" s="79">
        <v>1</v>
      </c>
      <c r="B24" s="79">
        <v>2</v>
      </c>
      <c r="C24" s="79">
        <v>3</v>
      </c>
      <c r="D24" s="79">
        <v>4</v>
      </c>
      <c r="E24" s="79">
        <v>5</v>
      </c>
      <c r="F24" s="79">
        <v>6</v>
      </c>
      <c r="G24" s="79">
        <v>7</v>
      </c>
      <c r="H24" s="79">
        <v>8</v>
      </c>
      <c r="I24" s="79">
        <v>9</v>
      </c>
      <c r="J24" s="79">
        <v>10</v>
      </c>
      <c r="K24" s="79">
        <v>11</v>
      </c>
      <c r="L24" s="79">
        <v>12</v>
      </c>
      <c r="M24" s="79">
        <v>13</v>
      </c>
      <c r="N24" s="79">
        <v>14</v>
      </c>
      <c r="O24" s="79">
        <v>15</v>
      </c>
      <c r="P24" s="79">
        <v>16</v>
      </c>
      <c r="Q24" s="79">
        <v>19</v>
      </c>
      <c r="R24" s="79">
        <v>20</v>
      </c>
      <c r="S24" s="79">
        <v>21</v>
      </c>
      <c r="T24" s="79">
        <v>22</v>
      </c>
      <c r="U24" s="79">
        <v>23</v>
      </c>
      <c r="V24" s="79">
        <v>24</v>
      </c>
      <c r="W24" s="79">
        <v>25</v>
      </c>
      <c r="X24" s="79">
        <v>26</v>
      </c>
      <c r="Y24" s="79">
        <v>27</v>
      </c>
      <c r="Z24" s="79">
        <v>28</v>
      </c>
      <c r="AA24" s="79">
        <v>29</v>
      </c>
    </row>
    <row r="25" spans="1:27" s="35" customFormat="1" ht="24" customHeight="1" x14ac:dyDescent="0.25">
      <c r="A25" s="80" t="s">
        <v>356</v>
      </c>
      <c r="B25" s="80" t="s">
        <v>356</v>
      </c>
      <c r="C25" s="80" t="s">
        <v>356</v>
      </c>
      <c r="D25" s="80" t="s">
        <v>356</v>
      </c>
      <c r="E25" s="81" t="s">
        <v>356</v>
      </c>
      <c r="F25" s="81" t="s">
        <v>356</v>
      </c>
      <c r="G25" s="82" t="s">
        <v>356</v>
      </c>
      <c r="H25" s="82" t="s">
        <v>356</v>
      </c>
      <c r="I25" s="82" t="s">
        <v>356</v>
      </c>
      <c r="J25" s="83" t="s">
        <v>356</v>
      </c>
      <c r="K25" s="83" t="s">
        <v>356</v>
      </c>
      <c r="L25" s="84" t="s">
        <v>356</v>
      </c>
      <c r="M25" s="84" t="s">
        <v>356</v>
      </c>
      <c r="N25" s="81" t="s">
        <v>356</v>
      </c>
      <c r="O25" s="81" t="s">
        <v>356</v>
      </c>
      <c r="P25" s="81" t="s">
        <v>356</v>
      </c>
      <c r="Q25" s="81" t="s">
        <v>356</v>
      </c>
      <c r="R25" s="82" t="s">
        <v>356</v>
      </c>
      <c r="S25" s="83" t="s">
        <v>356</v>
      </c>
      <c r="T25" s="83" t="s">
        <v>356</v>
      </c>
      <c r="U25" s="83" t="s">
        <v>356</v>
      </c>
      <c r="V25" s="83" t="s">
        <v>356</v>
      </c>
      <c r="W25" s="81" t="s">
        <v>356</v>
      </c>
      <c r="X25" s="80" t="s">
        <v>356</v>
      </c>
      <c r="Y25" s="80" t="s">
        <v>356</v>
      </c>
      <c r="Z25" s="80" t="s">
        <v>356</v>
      </c>
      <c r="AA25" s="80" t="s">
        <v>356</v>
      </c>
    </row>
    <row r="26" spans="1:27" ht="3" customHeight="1" x14ac:dyDescent="0.25">
      <c r="X26" s="77"/>
      <c r="Y26" s="78"/>
    </row>
    <row r="27" spans="1:27" s="38" customFormat="1" ht="12.75" x14ac:dyDescent="0.2">
      <c r="A27" s="39"/>
      <c r="B27" s="39"/>
      <c r="C27" s="39"/>
      <c r="E27" s="39"/>
    </row>
    <row r="28" spans="1:27" s="38" customFormat="1" ht="12.75" x14ac:dyDescent="0.2">
      <c r="A28" s="39"/>
      <c r="B28" s="39"/>
      <c r="C28" s="39"/>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9" zoomScale="90" zoomScaleSheetLayoutView="90" workbookViewId="0">
      <selection activeCell="C26" sqref="C26"/>
    </sheetView>
  </sheetViews>
  <sheetFormatPr defaultColWidth="9.140625" defaultRowHeight="15" x14ac:dyDescent="0.25"/>
  <cols>
    <col min="1" max="1" width="6.140625" style="1" customWidth="1"/>
    <col min="2" max="2" width="53.5703125" style="1" customWidth="1"/>
    <col min="3" max="3" width="108.28515625" style="1" customWidth="1"/>
    <col min="4" max="4" width="14.42578125" style="1" customWidth="1"/>
    <col min="5" max="5" width="45.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8" t="s">
        <v>66</v>
      </c>
    </row>
    <row r="2" spans="1:29" s="8" customFormat="1" ht="18.75" customHeight="1" x14ac:dyDescent="0.3">
      <c r="A2" s="14"/>
      <c r="C2" s="12" t="s">
        <v>8</v>
      </c>
    </row>
    <row r="3" spans="1:29" s="8" customFormat="1" ht="18.75" x14ac:dyDescent="0.3">
      <c r="A3" s="13"/>
      <c r="C3" s="12" t="s">
        <v>65</v>
      </c>
    </row>
    <row r="4" spans="1:29" s="8" customFormat="1" ht="18.75" x14ac:dyDescent="0.3">
      <c r="A4" s="13"/>
      <c r="C4" s="12"/>
    </row>
    <row r="5" spans="1:29" s="8" customFormat="1" ht="15.75" x14ac:dyDescent="0.2">
      <c r="A5" s="338" t="str">
        <f>'1. паспорт местоположение'!A5:C5</f>
        <v>Год раскрытия информации: 2024 год</v>
      </c>
      <c r="B5" s="338"/>
      <c r="C5" s="338"/>
      <c r="D5" s="119"/>
      <c r="E5" s="119"/>
      <c r="F5" s="119"/>
      <c r="G5" s="119"/>
      <c r="H5" s="119"/>
      <c r="I5" s="119"/>
      <c r="J5" s="119"/>
      <c r="K5" s="119"/>
      <c r="L5" s="119"/>
      <c r="M5" s="119"/>
      <c r="N5" s="119"/>
      <c r="O5" s="119"/>
      <c r="P5" s="119"/>
      <c r="Q5" s="119"/>
      <c r="R5" s="119"/>
      <c r="S5" s="119"/>
      <c r="T5" s="119"/>
      <c r="U5" s="119"/>
      <c r="V5" s="119"/>
      <c r="W5" s="119"/>
      <c r="X5" s="119"/>
      <c r="Y5" s="119"/>
      <c r="Z5" s="119"/>
      <c r="AA5" s="119"/>
      <c r="AB5" s="119"/>
      <c r="AC5" s="119"/>
    </row>
    <row r="6" spans="1:29" s="8" customFormat="1" ht="18.75" x14ac:dyDescent="0.3">
      <c r="A6" s="13"/>
      <c r="G6" s="12"/>
    </row>
    <row r="7" spans="1:29" s="8" customFormat="1" ht="18.75" x14ac:dyDescent="0.2">
      <c r="A7" s="342" t="s">
        <v>7</v>
      </c>
      <c r="B7" s="342"/>
      <c r="C7" s="342"/>
      <c r="D7" s="10"/>
      <c r="E7" s="10"/>
      <c r="F7" s="10"/>
      <c r="G7" s="10"/>
      <c r="H7" s="10"/>
      <c r="I7" s="10"/>
      <c r="J7" s="10"/>
      <c r="K7" s="10"/>
      <c r="L7" s="10"/>
      <c r="M7" s="10"/>
      <c r="N7" s="10"/>
      <c r="O7" s="10"/>
      <c r="P7" s="10"/>
      <c r="Q7" s="10"/>
      <c r="R7" s="10"/>
      <c r="S7" s="10"/>
      <c r="T7" s="10"/>
      <c r="U7" s="10"/>
    </row>
    <row r="8" spans="1:29" s="8" customFormat="1" ht="18.75" x14ac:dyDescent="0.2">
      <c r="A8" s="342"/>
      <c r="B8" s="342"/>
      <c r="C8" s="342"/>
      <c r="D8" s="11"/>
      <c r="E8" s="11"/>
      <c r="F8" s="11"/>
      <c r="G8" s="11"/>
      <c r="H8" s="10"/>
      <c r="I8" s="10"/>
      <c r="J8" s="10"/>
      <c r="K8" s="10"/>
      <c r="L8" s="10"/>
      <c r="M8" s="10"/>
      <c r="N8" s="10"/>
      <c r="O8" s="10"/>
      <c r="P8" s="10"/>
      <c r="Q8" s="10"/>
      <c r="R8" s="10"/>
      <c r="S8" s="10"/>
      <c r="T8" s="10"/>
      <c r="U8" s="10"/>
    </row>
    <row r="9" spans="1:29" s="8" customFormat="1" ht="18.75" x14ac:dyDescent="0.2">
      <c r="A9" s="348" t="str">
        <f>'1. паспорт местоположение'!A9:C9</f>
        <v>Акционерное общество "Западная энергетическая компания"</v>
      </c>
      <c r="B9" s="348"/>
      <c r="C9" s="348"/>
      <c r="D9" s="7"/>
      <c r="E9" s="7"/>
      <c r="F9" s="7"/>
      <c r="G9" s="7"/>
      <c r="H9" s="10"/>
      <c r="I9" s="10"/>
      <c r="J9" s="10"/>
      <c r="K9" s="10"/>
      <c r="L9" s="10"/>
      <c r="M9" s="10"/>
      <c r="N9" s="10"/>
      <c r="O9" s="10"/>
      <c r="P9" s="10"/>
      <c r="Q9" s="10"/>
      <c r="R9" s="10"/>
      <c r="S9" s="10"/>
      <c r="T9" s="10"/>
      <c r="U9" s="10"/>
    </row>
    <row r="10" spans="1:29" s="8" customFormat="1" ht="18.75" x14ac:dyDescent="0.2">
      <c r="A10" s="339" t="s">
        <v>6</v>
      </c>
      <c r="B10" s="339"/>
      <c r="C10" s="339"/>
      <c r="D10" s="5"/>
      <c r="E10" s="5"/>
      <c r="F10" s="5"/>
      <c r="G10" s="5"/>
      <c r="H10" s="10"/>
      <c r="I10" s="10"/>
      <c r="J10" s="10"/>
      <c r="K10" s="10"/>
      <c r="L10" s="10"/>
      <c r="M10" s="10"/>
      <c r="N10" s="10"/>
      <c r="O10" s="10"/>
      <c r="P10" s="10"/>
      <c r="Q10" s="10"/>
      <c r="R10" s="10"/>
      <c r="S10" s="10"/>
      <c r="T10" s="10"/>
      <c r="U10" s="10"/>
    </row>
    <row r="11" spans="1:29" s="8" customFormat="1" ht="18.75" x14ac:dyDescent="0.2">
      <c r="A11" s="342"/>
      <c r="B11" s="342"/>
      <c r="C11" s="342"/>
      <c r="D11" s="11"/>
      <c r="E11" s="11"/>
      <c r="F11" s="11"/>
      <c r="G11" s="11"/>
      <c r="H11" s="10"/>
      <c r="I11" s="10"/>
      <c r="J11" s="10"/>
      <c r="K11" s="10"/>
      <c r="L11" s="10"/>
      <c r="M11" s="10"/>
      <c r="N11" s="10"/>
      <c r="O11" s="10"/>
      <c r="P11" s="10"/>
      <c r="Q11" s="10"/>
      <c r="R11" s="10"/>
      <c r="S11" s="10"/>
      <c r="T11" s="10"/>
      <c r="U11" s="10"/>
    </row>
    <row r="12" spans="1:29" s="8" customFormat="1" ht="18.75" x14ac:dyDescent="0.2">
      <c r="A12" s="348" t="str">
        <f>'1. паспорт местоположение'!A12:C12</f>
        <v>M 22-06</v>
      </c>
      <c r="B12" s="348"/>
      <c r="C12" s="348"/>
      <c r="D12" s="7"/>
      <c r="E12" s="7"/>
      <c r="F12" s="7"/>
      <c r="G12" s="7"/>
      <c r="H12" s="10"/>
      <c r="I12" s="10"/>
      <c r="J12" s="10"/>
      <c r="K12" s="10"/>
      <c r="L12" s="10"/>
      <c r="M12" s="10"/>
      <c r="N12" s="10"/>
      <c r="O12" s="10"/>
      <c r="P12" s="10"/>
      <c r="Q12" s="10"/>
      <c r="R12" s="10"/>
      <c r="S12" s="10"/>
      <c r="T12" s="10"/>
      <c r="U12" s="10"/>
    </row>
    <row r="13" spans="1:29" s="8" customFormat="1" ht="18.75" x14ac:dyDescent="0.2">
      <c r="A13" s="339" t="s">
        <v>5</v>
      </c>
      <c r="B13" s="339"/>
      <c r="C13" s="339"/>
      <c r="D13" s="5"/>
      <c r="E13" s="5"/>
      <c r="F13" s="5"/>
      <c r="G13" s="5"/>
      <c r="H13" s="10"/>
      <c r="I13" s="10"/>
      <c r="J13" s="10"/>
      <c r="K13" s="10"/>
      <c r="L13" s="10"/>
      <c r="M13" s="10"/>
      <c r="N13" s="10"/>
      <c r="O13" s="10"/>
      <c r="P13" s="10"/>
      <c r="Q13" s="10"/>
      <c r="R13" s="10"/>
      <c r="S13" s="10"/>
      <c r="T13" s="10"/>
      <c r="U13" s="10"/>
    </row>
    <row r="14" spans="1:29" s="8" customFormat="1" ht="15.75" customHeight="1" x14ac:dyDescent="0.2">
      <c r="A14" s="346"/>
      <c r="B14" s="346"/>
      <c r="C14" s="346"/>
      <c r="D14" s="4"/>
      <c r="E14" s="4"/>
      <c r="F14" s="4"/>
      <c r="G14" s="4"/>
      <c r="H14" s="4"/>
      <c r="I14" s="4"/>
      <c r="J14" s="4"/>
      <c r="K14" s="4"/>
      <c r="L14" s="4"/>
      <c r="M14" s="4"/>
      <c r="N14" s="4"/>
      <c r="O14" s="4"/>
      <c r="P14" s="4"/>
      <c r="Q14" s="4"/>
      <c r="R14" s="4"/>
      <c r="S14" s="4"/>
      <c r="T14" s="4"/>
      <c r="U14" s="4"/>
    </row>
    <row r="15" spans="1:29" s="3" customFormat="1" ht="78.75" customHeight="1" x14ac:dyDescent="0.2">
      <c r="A15" s="345" t="str">
        <f>'1. паспорт местоположение'!A15</f>
        <v>Приобретение устройства испытательного  "Ретом-61" – 1 шт.</v>
      </c>
      <c r="B15" s="345"/>
      <c r="C15" s="345"/>
      <c r="D15" s="7"/>
      <c r="E15" s="7"/>
      <c r="F15" s="7"/>
      <c r="G15" s="7"/>
      <c r="H15" s="7"/>
      <c r="I15" s="7"/>
      <c r="J15" s="7"/>
      <c r="K15" s="7"/>
      <c r="L15" s="7"/>
      <c r="M15" s="7"/>
      <c r="N15" s="7"/>
      <c r="O15" s="7"/>
      <c r="P15" s="7"/>
      <c r="Q15" s="7"/>
      <c r="R15" s="7"/>
      <c r="S15" s="7"/>
      <c r="T15" s="7"/>
      <c r="U15" s="7"/>
    </row>
    <row r="16" spans="1:29" s="3" customFormat="1" ht="15" customHeight="1" x14ac:dyDescent="0.2">
      <c r="A16" s="339" t="s">
        <v>4</v>
      </c>
      <c r="B16" s="339"/>
      <c r="C16" s="339"/>
      <c r="D16" s="5"/>
      <c r="E16" s="5"/>
      <c r="F16" s="5"/>
      <c r="G16" s="5"/>
      <c r="H16" s="5"/>
      <c r="I16" s="5"/>
      <c r="J16" s="5"/>
      <c r="K16" s="5"/>
      <c r="L16" s="5"/>
      <c r="M16" s="5"/>
      <c r="N16" s="5"/>
      <c r="O16" s="5"/>
      <c r="P16" s="5"/>
      <c r="Q16" s="5"/>
      <c r="R16" s="5"/>
      <c r="S16" s="5"/>
      <c r="T16" s="5"/>
      <c r="U16" s="5"/>
    </row>
    <row r="17" spans="1:21" s="3" customFormat="1" ht="15" customHeight="1" x14ac:dyDescent="0.2">
      <c r="A17" s="346"/>
      <c r="B17" s="346"/>
      <c r="C17" s="346"/>
      <c r="D17" s="4"/>
      <c r="E17" s="4"/>
      <c r="F17" s="4"/>
      <c r="G17" s="4"/>
      <c r="H17" s="4"/>
      <c r="I17" s="4"/>
      <c r="J17" s="4"/>
      <c r="K17" s="4"/>
      <c r="L17" s="4"/>
      <c r="M17" s="4"/>
      <c r="N17" s="4"/>
      <c r="O17" s="4"/>
      <c r="P17" s="4"/>
      <c r="Q17" s="4"/>
      <c r="R17" s="4"/>
    </row>
    <row r="18" spans="1:21" s="3" customFormat="1" ht="27.75" customHeight="1" x14ac:dyDescent="0.2">
      <c r="A18" s="340" t="s">
        <v>467</v>
      </c>
      <c r="B18" s="340"/>
      <c r="C18" s="340"/>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3" t="s">
        <v>3</v>
      </c>
      <c r="B20" s="27" t="s">
        <v>64</v>
      </c>
      <c r="C20" s="26" t="s">
        <v>63</v>
      </c>
      <c r="D20" s="5"/>
      <c r="E20" s="5"/>
      <c r="F20" s="5"/>
      <c r="G20" s="5"/>
      <c r="H20" s="4"/>
      <c r="I20" s="4"/>
      <c r="J20" s="4"/>
      <c r="K20" s="4"/>
      <c r="L20" s="4"/>
      <c r="M20" s="4"/>
      <c r="N20" s="4"/>
      <c r="O20" s="4"/>
      <c r="P20" s="4"/>
      <c r="Q20" s="4"/>
      <c r="R20" s="4"/>
    </row>
    <row r="21" spans="1:21" s="3" customFormat="1" ht="16.5" customHeight="1" x14ac:dyDescent="0.2">
      <c r="A21" s="26">
        <v>1</v>
      </c>
      <c r="B21" s="27">
        <v>2</v>
      </c>
      <c r="C21" s="26">
        <v>3</v>
      </c>
      <c r="D21" s="5"/>
      <c r="E21" s="5"/>
      <c r="F21" s="5"/>
      <c r="G21" s="5"/>
      <c r="H21" s="4"/>
      <c r="I21" s="4"/>
      <c r="J21" s="4"/>
      <c r="K21" s="4"/>
      <c r="L21" s="4"/>
      <c r="M21" s="4"/>
      <c r="N21" s="4"/>
      <c r="O21" s="4"/>
      <c r="P21" s="4"/>
      <c r="Q21" s="4"/>
      <c r="R21" s="4"/>
    </row>
    <row r="22" spans="1:21" s="3" customFormat="1" ht="33.75" customHeight="1" x14ac:dyDescent="0.2">
      <c r="A22" s="22" t="s">
        <v>62</v>
      </c>
      <c r="B22" s="25" t="s">
        <v>480</v>
      </c>
      <c r="C22" s="188" t="s">
        <v>549</v>
      </c>
      <c r="D22" s="5"/>
      <c r="E22" s="5"/>
      <c r="F22" s="4"/>
      <c r="G22" s="4"/>
      <c r="H22" s="4"/>
      <c r="I22" s="4"/>
      <c r="J22" s="4"/>
      <c r="K22" s="4"/>
      <c r="L22" s="4"/>
      <c r="M22" s="4"/>
      <c r="N22" s="4"/>
      <c r="O22" s="4"/>
      <c r="P22" s="4"/>
    </row>
    <row r="23" spans="1:21" ht="42.75" customHeight="1" x14ac:dyDescent="0.25">
      <c r="A23" s="22" t="s">
        <v>61</v>
      </c>
      <c r="B23" s="24" t="s">
        <v>58</v>
      </c>
      <c r="C23" s="188" t="s">
        <v>550</v>
      </c>
    </row>
    <row r="24" spans="1:21" ht="47.25" x14ac:dyDescent="0.25">
      <c r="A24" s="148" t="s">
        <v>60</v>
      </c>
      <c r="B24" s="149" t="s">
        <v>500</v>
      </c>
      <c r="C24" s="189" t="s">
        <v>605</v>
      </c>
      <c r="E24" s="129"/>
    </row>
    <row r="25" spans="1:21" ht="47.25" x14ac:dyDescent="0.25">
      <c r="A25" s="22" t="s">
        <v>59</v>
      </c>
      <c r="B25" s="24" t="s">
        <v>501</v>
      </c>
      <c r="C25" s="189" t="s">
        <v>606</v>
      </c>
    </row>
    <row r="26" spans="1:21" ht="42.75" customHeight="1" x14ac:dyDescent="0.25">
      <c r="A26" s="22" t="s">
        <v>57</v>
      </c>
      <c r="B26" s="24" t="s">
        <v>225</v>
      </c>
      <c r="C26" s="23" t="s">
        <v>534</v>
      </c>
    </row>
    <row r="27" spans="1:21" ht="31.5" x14ac:dyDescent="0.25">
      <c r="A27" s="22" t="s">
        <v>56</v>
      </c>
      <c r="B27" s="185" t="s">
        <v>481</v>
      </c>
      <c r="C27" s="186" t="s">
        <v>551</v>
      </c>
    </row>
    <row r="28" spans="1:21" ht="42.75" customHeight="1" x14ac:dyDescent="0.25">
      <c r="A28" s="22" t="s">
        <v>54</v>
      </c>
      <c r="B28" s="24" t="s">
        <v>55</v>
      </c>
      <c r="C28" s="115">
        <v>2022</v>
      </c>
    </row>
    <row r="29" spans="1:21" ht="42.75" customHeight="1" x14ac:dyDescent="0.25">
      <c r="A29" s="22" t="s">
        <v>52</v>
      </c>
      <c r="B29" s="23" t="s">
        <v>53</v>
      </c>
      <c r="C29" s="115">
        <v>2022</v>
      </c>
    </row>
    <row r="30" spans="1:21" ht="42.75" customHeight="1" x14ac:dyDescent="0.25">
      <c r="A30" s="22" t="s">
        <v>70</v>
      </c>
      <c r="B30" s="23" t="s">
        <v>51</v>
      </c>
      <c r="C30" s="23" t="s">
        <v>540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election activeCell="V27" sqref="V27: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66</v>
      </c>
    </row>
    <row r="2" spans="1:28" ht="18.75" x14ac:dyDescent="0.3">
      <c r="Z2" s="12" t="s">
        <v>8</v>
      </c>
    </row>
    <row r="3" spans="1:28" ht="18.75" x14ac:dyDescent="0.3">
      <c r="Z3" s="12" t="s">
        <v>65</v>
      </c>
    </row>
    <row r="4" spans="1:28" ht="18.75" customHeight="1" x14ac:dyDescent="0.25">
      <c r="A4" s="338" t="str">
        <f>'1. паспорт местоположение'!A5:C5</f>
        <v>Год раскрытия информации: 2024 год</v>
      </c>
      <c r="B4" s="338"/>
      <c r="C4" s="338"/>
      <c r="D4" s="338"/>
      <c r="E4" s="338"/>
      <c r="F4" s="338"/>
      <c r="G4" s="338"/>
      <c r="H4" s="338"/>
      <c r="I4" s="338"/>
      <c r="J4" s="338"/>
      <c r="K4" s="338"/>
      <c r="L4" s="338"/>
      <c r="M4" s="338"/>
      <c r="N4" s="338"/>
      <c r="O4" s="338"/>
      <c r="P4" s="338"/>
      <c r="Q4" s="338"/>
      <c r="R4" s="338"/>
      <c r="S4" s="338"/>
      <c r="T4" s="338"/>
      <c r="U4" s="338"/>
      <c r="V4" s="338"/>
      <c r="W4" s="338"/>
      <c r="X4" s="338"/>
      <c r="Y4" s="338"/>
      <c r="Z4" s="338"/>
    </row>
    <row r="6" spans="1:28" ht="18.75" x14ac:dyDescent="0.25">
      <c r="A6" s="342" t="s">
        <v>7</v>
      </c>
      <c r="B6" s="342"/>
      <c r="C6" s="342"/>
      <c r="D6" s="342"/>
      <c r="E6" s="342"/>
      <c r="F6" s="342"/>
      <c r="G6" s="342"/>
      <c r="H6" s="342"/>
      <c r="I6" s="342"/>
      <c r="J6" s="342"/>
      <c r="K6" s="342"/>
      <c r="L6" s="342"/>
      <c r="M6" s="342"/>
      <c r="N6" s="342"/>
      <c r="O6" s="342"/>
      <c r="P6" s="342"/>
      <c r="Q6" s="342"/>
      <c r="R6" s="342"/>
      <c r="S6" s="342"/>
      <c r="T6" s="342"/>
      <c r="U6" s="342"/>
      <c r="V6" s="342"/>
      <c r="W6" s="342"/>
      <c r="X6" s="342"/>
      <c r="Y6" s="342"/>
      <c r="Z6" s="342"/>
      <c r="AA6" s="10"/>
      <c r="AB6" s="10"/>
    </row>
    <row r="7" spans="1:28" ht="18.75" x14ac:dyDescent="0.25">
      <c r="A7" s="342"/>
      <c r="B7" s="342"/>
      <c r="C7" s="342"/>
      <c r="D7" s="342"/>
      <c r="E7" s="342"/>
      <c r="F7" s="342"/>
      <c r="G7" s="342"/>
      <c r="H7" s="342"/>
      <c r="I7" s="342"/>
      <c r="J7" s="342"/>
      <c r="K7" s="342"/>
      <c r="L7" s="342"/>
      <c r="M7" s="342"/>
      <c r="N7" s="342"/>
      <c r="O7" s="342"/>
      <c r="P7" s="342"/>
      <c r="Q7" s="342"/>
      <c r="R7" s="342"/>
      <c r="S7" s="342"/>
      <c r="T7" s="342"/>
      <c r="U7" s="342"/>
      <c r="V7" s="342"/>
      <c r="W7" s="342"/>
      <c r="X7" s="342"/>
      <c r="Y7" s="342"/>
      <c r="Z7" s="342"/>
      <c r="AA7" s="10"/>
      <c r="AB7" s="10"/>
    </row>
    <row r="8" spans="1:28" x14ac:dyDescent="0.25">
      <c r="A8" s="348" t="str">
        <f>'1. паспорт местоположение'!A9</f>
        <v>Акционерное общество "Западная энергетическая компания"</v>
      </c>
      <c r="B8" s="348"/>
      <c r="C8" s="348"/>
      <c r="D8" s="348"/>
      <c r="E8" s="348"/>
      <c r="F8" s="348"/>
      <c r="G8" s="348"/>
      <c r="H8" s="348"/>
      <c r="I8" s="348"/>
      <c r="J8" s="348"/>
      <c r="K8" s="348"/>
      <c r="L8" s="348"/>
      <c r="M8" s="348"/>
      <c r="N8" s="348"/>
      <c r="O8" s="348"/>
      <c r="P8" s="348"/>
      <c r="Q8" s="348"/>
      <c r="R8" s="348"/>
      <c r="S8" s="348"/>
      <c r="T8" s="348"/>
      <c r="U8" s="348"/>
      <c r="V8" s="348"/>
      <c r="W8" s="348"/>
      <c r="X8" s="348"/>
      <c r="Y8" s="348"/>
      <c r="Z8" s="348"/>
      <c r="AA8" s="7"/>
      <c r="AB8" s="7"/>
    </row>
    <row r="9" spans="1:28" ht="15.75" x14ac:dyDescent="0.25">
      <c r="A9" s="339" t="s">
        <v>6</v>
      </c>
      <c r="B9" s="339"/>
      <c r="C9" s="339"/>
      <c r="D9" s="339"/>
      <c r="E9" s="339"/>
      <c r="F9" s="339"/>
      <c r="G9" s="339"/>
      <c r="H9" s="339"/>
      <c r="I9" s="339"/>
      <c r="J9" s="339"/>
      <c r="K9" s="339"/>
      <c r="L9" s="339"/>
      <c r="M9" s="339"/>
      <c r="N9" s="339"/>
      <c r="O9" s="339"/>
      <c r="P9" s="339"/>
      <c r="Q9" s="339"/>
      <c r="R9" s="339"/>
      <c r="S9" s="339"/>
      <c r="T9" s="339"/>
      <c r="U9" s="339"/>
      <c r="V9" s="339"/>
      <c r="W9" s="339"/>
      <c r="X9" s="339"/>
      <c r="Y9" s="339"/>
      <c r="Z9" s="339"/>
      <c r="AA9" s="5"/>
      <c r="AB9" s="5"/>
    </row>
    <row r="10" spans="1:28" ht="18.75" x14ac:dyDescent="0.25">
      <c r="A10" s="342"/>
      <c r="B10" s="342"/>
      <c r="C10" s="342"/>
      <c r="D10" s="342"/>
      <c r="E10" s="342"/>
      <c r="F10" s="342"/>
      <c r="G10" s="342"/>
      <c r="H10" s="342"/>
      <c r="I10" s="342"/>
      <c r="J10" s="342"/>
      <c r="K10" s="342"/>
      <c r="L10" s="342"/>
      <c r="M10" s="342"/>
      <c r="N10" s="342"/>
      <c r="O10" s="342"/>
      <c r="P10" s="342"/>
      <c r="Q10" s="342"/>
      <c r="R10" s="342"/>
      <c r="S10" s="342"/>
      <c r="T10" s="342"/>
      <c r="U10" s="342"/>
      <c r="V10" s="342"/>
      <c r="W10" s="342"/>
      <c r="X10" s="342"/>
      <c r="Y10" s="342"/>
      <c r="Z10" s="342"/>
      <c r="AA10" s="10"/>
      <c r="AB10" s="10"/>
    </row>
    <row r="11" spans="1:28" x14ac:dyDescent="0.25">
      <c r="A11" s="348" t="str">
        <f>'1. паспорт местоположение'!A12:C12</f>
        <v>M 22-06</v>
      </c>
      <c r="B11" s="348"/>
      <c r="C11" s="348"/>
      <c r="D11" s="348"/>
      <c r="E11" s="348"/>
      <c r="F11" s="348"/>
      <c r="G11" s="348"/>
      <c r="H11" s="348"/>
      <c r="I11" s="348"/>
      <c r="J11" s="348"/>
      <c r="K11" s="348"/>
      <c r="L11" s="348"/>
      <c r="M11" s="348"/>
      <c r="N11" s="348"/>
      <c r="O11" s="348"/>
      <c r="P11" s="348"/>
      <c r="Q11" s="348"/>
      <c r="R11" s="348"/>
      <c r="S11" s="348"/>
      <c r="T11" s="348"/>
      <c r="U11" s="348"/>
      <c r="V11" s="348"/>
      <c r="W11" s="348"/>
      <c r="X11" s="348"/>
      <c r="Y11" s="348"/>
      <c r="Z11" s="348"/>
      <c r="AA11" s="7"/>
      <c r="AB11" s="7"/>
    </row>
    <row r="12" spans="1:28" ht="15.75" x14ac:dyDescent="0.25">
      <c r="A12" s="339" t="s">
        <v>5</v>
      </c>
      <c r="B12" s="339"/>
      <c r="C12" s="339"/>
      <c r="D12" s="339"/>
      <c r="E12" s="339"/>
      <c r="F12" s="339"/>
      <c r="G12" s="339"/>
      <c r="H12" s="339"/>
      <c r="I12" s="339"/>
      <c r="J12" s="339"/>
      <c r="K12" s="339"/>
      <c r="L12" s="339"/>
      <c r="M12" s="339"/>
      <c r="N12" s="339"/>
      <c r="O12" s="339"/>
      <c r="P12" s="339"/>
      <c r="Q12" s="339"/>
      <c r="R12" s="339"/>
      <c r="S12" s="339"/>
      <c r="T12" s="339"/>
      <c r="U12" s="339"/>
      <c r="V12" s="339"/>
      <c r="W12" s="339"/>
      <c r="X12" s="339"/>
      <c r="Y12" s="339"/>
      <c r="Z12" s="339"/>
      <c r="AA12" s="5"/>
      <c r="AB12" s="5"/>
    </row>
    <row r="13" spans="1:28" ht="18.75" x14ac:dyDescent="0.25">
      <c r="A13" s="346"/>
      <c r="B13" s="346"/>
      <c r="C13" s="346"/>
      <c r="D13" s="346"/>
      <c r="E13" s="346"/>
      <c r="F13" s="346"/>
      <c r="G13" s="346"/>
      <c r="H13" s="346"/>
      <c r="I13" s="346"/>
      <c r="J13" s="346"/>
      <c r="K13" s="346"/>
      <c r="L13" s="346"/>
      <c r="M13" s="346"/>
      <c r="N13" s="346"/>
      <c r="O13" s="346"/>
      <c r="P13" s="346"/>
      <c r="Q13" s="346"/>
      <c r="R13" s="346"/>
      <c r="S13" s="346"/>
      <c r="T13" s="346"/>
      <c r="U13" s="346"/>
      <c r="V13" s="346"/>
      <c r="W13" s="346"/>
      <c r="X13" s="346"/>
      <c r="Y13" s="346"/>
      <c r="Z13" s="346"/>
      <c r="AA13" s="9"/>
      <c r="AB13" s="9"/>
    </row>
    <row r="14" spans="1:28" ht="57" customHeight="1" x14ac:dyDescent="0.25">
      <c r="A14" s="345" t="str">
        <f>'1. паспорт местоположение'!A15</f>
        <v>Приобретение устройства испытательного  "Ретом-61" – 1 шт.</v>
      </c>
      <c r="B14" s="345"/>
      <c r="C14" s="345"/>
      <c r="D14" s="345"/>
      <c r="E14" s="345"/>
      <c r="F14" s="345"/>
      <c r="G14" s="345"/>
      <c r="H14" s="345"/>
      <c r="I14" s="345"/>
      <c r="J14" s="345"/>
      <c r="K14" s="345"/>
      <c r="L14" s="345"/>
      <c r="M14" s="345"/>
      <c r="N14" s="345"/>
      <c r="O14" s="345"/>
      <c r="P14" s="345"/>
      <c r="Q14" s="345"/>
      <c r="R14" s="345"/>
      <c r="S14" s="345"/>
      <c r="T14" s="345"/>
      <c r="U14" s="345"/>
      <c r="V14" s="345"/>
      <c r="W14" s="345"/>
      <c r="X14" s="345"/>
      <c r="Y14" s="345"/>
      <c r="Z14" s="345"/>
      <c r="AA14" s="7"/>
      <c r="AB14" s="7"/>
    </row>
    <row r="15" spans="1:28" ht="15.75" x14ac:dyDescent="0.25">
      <c r="A15" s="339" t="s">
        <v>4</v>
      </c>
      <c r="B15" s="339"/>
      <c r="C15" s="339"/>
      <c r="D15" s="339"/>
      <c r="E15" s="339"/>
      <c r="F15" s="339"/>
      <c r="G15" s="339"/>
      <c r="H15" s="339"/>
      <c r="I15" s="339"/>
      <c r="J15" s="339"/>
      <c r="K15" s="339"/>
      <c r="L15" s="339"/>
      <c r="M15" s="339"/>
      <c r="N15" s="339"/>
      <c r="O15" s="339"/>
      <c r="P15" s="339"/>
      <c r="Q15" s="339"/>
      <c r="R15" s="339"/>
      <c r="S15" s="339"/>
      <c r="T15" s="339"/>
      <c r="U15" s="339"/>
      <c r="V15" s="339"/>
      <c r="W15" s="339"/>
      <c r="X15" s="339"/>
      <c r="Y15" s="339"/>
      <c r="Z15" s="339"/>
      <c r="AA15" s="5"/>
      <c r="AB15" s="5"/>
    </row>
    <row r="16" spans="1:28" x14ac:dyDescent="0.25">
      <c r="A16" s="368"/>
      <c r="B16" s="368"/>
      <c r="C16" s="368"/>
      <c r="D16" s="368"/>
      <c r="E16" s="368"/>
      <c r="F16" s="368"/>
      <c r="G16" s="368"/>
      <c r="H16" s="368"/>
      <c r="I16" s="368"/>
      <c r="J16" s="368"/>
      <c r="K16" s="368"/>
      <c r="L16" s="368"/>
      <c r="M16" s="368"/>
      <c r="N16" s="368"/>
      <c r="O16" s="368"/>
      <c r="P16" s="368"/>
      <c r="Q16" s="368"/>
      <c r="R16" s="368"/>
      <c r="S16" s="368"/>
      <c r="T16" s="368"/>
      <c r="U16" s="368"/>
      <c r="V16" s="368"/>
      <c r="W16" s="368"/>
      <c r="X16" s="368"/>
      <c r="Y16" s="368"/>
      <c r="Z16" s="368"/>
      <c r="AA16" s="15"/>
      <c r="AB16" s="15"/>
    </row>
    <row r="17" spans="1:28" x14ac:dyDescent="0.25">
      <c r="A17" s="368"/>
      <c r="B17" s="368"/>
      <c r="C17" s="368"/>
      <c r="D17" s="368"/>
      <c r="E17" s="368"/>
      <c r="F17" s="368"/>
      <c r="G17" s="368"/>
      <c r="H17" s="368"/>
      <c r="I17" s="368"/>
      <c r="J17" s="368"/>
      <c r="K17" s="368"/>
      <c r="L17" s="368"/>
      <c r="M17" s="368"/>
      <c r="N17" s="368"/>
      <c r="O17" s="368"/>
      <c r="P17" s="368"/>
      <c r="Q17" s="368"/>
      <c r="R17" s="368"/>
      <c r="S17" s="368"/>
      <c r="T17" s="368"/>
      <c r="U17" s="368"/>
      <c r="V17" s="368"/>
      <c r="W17" s="368"/>
      <c r="X17" s="368"/>
      <c r="Y17" s="368"/>
      <c r="Z17" s="368"/>
      <c r="AA17" s="15"/>
      <c r="AB17" s="15"/>
    </row>
    <row r="18" spans="1:28" x14ac:dyDescent="0.25">
      <c r="A18" s="368"/>
      <c r="B18" s="368"/>
      <c r="C18" s="368"/>
      <c r="D18" s="368"/>
      <c r="E18" s="368"/>
      <c r="F18" s="368"/>
      <c r="G18" s="368"/>
      <c r="H18" s="368"/>
      <c r="I18" s="368"/>
      <c r="J18" s="368"/>
      <c r="K18" s="368"/>
      <c r="L18" s="368"/>
      <c r="M18" s="368"/>
      <c r="N18" s="368"/>
      <c r="O18" s="368"/>
      <c r="P18" s="368"/>
      <c r="Q18" s="368"/>
      <c r="R18" s="368"/>
      <c r="S18" s="368"/>
      <c r="T18" s="368"/>
      <c r="U18" s="368"/>
      <c r="V18" s="368"/>
      <c r="W18" s="368"/>
      <c r="X18" s="368"/>
      <c r="Y18" s="368"/>
      <c r="Z18" s="368"/>
      <c r="AA18" s="15"/>
      <c r="AB18" s="15"/>
    </row>
    <row r="19" spans="1:28" x14ac:dyDescent="0.25">
      <c r="A19" s="368"/>
      <c r="B19" s="368"/>
      <c r="C19" s="368"/>
      <c r="D19" s="368"/>
      <c r="E19" s="368"/>
      <c r="F19" s="368"/>
      <c r="G19" s="368"/>
      <c r="H19" s="368"/>
      <c r="I19" s="368"/>
      <c r="J19" s="368"/>
      <c r="K19" s="368"/>
      <c r="L19" s="368"/>
      <c r="M19" s="368"/>
      <c r="N19" s="368"/>
      <c r="O19" s="368"/>
      <c r="P19" s="368"/>
      <c r="Q19" s="368"/>
      <c r="R19" s="368"/>
      <c r="S19" s="368"/>
      <c r="T19" s="368"/>
      <c r="U19" s="368"/>
      <c r="V19" s="368"/>
      <c r="W19" s="368"/>
      <c r="X19" s="368"/>
      <c r="Y19" s="368"/>
      <c r="Z19" s="368"/>
      <c r="AA19" s="15"/>
      <c r="AB19" s="15"/>
    </row>
    <row r="20" spans="1:28" x14ac:dyDescent="0.25">
      <c r="A20" s="368"/>
      <c r="B20" s="368"/>
      <c r="C20" s="368"/>
      <c r="D20" s="368"/>
      <c r="E20" s="368"/>
      <c r="F20" s="368"/>
      <c r="G20" s="368"/>
      <c r="H20" s="368"/>
      <c r="I20" s="368"/>
      <c r="J20" s="368"/>
      <c r="K20" s="368"/>
      <c r="L20" s="368"/>
      <c r="M20" s="368"/>
      <c r="N20" s="368"/>
      <c r="O20" s="368"/>
      <c r="P20" s="368"/>
      <c r="Q20" s="368"/>
      <c r="R20" s="368"/>
      <c r="S20" s="368"/>
      <c r="T20" s="368"/>
      <c r="U20" s="368"/>
      <c r="V20" s="368"/>
      <c r="W20" s="368"/>
      <c r="X20" s="368"/>
      <c r="Y20" s="368"/>
      <c r="Z20" s="368"/>
      <c r="AA20" s="15"/>
      <c r="AB20" s="15"/>
    </row>
    <row r="21" spans="1:28" x14ac:dyDescent="0.25">
      <c r="A21" s="368"/>
      <c r="B21" s="368"/>
      <c r="C21" s="368"/>
      <c r="D21" s="368"/>
      <c r="E21" s="368"/>
      <c r="F21" s="368"/>
      <c r="G21" s="368"/>
      <c r="H21" s="368"/>
      <c r="I21" s="368"/>
      <c r="J21" s="368"/>
      <c r="K21" s="368"/>
      <c r="L21" s="368"/>
      <c r="M21" s="368"/>
      <c r="N21" s="368"/>
      <c r="O21" s="368"/>
      <c r="P21" s="368"/>
      <c r="Q21" s="368"/>
      <c r="R21" s="368"/>
      <c r="S21" s="368"/>
      <c r="T21" s="368"/>
      <c r="U21" s="368"/>
      <c r="V21" s="368"/>
      <c r="W21" s="368"/>
      <c r="X21" s="368"/>
      <c r="Y21" s="368"/>
      <c r="Z21" s="368"/>
      <c r="AA21" s="15"/>
      <c r="AB21" s="15"/>
    </row>
    <row r="22" spans="1:28" x14ac:dyDescent="0.25">
      <c r="A22" s="369" t="s">
        <v>499</v>
      </c>
      <c r="B22" s="369"/>
      <c r="C22" s="369"/>
      <c r="D22" s="369"/>
      <c r="E22" s="369"/>
      <c r="F22" s="369"/>
      <c r="G22" s="369"/>
      <c r="H22" s="369"/>
      <c r="I22" s="369"/>
      <c r="J22" s="369"/>
      <c r="K22" s="369"/>
      <c r="L22" s="369"/>
      <c r="M22" s="369"/>
      <c r="N22" s="369"/>
      <c r="O22" s="369"/>
      <c r="P22" s="369"/>
      <c r="Q22" s="369"/>
      <c r="R22" s="369"/>
      <c r="S22" s="369"/>
      <c r="T22" s="369"/>
      <c r="U22" s="369"/>
      <c r="V22" s="369"/>
      <c r="W22" s="369"/>
      <c r="X22" s="369"/>
      <c r="Y22" s="369"/>
      <c r="Z22" s="369"/>
      <c r="AA22" s="120"/>
      <c r="AB22" s="120"/>
    </row>
    <row r="23" spans="1:28" ht="32.25" customHeight="1" x14ac:dyDescent="0.25">
      <c r="A23" s="371" t="s">
        <v>353</v>
      </c>
      <c r="B23" s="372"/>
      <c r="C23" s="372"/>
      <c r="D23" s="372"/>
      <c r="E23" s="372"/>
      <c r="F23" s="372"/>
      <c r="G23" s="372"/>
      <c r="H23" s="372"/>
      <c r="I23" s="372"/>
      <c r="J23" s="372"/>
      <c r="K23" s="372"/>
      <c r="L23" s="373"/>
      <c r="M23" s="370" t="s">
        <v>354</v>
      </c>
      <c r="N23" s="370"/>
      <c r="O23" s="370"/>
      <c r="P23" s="370"/>
      <c r="Q23" s="370"/>
      <c r="R23" s="370"/>
      <c r="S23" s="370"/>
      <c r="T23" s="370"/>
      <c r="U23" s="370"/>
      <c r="V23" s="370"/>
      <c r="W23" s="370"/>
      <c r="X23" s="370"/>
      <c r="Y23" s="370"/>
      <c r="Z23" s="370"/>
    </row>
    <row r="24" spans="1:28" ht="151.5" customHeight="1" x14ac:dyDescent="0.25">
      <c r="A24" s="72" t="s">
        <v>227</v>
      </c>
      <c r="B24" s="73" t="s">
        <v>256</v>
      </c>
      <c r="C24" s="72" t="s">
        <v>347</v>
      </c>
      <c r="D24" s="72" t="s">
        <v>228</v>
      </c>
      <c r="E24" s="72" t="s">
        <v>348</v>
      </c>
      <c r="F24" s="72" t="s">
        <v>350</v>
      </c>
      <c r="G24" s="72" t="s">
        <v>349</v>
      </c>
      <c r="H24" s="72" t="s">
        <v>229</v>
      </c>
      <c r="I24" s="72" t="s">
        <v>351</v>
      </c>
      <c r="J24" s="72" t="s">
        <v>261</v>
      </c>
      <c r="K24" s="73" t="s">
        <v>255</v>
      </c>
      <c r="L24" s="73" t="s">
        <v>230</v>
      </c>
      <c r="M24" s="74" t="s">
        <v>275</v>
      </c>
      <c r="N24" s="73" t="s">
        <v>510</v>
      </c>
      <c r="O24" s="72" t="s">
        <v>272</v>
      </c>
      <c r="P24" s="72" t="s">
        <v>273</v>
      </c>
      <c r="Q24" s="72" t="s">
        <v>271</v>
      </c>
      <c r="R24" s="72" t="s">
        <v>229</v>
      </c>
      <c r="S24" s="72" t="s">
        <v>270</v>
      </c>
      <c r="T24" s="72" t="s">
        <v>269</v>
      </c>
      <c r="U24" s="72" t="s">
        <v>346</v>
      </c>
      <c r="V24" s="72" t="s">
        <v>271</v>
      </c>
      <c r="W24" s="85" t="s">
        <v>254</v>
      </c>
      <c r="X24" s="85" t="s">
        <v>286</v>
      </c>
      <c r="Y24" s="85" t="s">
        <v>287</v>
      </c>
      <c r="Z24" s="87" t="s">
        <v>284</v>
      </c>
    </row>
    <row r="25" spans="1:28" ht="16.5" customHeight="1" x14ac:dyDescent="0.25">
      <c r="A25" s="72">
        <v>1</v>
      </c>
      <c r="B25" s="73">
        <v>2</v>
      </c>
      <c r="C25" s="72">
        <v>3</v>
      </c>
      <c r="D25" s="73">
        <v>4</v>
      </c>
      <c r="E25" s="72">
        <v>5</v>
      </c>
      <c r="F25" s="73">
        <v>6</v>
      </c>
      <c r="G25" s="72">
        <v>7</v>
      </c>
      <c r="H25" s="73">
        <v>8</v>
      </c>
      <c r="I25" s="72">
        <v>9</v>
      </c>
      <c r="J25" s="73">
        <v>10</v>
      </c>
      <c r="K25" s="72">
        <v>11</v>
      </c>
      <c r="L25" s="73">
        <v>12</v>
      </c>
      <c r="M25" s="72">
        <v>13</v>
      </c>
      <c r="N25" s="73">
        <v>14</v>
      </c>
      <c r="O25" s="72">
        <v>15</v>
      </c>
      <c r="P25" s="73">
        <v>16</v>
      </c>
      <c r="Q25" s="72">
        <v>17</v>
      </c>
      <c r="R25" s="73">
        <v>18</v>
      </c>
      <c r="S25" s="72">
        <v>19</v>
      </c>
      <c r="T25" s="73">
        <v>20</v>
      </c>
      <c r="U25" s="72">
        <v>21</v>
      </c>
      <c r="V25" s="73">
        <v>22</v>
      </c>
      <c r="W25" s="72">
        <v>23</v>
      </c>
      <c r="X25" s="73">
        <v>24</v>
      </c>
      <c r="Y25" s="72">
        <v>25</v>
      </c>
      <c r="Z25" s="73">
        <v>26</v>
      </c>
    </row>
    <row r="26" spans="1:28" ht="45.75" customHeight="1" x14ac:dyDescent="0.25">
      <c r="A26" s="67" t="s">
        <v>331</v>
      </c>
      <c r="B26" s="67"/>
      <c r="C26" s="69" t="s">
        <v>333</v>
      </c>
      <c r="D26" s="69" t="s">
        <v>334</v>
      </c>
      <c r="E26" s="69" t="s">
        <v>335</v>
      </c>
      <c r="F26" s="69" t="s">
        <v>266</v>
      </c>
      <c r="G26" s="69" t="s">
        <v>336</v>
      </c>
      <c r="H26" s="69" t="s">
        <v>229</v>
      </c>
      <c r="I26" s="69" t="s">
        <v>337</v>
      </c>
      <c r="J26" s="69" t="s">
        <v>338</v>
      </c>
      <c r="K26" s="66"/>
      <c r="L26" s="69" t="s">
        <v>252</v>
      </c>
      <c r="M26" s="71" t="s">
        <v>268</v>
      </c>
      <c r="N26" s="66"/>
      <c r="O26" s="66"/>
      <c r="P26" s="66"/>
      <c r="Q26" s="66"/>
      <c r="R26" s="66"/>
      <c r="S26" s="66"/>
      <c r="T26" s="66"/>
      <c r="U26" s="66"/>
      <c r="V26" s="66"/>
      <c r="W26" s="66"/>
      <c r="X26" s="66"/>
      <c r="Y26" s="66"/>
      <c r="Z26" s="68" t="s">
        <v>285</v>
      </c>
    </row>
    <row r="27" spans="1:28" x14ac:dyDescent="0.25">
      <c r="A27" s="66" t="s">
        <v>231</v>
      </c>
      <c r="B27" s="66" t="s">
        <v>257</v>
      </c>
      <c r="C27" s="66" t="s">
        <v>236</v>
      </c>
      <c r="D27" s="66" t="s">
        <v>237</v>
      </c>
      <c r="E27" s="66" t="s">
        <v>276</v>
      </c>
      <c r="F27" s="69" t="s">
        <v>232</v>
      </c>
      <c r="G27" s="69" t="s">
        <v>280</v>
      </c>
      <c r="H27" s="66" t="s">
        <v>229</v>
      </c>
      <c r="I27" s="69" t="s">
        <v>262</v>
      </c>
      <c r="J27" s="69" t="s">
        <v>244</v>
      </c>
      <c r="K27" s="69" t="s">
        <v>248</v>
      </c>
      <c r="L27" s="66"/>
      <c r="M27" s="69" t="s">
        <v>274</v>
      </c>
      <c r="N27" s="66"/>
      <c r="O27" s="66"/>
      <c r="P27" s="66"/>
      <c r="Q27" s="66"/>
      <c r="R27" s="66"/>
      <c r="S27" s="66"/>
      <c r="T27" s="66"/>
      <c r="U27" s="66"/>
      <c r="V27" s="66"/>
      <c r="W27" s="66"/>
      <c r="X27" s="66"/>
      <c r="Y27" s="66"/>
      <c r="Z27" s="66"/>
    </row>
    <row r="28" spans="1:28" x14ac:dyDescent="0.25">
      <c r="A28" s="66" t="s">
        <v>231</v>
      </c>
      <c r="B28" s="66" t="s">
        <v>258</v>
      </c>
      <c r="C28" s="66" t="s">
        <v>238</v>
      </c>
      <c r="D28" s="66" t="s">
        <v>239</v>
      </c>
      <c r="E28" s="66" t="s">
        <v>277</v>
      </c>
      <c r="F28" s="69" t="s">
        <v>233</v>
      </c>
      <c r="G28" s="69" t="s">
        <v>281</v>
      </c>
      <c r="H28" s="66" t="s">
        <v>229</v>
      </c>
      <c r="I28" s="69" t="s">
        <v>263</v>
      </c>
      <c r="J28" s="69" t="s">
        <v>245</v>
      </c>
      <c r="K28" s="69" t="s">
        <v>249</v>
      </c>
      <c r="L28" s="70"/>
      <c r="M28" s="69" t="s">
        <v>0</v>
      </c>
      <c r="N28" s="69"/>
      <c r="O28" s="69"/>
      <c r="P28" s="69"/>
      <c r="Q28" s="69"/>
      <c r="R28" s="69"/>
      <c r="S28" s="69"/>
      <c r="T28" s="69"/>
      <c r="U28" s="69"/>
      <c r="V28" s="69"/>
      <c r="W28" s="69"/>
      <c r="X28" s="69"/>
      <c r="Y28" s="69"/>
      <c r="Z28" s="69"/>
    </row>
    <row r="29" spans="1:28" x14ac:dyDescent="0.25">
      <c r="A29" s="66" t="s">
        <v>231</v>
      </c>
      <c r="B29" s="66" t="s">
        <v>259</v>
      </c>
      <c r="C29" s="66" t="s">
        <v>240</v>
      </c>
      <c r="D29" s="66" t="s">
        <v>241</v>
      </c>
      <c r="E29" s="66" t="s">
        <v>278</v>
      </c>
      <c r="F29" s="69" t="s">
        <v>234</v>
      </c>
      <c r="G29" s="69" t="s">
        <v>282</v>
      </c>
      <c r="H29" s="66" t="s">
        <v>229</v>
      </c>
      <c r="I29" s="69" t="s">
        <v>264</v>
      </c>
      <c r="J29" s="69" t="s">
        <v>246</v>
      </c>
      <c r="K29" s="69" t="s">
        <v>250</v>
      </c>
      <c r="L29" s="70"/>
      <c r="M29" s="66"/>
      <c r="N29" s="66"/>
      <c r="O29" s="66"/>
      <c r="P29" s="66"/>
      <c r="Q29" s="66"/>
      <c r="R29" s="66"/>
      <c r="S29" s="66"/>
      <c r="T29" s="66"/>
      <c r="U29" s="66"/>
      <c r="V29" s="66"/>
      <c r="W29" s="66"/>
      <c r="X29" s="66"/>
      <c r="Y29" s="66"/>
      <c r="Z29" s="66"/>
    </row>
    <row r="30" spans="1:28" x14ac:dyDescent="0.25">
      <c r="A30" s="66" t="s">
        <v>231</v>
      </c>
      <c r="B30" s="66" t="s">
        <v>260</v>
      </c>
      <c r="C30" s="66" t="s">
        <v>242</v>
      </c>
      <c r="D30" s="66" t="s">
        <v>243</v>
      </c>
      <c r="E30" s="66" t="s">
        <v>279</v>
      </c>
      <c r="F30" s="69" t="s">
        <v>235</v>
      </c>
      <c r="G30" s="69" t="s">
        <v>283</v>
      </c>
      <c r="H30" s="66" t="s">
        <v>229</v>
      </c>
      <c r="I30" s="69" t="s">
        <v>265</v>
      </c>
      <c r="J30" s="69" t="s">
        <v>247</v>
      </c>
      <c r="K30" s="69" t="s">
        <v>251</v>
      </c>
      <c r="L30" s="70"/>
      <c r="M30" s="66"/>
      <c r="N30" s="66"/>
      <c r="O30" s="66"/>
      <c r="P30" s="66"/>
      <c r="Q30" s="66"/>
      <c r="R30" s="66"/>
      <c r="S30" s="66"/>
      <c r="T30" s="66"/>
      <c r="U30" s="66"/>
      <c r="V30" s="66"/>
      <c r="W30" s="66"/>
      <c r="X30" s="66"/>
      <c r="Y30" s="66"/>
      <c r="Z30" s="66"/>
    </row>
    <row r="31" spans="1:28" x14ac:dyDescent="0.25">
      <c r="A31" s="66" t="s">
        <v>0</v>
      </c>
      <c r="B31" s="66" t="s">
        <v>0</v>
      </c>
      <c r="C31" s="66" t="s">
        <v>0</v>
      </c>
      <c r="D31" s="66" t="s">
        <v>0</v>
      </c>
      <c r="E31" s="66" t="s">
        <v>0</v>
      </c>
      <c r="F31" s="66" t="s">
        <v>0</v>
      </c>
      <c r="G31" s="66" t="s">
        <v>0</v>
      </c>
      <c r="H31" s="66" t="s">
        <v>0</v>
      </c>
      <c r="I31" s="66" t="s">
        <v>0</v>
      </c>
      <c r="J31" s="66" t="s">
        <v>0</v>
      </c>
      <c r="K31" s="66" t="s">
        <v>0</v>
      </c>
      <c r="L31" s="70"/>
      <c r="M31" s="66"/>
      <c r="N31" s="66"/>
      <c r="O31" s="66"/>
      <c r="P31" s="66"/>
      <c r="Q31" s="66"/>
      <c r="R31" s="66"/>
      <c r="S31" s="66"/>
      <c r="T31" s="66"/>
      <c r="U31" s="66"/>
      <c r="V31" s="66"/>
      <c r="W31" s="66"/>
      <c r="X31" s="66"/>
      <c r="Y31" s="66"/>
      <c r="Z31" s="66"/>
    </row>
    <row r="32" spans="1:28" ht="30" x14ac:dyDescent="0.25">
      <c r="A32" s="67" t="s">
        <v>332</v>
      </c>
      <c r="B32" s="67"/>
      <c r="C32" s="69" t="s">
        <v>339</v>
      </c>
      <c r="D32" s="69" t="s">
        <v>340</v>
      </c>
      <c r="E32" s="69" t="s">
        <v>341</v>
      </c>
      <c r="F32" s="69" t="s">
        <v>342</v>
      </c>
      <c r="G32" s="69" t="s">
        <v>343</v>
      </c>
      <c r="H32" s="69" t="s">
        <v>229</v>
      </c>
      <c r="I32" s="69" t="s">
        <v>344</v>
      </c>
      <c r="J32" s="69" t="s">
        <v>345</v>
      </c>
      <c r="K32" s="66"/>
      <c r="L32" s="66"/>
      <c r="M32" s="66"/>
      <c r="N32" s="66"/>
      <c r="O32" s="66"/>
      <c r="P32" s="66"/>
      <c r="Q32" s="66"/>
      <c r="R32" s="66"/>
      <c r="S32" s="66"/>
      <c r="T32" s="66"/>
      <c r="U32" s="66"/>
      <c r="V32" s="66"/>
      <c r="W32" s="66"/>
      <c r="X32" s="66"/>
      <c r="Y32" s="66"/>
      <c r="Z32" s="66"/>
    </row>
    <row r="33" spans="1:26" x14ac:dyDescent="0.25">
      <c r="A33" s="66" t="s">
        <v>0</v>
      </c>
      <c r="B33" s="66" t="s">
        <v>0</v>
      </c>
      <c r="C33" s="66" t="s">
        <v>0</v>
      </c>
      <c r="D33" s="66" t="s">
        <v>0</v>
      </c>
      <c r="E33" s="66" t="s">
        <v>0</v>
      </c>
      <c r="F33" s="66" t="s">
        <v>0</v>
      </c>
      <c r="G33" s="66" t="s">
        <v>0</v>
      </c>
      <c r="H33" s="66" t="s">
        <v>0</v>
      </c>
      <c r="I33" s="66" t="s">
        <v>0</v>
      </c>
      <c r="J33" s="66" t="s">
        <v>0</v>
      </c>
      <c r="K33" s="66" t="s">
        <v>0</v>
      </c>
      <c r="L33" s="66"/>
      <c r="M33" s="66"/>
      <c r="N33" s="66"/>
      <c r="O33" s="66"/>
      <c r="P33" s="66"/>
      <c r="Q33" s="66"/>
      <c r="R33" s="66"/>
      <c r="S33" s="66"/>
      <c r="T33" s="66"/>
      <c r="U33" s="66"/>
      <c r="V33" s="66"/>
      <c r="W33" s="66"/>
      <c r="X33" s="66"/>
      <c r="Y33" s="66"/>
      <c r="Z33" s="66"/>
    </row>
    <row r="37" spans="1:26" x14ac:dyDescent="0.25">
      <c r="A37" s="8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22"/>
  <sheetViews>
    <sheetView view="pageBreakPreview" zoomScale="6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3" width="16.7109375" style="1" customWidth="1"/>
    <col min="14" max="16384" width="9.140625" style="1"/>
  </cols>
  <sheetData>
    <row r="1" spans="1:26" s="8" customFormat="1" ht="18.75" customHeight="1" x14ac:dyDescent="0.2">
      <c r="A1" s="14"/>
      <c r="B1" s="14"/>
      <c r="M1" s="28" t="s">
        <v>66</v>
      </c>
    </row>
    <row r="2" spans="1:26" s="8" customFormat="1" ht="18.75" customHeight="1" x14ac:dyDescent="0.3">
      <c r="A2" s="14"/>
      <c r="B2" s="14"/>
      <c r="M2" s="12" t="s">
        <v>8</v>
      </c>
    </row>
    <row r="3" spans="1:26" s="8" customFormat="1" ht="18.75" x14ac:dyDescent="0.3">
      <c r="A3" s="13"/>
      <c r="B3" s="13"/>
      <c r="M3" s="12" t="s">
        <v>65</v>
      </c>
    </row>
    <row r="4" spans="1:26" s="8" customFormat="1" ht="15.75" x14ac:dyDescent="0.2">
      <c r="A4" s="13"/>
      <c r="B4" s="13"/>
    </row>
    <row r="5" spans="1:26" s="8" customFormat="1" ht="15.75" x14ac:dyDescent="0.2">
      <c r="A5" s="338" t="str">
        <f>'1. паспорт местоположение'!A5:C5</f>
        <v>Год раскрытия информации: 2024 год</v>
      </c>
      <c r="B5" s="338"/>
      <c r="C5" s="338"/>
      <c r="D5" s="338"/>
      <c r="E5" s="338"/>
      <c r="F5" s="338"/>
      <c r="G5" s="338"/>
      <c r="H5" s="338"/>
      <c r="I5" s="338"/>
      <c r="J5" s="338"/>
      <c r="K5" s="338"/>
      <c r="L5" s="338"/>
      <c r="M5" s="338"/>
      <c r="N5" s="119"/>
      <c r="O5" s="119"/>
      <c r="P5" s="119"/>
      <c r="Q5" s="119"/>
      <c r="R5" s="119"/>
      <c r="S5" s="119"/>
      <c r="T5" s="119"/>
      <c r="U5" s="119"/>
      <c r="V5" s="119"/>
      <c r="W5" s="119"/>
      <c r="X5" s="119"/>
      <c r="Y5" s="119"/>
      <c r="Z5" s="119"/>
    </row>
    <row r="6" spans="1:26" s="8" customFormat="1" ht="15.75" x14ac:dyDescent="0.2">
      <c r="A6" s="13"/>
      <c r="B6" s="13"/>
    </row>
    <row r="7" spans="1:26" s="8" customFormat="1" ht="18.75" x14ac:dyDescent="0.2">
      <c r="A7" s="342" t="s">
        <v>7</v>
      </c>
      <c r="B7" s="342"/>
      <c r="C7" s="342"/>
      <c r="D7" s="342"/>
      <c r="E7" s="342"/>
      <c r="F7" s="342"/>
      <c r="G7" s="342"/>
      <c r="H7" s="342"/>
      <c r="I7" s="342"/>
      <c r="J7" s="342"/>
      <c r="K7" s="342"/>
      <c r="L7" s="342"/>
      <c r="M7" s="342"/>
      <c r="N7" s="10"/>
      <c r="O7" s="10"/>
      <c r="P7" s="10"/>
      <c r="Q7" s="10"/>
      <c r="R7" s="10"/>
      <c r="S7" s="10"/>
      <c r="T7" s="10"/>
      <c r="U7" s="10"/>
      <c r="V7" s="10"/>
      <c r="W7" s="10"/>
      <c r="X7" s="10"/>
    </row>
    <row r="8" spans="1:26" s="8" customFormat="1" ht="18.75" x14ac:dyDescent="0.2">
      <c r="A8" s="342"/>
      <c r="B8" s="342"/>
      <c r="C8" s="342"/>
      <c r="D8" s="342"/>
      <c r="E8" s="342"/>
      <c r="F8" s="342"/>
      <c r="G8" s="342"/>
      <c r="H8" s="342"/>
      <c r="I8" s="342"/>
      <c r="J8" s="342"/>
      <c r="K8" s="342"/>
      <c r="L8" s="342"/>
      <c r="M8" s="342"/>
      <c r="N8" s="10"/>
      <c r="O8" s="10"/>
      <c r="P8" s="10"/>
      <c r="Q8" s="10"/>
      <c r="R8" s="10"/>
      <c r="S8" s="10"/>
      <c r="T8" s="10"/>
      <c r="U8" s="10"/>
      <c r="V8" s="10"/>
      <c r="W8" s="10"/>
      <c r="X8" s="10"/>
    </row>
    <row r="9" spans="1:26" s="8" customFormat="1" ht="18.75" x14ac:dyDescent="0.2">
      <c r="A9" s="348" t="str">
        <f>'1. паспорт местоположение'!A9:C9</f>
        <v>Акционерное общество "Западная энергетическая компания"</v>
      </c>
      <c r="B9" s="348"/>
      <c r="C9" s="348"/>
      <c r="D9" s="348"/>
      <c r="E9" s="348"/>
      <c r="F9" s="348"/>
      <c r="G9" s="348"/>
      <c r="H9" s="348"/>
      <c r="I9" s="348"/>
      <c r="J9" s="348"/>
      <c r="K9" s="348"/>
      <c r="L9" s="348"/>
      <c r="M9" s="348"/>
      <c r="N9" s="10"/>
      <c r="O9" s="10"/>
      <c r="P9" s="10"/>
      <c r="Q9" s="10"/>
      <c r="R9" s="10"/>
      <c r="S9" s="10"/>
      <c r="T9" s="10"/>
      <c r="U9" s="10"/>
      <c r="V9" s="10"/>
      <c r="W9" s="10"/>
      <c r="X9" s="10"/>
    </row>
    <row r="10" spans="1:26" s="8" customFormat="1" ht="18.75" x14ac:dyDescent="0.2">
      <c r="A10" s="339" t="s">
        <v>6</v>
      </c>
      <c r="B10" s="339"/>
      <c r="C10" s="339"/>
      <c r="D10" s="339"/>
      <c r="E10" s="339"/>
      <c r="F10" s="339"/>
      <c r="G10" s="339"/>
      <c r="H10" s="339"/>
      <c r="I10" s="339"/>
      <c r="J10" s="339"/>
      <c r="K10" s="339"/>
      <c r="L10" s="339"/>
      <c r="M10" s="339"/>
      <c r="N10" s="10"/>
      <c r="O10" s="10"/>
      <c r="P10" s="10"/>
      <c r="Q10" s="10"/>
      <c r="R10" s="10"/>
      <c r="S10" s="10"/>
      <c r="T10" s="10"/>
      <c r="U10" s="10"/>
      <c r="V10" s="10"/>
      <c r="W10" s="10"/>
      <c r="X10" s="10"/>
    </row>
    <row r="11" spans="1:26" s="8" customFormat="1" ht="18.75" x14ac:dyDescent="0.2">
      <c r="A11" s="342"/>
      <c r="B11" s="342"/>
      <c r="C11" s="342"/>
      <c r="D11" s="342"/>
      <c r="E11" s="342"/>
      <c r="F11" s="342"/>
      <c r="G11" s="342"/>
      <c r="H11" s="342"/>
      <c r="I11" s="342"/>
      <c r="J11" s="342"/>
      <c r="K11" s="342"/>
      <c r="L11" s="342"/>
      <c r="M11" s="342"/>
      <c r="N11" s="10"/>
      <c r="O11" s="10"/>
      <c r="P11" s="10"/>
      <c r="Q11" s="10"/>
      <c r="R11" s="10"/>
      <c r="S11" s="10"/>
      <c r="T11" s="10"/>
      <c r="U11" s="10"/>
      <c r="V11" s="10"/>
      <c r="W11" s="10"/>
      <c r="X11" s="10"/>
    </row>
    <row r="12" spans="1:26" s="8" customFormat="1" ht="18.75" x14ac:dyDescent="0.2">
      <c r="A12" s="348" t="str">
        <f>'1. паспорт местоположение'!A12:C12</f>
        <v>M 22-06</v>
      </c>
      <c r="B12" s="348"/>
      <c r="C12" s="348"/>
      <c r="D12" s="348"/>
      <c r="E12" s="348"/>
      <c r="F12" s="348"/>
      <c r="G12" s="348"/>
      <c r="H12" s="348"/>
      <c r="I12" s="348"/>
      <c r="J12" s="348"/>
      <c r="K12" s="348"/>
      <c r="L12" s="348"/>
      <c r="M12" s="348"/>
      <c r="N12" s="10"/>
      <c r="O12" s="10"/>
      <c r="P12" s="10"/>
      <c r="Q12" s="10"/>
      <c r="R12" s="10"/>
      <c r="S12" s="10"/>
      <c r="T12" s="10"/>
      <c r="U12" s="10"/>
      <c r="V12" s="10"/>
      <c r="W12" s="10"/>
      <c r="X12" s="10"/>
    </row>
    <row r="13" spans="1:26" s="8" customFormat="1" ht="18.75" x14ac:dyDescent="0.2">
      <c r="A13" s="339" t="s">
        <v>5</v>
      </c>
      <c r="B13" s="339"/>
      <c r="C13" s="339"/>
      <c r="D13" s="339"/>
      <c r="E13" s="339"/>
      <c r="F13" s="339"/>
      <c r="G13" s="339"/>
      <c r="H13" s="339"/>
      <c r="I13" s="339"/>
      <c r="J13" s="339"/>
      <c r="K13" s="339"/>
      <c r="L13" s="339"/>
      <c r="M13" s="339"/>
      <c r="N13" s="10"/>
      <c r="O13" s="10"/>
      <c r="P13" s="10"/>
      <c r="Q13" s="10"/>
      <c r="R13" s="10"/>
      <c r="S13" s="10"/>
      <c r="T13" s="10"/>
      <c r="U13" s="10"/>
      <c r="V13" s="10"/>
      <c r="W13" s="10"/>
      <c r="X13" s="10"/>
    </row>
    <row r="14" spans="1:26" s="8" customFormat="1" ht="15.75" customHeight="1" x14ac:dyDescent="0.2">
      <c r="A14" s="346"/>
      <c r="B14" s="346"/>
      <c r="C14" s="346"/>
      <c r="D14" s="346"/>
      <c r="E14" s="346"/>
      <c r="F14" s="346"/>
      <c r="G14" s="346"/>
      <c r="H14" s="346"/>
      <c r="I14" s="346"/>
      <c r="J14" s="346"/>
      <c r="K14" s="346"/>
      <c r="L14" s="346"/>
      <c r="M14" s="346"/>
      <c r="N14" s="4"/>
      <c r="O14" s="4"/>
      <c r="P14" s="4"/>
      <c r="Q14" s="4"/>
      <c r="R14" s="4"/>
      <c r="S14" s="4"/>
      <c r="T14" s="4"/>
      <c r="U14" s="4"/>
      <c r="V14" s="4"/>
      <c r="W14" s="4"/>
      <c r="X14" s="4"/>
    </row>
    <row r="15" spans="1:26" s="3" customFormat="1" ht="54.75" customHeight="1" x14ac:dyDescent="0.2">
      <c r="A15" s="374" t="str">
        <f>'1. паспорт местоположение'!A15</f>
        <v>Приобретение устройства испытательного  "Ретом-61" – 1 шт.</v>
      </c>
      <c r="B15" s="374"/>
      <c r="C15" s="374"/>
      <c r="D15" s="374"/>
      <c r="E15" s="374"/>
      <c r="F15" s="374"/>
      <c r="G15" s="374"/>
      <c r="H15" s="374"/>
      <c r="I15" s="374"/>
      <c r="J15" s="374"/>
      <c r="K15" s="374"/>
      <c r="L15" s="374"/>
      <c r="M15" s="374"/>
      <c r="N15" s="7"/>
      <c r="O15" s="7"/>
      <c r="P15" s="7"/>
      <c r="Q15" s="7"/>
      <c r="R15" s="7"/>
      <c r="S15" s="7"/>
      <c r="T15" s="7"/>
      <c r="U15" s="7"/>
      <c r="V15" s="7"/>
      <c r="W15" s="7"/>
      <c r="X15" s="7"/>
    </row>
    <row r="16" spans="1:26" s="3" customFormat="1" ht="15" customHeight="1" x14ac:dyDescent="0.2">
      <c r="A16" s="339" t="s">
        <v>4</v>
      </c>
      <c r="B16" s="339"/>
      <c r="C16" s="339"/>
      <c r="D16" s="339"/>
      <c r="E16" s="339"/>
      <c r="F16" s="339"/>
      <c r="G16" s="339"/>
      <c r="H16" s="339"/>
      <c r="I16" s="339"/>
      <c r="J16" s="339"/>
      <c r="K16" s="339"/>
      <c r="L16" s="339"/>
      <c r="M16" s="339"/>
      <c r="N16" s="5"/>
      <c r="O16" s="5"/>
      <c r="P16" s="5"/>
      <c r="Q16" s="5"/>
      <c r="R16" s="5"/>
      <c r="S16" s="5"/>
      <c r="T16" s="5"/>
      <c r="U16" s="5"/>
      <c r="V16" s="5"/>
      <c r="W16" s="5"/>
      <c r="X16" s="5"/>
    </row>
    <row r="17" spans="1:24" s="3" customFormat="1" ht="15" customHeight="1" x14ac:dyDescent="0.2">
      <c r="A17" s="346"/>
      <c r="B17" s="346"/>
      <c r="C17" s="346"/>
      <c r="D17" s="346"/>
      <c r="E17" s="346"/>
      <c r="F17" s="346"/>
      <c r="G17" s="346"/>
      <c r="H17" s="346"/>
      <c r="I17" s="346"/>
      <c r="J17" s="346"/>
      <c r="K17" s="346"/>
      <c r="L17" s="346"/>
      <c r="M17" s="346"/>
      <c r="N17" s="4"/>
      <c r="O17" s="4"/>
      <c r="P17" s="4"/>
      <c r="Q17" s="4"/>
      <c r="R17" s="4"/>
      <c r="S17" s="4"/>
      <c r="T17" s="4"/>
      <c r="U17" s="4"/>
    </row>
    <row r="18" spans="1:24" s="3" customFormat="1" ht="91.5" customHeight="1" x14ac:dyDescent="0.2">
      <c r="A18" s="375" t="s">
        <v>476</v>
      </c>
      <c r="B18" s="375"/>
      <c r="C18" s="375"/>
      <c r="D18" s="375"/>
      <c r="E18" s="375"/>
      <c r="F18" s="375"/>
      <c r="G18" s="375"/>
      <c r="H18" s="375"/>
      <c r="I18" s="375"/>
      <c r="J18" s="375"/>
      <c r="K18" s="375"/>
      <c r="L18" s="375"/>
      <c r="M18" s="375"/>
      <c r="N18" s="6"/>
      <c r="O18" s="6"/>
      <c r="P18" s="6"/>
      <c r="Q18" s="6"/>
      <c r="R18" s="6"/>
      <c r="S18" s="6"/>
      <c r="T18" s="6"/>
      <c r="U18" s="6"/>
      <c r="V18" s="6"/>
      <c r="W18" s="6"/>
      <c r="X18" s="6"/>
    </row>
    <row r="19" spans="1:24" s="3" customFormat="1" ht="78" customHeight="1" x14ac:dyDescent="0.2">
      <c r="A19" s="376" t="s">
        <v>3</v>
      </c>
      <c r="B19" s="376" t="s">
        <v>82</v>
      </c>
      <c r="C19" s="376" t="s">
        <v>81</v>
      </c>
      <c r="D19" s="376" t="s">
        <v>73</v>
      </c>
      <c r="E19" s="377" t="s">
        <v>80</v>
      </c>
      <c r="F19" s="378"/>
      <c r="G19" s="378"/>
      <c r="H19" s="378"/>
      <c r="I19" s="379"/>
      <c r="J19" s="376" t="s">
        <v>79</v>
      </c>
      <c r="K19" s="376"/>
      <c r="L19" s="376"/>
      <c r="M19" s="376"/>
      <c r="N19" s="4"/>
      <c r="O19" s="4"/>
      <c r="P19" s="4"/>
      <c r="Q19" s="4"/>
      <c r="R19" s="4"/>
      <c r="S19" s="4"/>
      <c r="T19" s="4"/>
      <c r="U19" s="4"/>
    </row>
    <row r="20" spans="1:24" s="3" customFormat="1" ht="51" customHeight="1" x14ac:dyDescent="0.2">
      <c r="A20" s="376"/>
      <c r="B20" s="376"/>
      <c r="C20" s="376"/>
      <c r="D20" s="376"/>
      <c r="E20" s="154" t="s">
        <v>78</v>
      </c>
      <c r="F20" s="154" t="s">
        <v>77</v>
      </c>
      <c r="G20" s="154" t="s">
        <v>76</v>
      </c>
      <c r="H20" s="154" t="s">
        <v>75</v>
      </c>
      <c r="I20" s="154" t="s">
        <v>74</v>
      </c>
      <c r="J20" s="154">
        <v>2020</v>
      </c>
      <c r="K20" s="154">
        <v>2021</v>
      </c>
      <c r="L20" s="154">
        <v>2022</v>
      </c>
      <c r="M20" s="154">
        <v>2023</v>
      </c>
      <c r="N20" s="4"/>
      <c r="O20" s="4"/>
      <c r="P20" s="4"/>
      <c r="Q20" s="4"/>
      <c r="R20" s="4"/>
      <c r="S20" s="4"/>
      <c r="T20" s="4"/>
      <c r="U20" s="4"/>
    </row>
    <row r="21" spans="1:24" s="3" customFormat="1" ht="16.5" customHeight="1" x14ac:dyDescent="0.2">
      <c r="A21" s="155">
        <v>1</v>
      </c>
      <c r="B21" s="156">
        <v>2</v>
      </c>
      <c r="C21" s="155">
        <v>3</v>
      </c>
      <c r="D21" s="156">
        <v>4</v>
      </c>
      <c r="E21" s="155">
        <v>5</v>
      </c>
      <c r="F21" s="156">
        <v>6</v>
      </c>
      <c r="G21" s="155">
        <v>7</v>
      </c>
      <c r="H21" s="156">
        <v>8</v>
      </c>
      <c r="I21" s="155">
        <v>9</v>
      </c>
      <c r="J21" s="156">
        <v>10</v>
      </c>
      <c r="K21" s="155">
        <v>11</v>
      </c>
      <c r="L21" s="156">
        <v>12</v>
      </c>
      <c r="M21" s="155">
        <v>13</v>
      </c>
      <c r="N21" s="4"/>
      <c r="O21" s="4"/>
      <c r="P21" s="4"/>
      <c r="Q21" s="4"/>
      <c r="R21" s="4"/>
      <c r="S21" s="4"/>
      <c r="T21" s="4"/>
      <c r="U21" s="4"/>
    </row>
    <row r="22" spans="1:24" s="3" customFormat="1" ht="33" customHeight="1" x14ac:dyDescent="0.2">
      <c r="A22" s="157" t="s">
        <v>62</v>
      </c>
      <c r="B22" s="158" t="s">
        <v>541</v>
      </c>
      <c r="C22" s="159">
        <v>0</v>
      </c>
      <c r="D22" s="159">
        <v>0</v>
      </c>
      <c r="E22" s="159">
        <v>0</v>
      </c>
      <c r="F22" s="159">
        <v>0</v>
      </c>
      <c r="G22" s="159">
        <v>0</v>
      </c>
      <c r="H22" s="159">
        <v>0</v>
      </c>
      <c r="I22" s="159">
        <v>0</v>
      </c>
      <c r="J22" s="153">
        <v>0</v>
      </c>
      <c r="K22" s="153">
        <v>0</v>
      </c>
      <c r="L22" s="160">
        <v>0</v>
      </c>
      <c r="M22" s="160">
        <v>0</v>
      </c>
      <c r="N22" s="4"/>
      <c r="O22" s="4"/>
      <c r="P22" s="4"/>
      <c r="Q22" s="4"/>
      <c r="R22" s="4"/>
      <c r="S22" s="4"/>
    </row>
  </sheetData>
  <mergeCells count="19">
    <mergeCell ref="A18:M18"/>
    <mergeCell ref="B19:B20"/>
    <mergeCell ref="E19:I19"/>
    <mergeCell ref="A19:A20"/>
    <mergeCell ref="C19:C20"/>
    <mergeCell ref="D19:D20"/>
    <mergeCell ref="J19:M19"/>
    <mergeCell ref="A5:M5"/>
    <mergeCell ref="A7:M7"/>
    <mergeCell ref="A8:M8"/>
    <mergeCell ref="A9:M9"/>
    <mergeCell ref="A10:M10"/>
    <mergeCell ref="A16:M16"/>
    <mergeCell ref="A17:M17"/>
    <mergeCell ref="A11:M11"/>
    <mergeCell ref="A12:M12"/>
    <mergeCell ref="A13:M13"/>
    <mergeCell ref="A14:M14"/>
    <mergeCell ref="A15:M15"/>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4BC356-6634-43C8-9F95-F19FE103C50A}">
  <dimension ref="A1:BS182"/>
  <sheetViews>
    <sheetView tabSelected="1" topLeftCell="A58" workbookViewId="0">
      <selection activeCell="B44" sqref="B44"/>
    </sheetView>
  </sheetViews>
  <sheetFormatPr defaultRowHeight="15" x14ac:dyDescent="0.25"/>
  <cols>
    <col min="1" max="1" width="35.42578125" style="332" customWidth="1"/>
    <col min="2" max="2" width="22" style="332" customWidth="1"/>
    <col min="3" max="5" width="17.140625" style="332" customWidth="1"/>
    <col min="6" max="11" width="13.5703125" style="332" customWidth="1"/>
    <col min="12" max="13" width="13.5703125" style="332" hidden="1" customWidth="1"/>
    <col min="14" max="31" width="15.7109375" style="332" hidden="1" customWidth="1"/>
    <col min="32" max="33" width="15.7109375" style="332" customWidth="1"/>
    <col min="34" max="16384" width="9.140625" style="332"/>
  </cols>
  <sheetData>
    <row r="1" spans="1:45" s="195" customFormat="1" ht="12.75" x14ac:dyDescent="0.2">
      <c r="A1" s="192"/>
      <c r="B1" s="193"/>
      <c r="C1" s="193"/>
      <c r="D1" s="193"/>
      <c r="E1" s="193"/>
      <c r="F1" s="193"/>
      <c r="G1" s="193"/>
      <c r="H1" s="193"/>
      <c r="I1" s="193"/>
      <c r="J1" s="193"/>
      <c r="K1" s="194"/>
      <c r="L1" s="193"/>
      <c r="M1" s="193"/>
      <c r="N1" s="193"/>
      <c r="O1" s="193"/>
      <c r="P1" s="194" t="s">
        <v>66</v>
      </c>
      <c r="Q1" s="193"/>
      <c r="R1" s="193"/>
      <c r="S1" s="193"/>
      <c r="T1" s="193"/>
      <c r="U1" s="193"/>
      <c r="V1" s="193"/>
      <c r="W1" s="193"/>
      <c r="X1" s="193"/>
      <c r="Y1" s="193"/>
      <c r="Z1" s="193"/>
      <c r="AA1" s="193"/>
      <c r="AB1" s="193"/>
      <c r="AC1" s="193"/>
      <c r="AD1" s="193"/>
      <c r="AE1" s="193"/>
      <c r="AF1" s="193"/>
      <c r="AG1" s="193"/>
      <c r="AH1" s="193"/>
      <c r="AI1" s="193"/>
      <c r="AJ1" s="193"/>
      <c r="AK1" s="193"/>
      <c r="AL1" s="193"/>
      <c r="AM1" s="193"/>
      <c r="AN1" s="193"/>
      <c r="AP1" s="196"/>
      <c r="AQ1" s="196"/>
      <c r="AR1" s="197"/>
      <c r="AS1" s="197"/>
    </row>
    <row r="2" spans="1:45" s="195" customFormat="1" ht="12.75" x14ac:dyDescent="0.2">
      <c r="A2" s="192"/>
      <c r="B2" s="193"/>
      <c r="C2" s="193"/>
      <c r="D2" s="193"/>
      <c r="E2" s="193"/>
      <c r="F2" s="193"/>
      <c r="G2" s="193"/>
      <c r="H2" s="193"/>
      <c r="I2" s="193"/>
      <c r="J2" s="193"/>
      <c r="K2" s="198"/>
      <c r="L2" s="193"/>
      <c r="M2" s="193"/>
      <c r="N2" s="193"/>
      <c r="O2" s="193"/>
      <c r="P2" s="198" t="s">
        <v>8</v>
      </c>
      <c r="Q2" s="193"/>
      <c r="R2" s="193"/>
      <c r="S2" s="193"/>
      <c r="T2" s="193"/>
      <c r="U2" s="193"/>
      <c r="V2" s="193"/>
      <c r="W2" s="193"/>
      <c r="X2" s="193"/>
      <c r="Y2" s="193"/>
      <c r="Z2" s="193"/>
      <c r="AA2" s="193"/>
      <c r="AB2" s="193"/>
      <c r="AC2" s="193"/>
      <c r="AD2" s="193"/>
      <c r="AE2" s="193"/>
      <c r="AF2" s="193"/>
      <c r="AG2" s="193"/>
      <c r="AH2" s="193"/>
      <c r="AI2" s="193"/>
      <c r="AJ2" s="193"/>
      <c r="AK2" s="193"/>
      <c r="AL2" s="193"/>
      <c r="AM2" s="193"/>
      <c r="AN2" s="193"/>
      <c r="AP2" s="196"/>
      <c r="AQ2" s="196"/>
      <c r="AR2" s="197"/>
      <c r="AS2" s="197"/>
    </row>
    <row r="3" spans="1:45" s="195" customFormat="1" ht="12.75" x14ac:dyDescent="0.2">
      <c r="A3" s="199"/>
      <c r="B3" s="193"/>
      <c r="C3" s="193"/>
      <c r="D3" s="193"/>
      <c r="E3" s="193"/>
      <c r="F3" s="193"/>
      <c r="G3" s="193"/>
      <c r="H3" s="193"/>
      <c r="I3" s="193"/>
      <c r="J3" s="193"/>
      <c r="K3" s="198"/>
      <c r="L3" s="193"/>
      <c r="M3" s="193"/>
      <c r="N3" s="193"/>
      <c r="O3" s="193"/>
      <c r="P3" s="198" t="s">
        <v>328</v>
      </c>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P3" s="196"/>
      <c r="AQ3" s="196"/>
      <c r="AR3" s="197"/>
      <c r="AS3" s="197"/>
    </row>
    <row r="4" spans="1:45" s="195" customFormat="1" ht="12.75" x14ac:dyDescent="0.2">
      <c r="A4" s="200"/>
      <c r="B4" s="192"/>
      <c r="C4" s="192"/>
      <c r="D4" s="192"/>
      <c r="E4" s="192"/>
      <c r="F4" s="192"/>
      <c r="G4" s="192"/>
      <c r="H4" s="192"/>
      <c r="I4" s="192"/>
      <c r="J4" s="192"/>
      <c r="K4" s="198"/>
      <c r="L4" s="192"/>
      <c r="M4" s="192"/>
      <c r="N4" s="192"/>
      <c r="O4" s="192"/>
      <c r="P4" s="192"/>
      <c r="Q4" s="193"/>
      <c r="R4" s="193"/>
      <c r="S4" s="193"/>
      <c r="T4" s="193"/>
      <c r="U4" s="193"/>
      <c r="V4" s="193"/>
      <c r="W4" s="193"/>
      <c r="X4" s="193"/>
      <c r="Y4" s="193"/>
      <c r="Z4" s="193"/>
      <c r="AA4" s="193"/>
      <c r="AB4" s="193"/>
      <c r="AC4" s="193"/>
      <c r="AD4" s="193"/>
      <c r="AE4" s="193"/>
      <c r="AF4" s="193"/>
      <c r="AG4" s="193"/>
      <c r="AH4" s="193"/>
      <c r="AI4" s="193"/>
      <c r="AJ4" s="193"/>
      <c r="AK4" s="193"/>
      <c r="AL4" s="193"/>
      <c r="AM4" s="193"/>
      <c r="AN4" s="193"/>
      <c r="AO4" s="193"/>
      <c r="AP4" s="196"/>
      <c r="AQ4" s="196"/>
      <c r="AR4" s="197"/>
      <c r="AS4" s="197"/>
    </row>
    <row r="5" spans="1:45" s="195" customFormat="1" ht="12.75" x14ac:dyDescent="0.2">
      <c r="A5" s="381" t="str">
        <f>'1. паспорт местоположение'!A5:C5</f>
        <v>Год раскрытия информации: 2024 год</v>
      </c>
      <c r="B5" s="381"/>
      <c r="C5" s="381"/>
      <c r="D5" s="381"/>
      <c r="E5" s="381"/>
      <c r="F5" s="381"/>
      <c r="G5" s="381"/>
      <c r="H5" s="381"/>
      <c r="I5" s="381"/>
      <c r="J5" s="381"/>
      <c r="K5" s="381"/>
      <c r="L5" s="381"/>
      <c r="M5" s="381"/>
      <c r="N5" s="381"/>
      <c r="O5" s="381"/>
      <c r="P5" s="38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c r="AP5" s="196"/>
      <c r="AQ5" s="196"/>
      <c r="AR5" s="197"/>
      <c r="AS5" s="197"/>
    </row>
    <row r="6" spans="1:45" s="195" customFormat="1" ht="12.75" x14ac:dyDescent="0.2">
      <c r="A6" s="200"/>
      <c r="B6" s="192"/>
      <c r="C6" s="192"/>
      <c r="D6" s="192"/>
      <c r="E6" s="192"/>
      <c r="F6" s="192"/>
      <c r="G6" s="192"/>
      <c r="H6" s="192"/>
      <c r="I6" s="192"/>
      <c r="J6" s="192"/>
      <c r="K6" s="198"/>
      <c r="L6" s="192"/>
      <c r="M6" s="192"/>
      <c r="N6" s="192"/>
      <c r="O6" s="192"/>
      <c r="P6" s="192"/>
      <c r="Q6" s="193"/>
      <c r="R6" s="193"/>
      <c r="S6" s="193"/>
      <c r="T6" s="193"/>
      <c r="U6" s="193"/>
      <c r="V6" s="193"/>
      <c r="W6" s="193"/>
      <c r="X6" s="193"/>
      <c r="Y6" s="193"/>
      <c r="Z6" s="193"/>
      <c r="AA6" s="193"/>
      <c r="AB6" s="193"/>
      <c r="AC6" s="193"/>
      <c r="AD6" s="193"/>
      <c r="AE6" s="193"/>
      <c r="AF6" s="193"/>
      <c r="AG6" s="193"/>
      <c r="AH6" s="193"/>
      <c r="AI6" s="193"/>
      <c r="AJ6" s="193"/>
      <c r="AK6" s="193"/>
      <c r="AL6" s="193"/>
      <c r="AM6" s="193"/>
      <c r="AN6" s="193"/>
      <c r="AO6" s="193"/>
      <c r="AP6" s="196"/>
      <c r="AQ6" s="196"/>
      <c r="AR6" s="197"/>
      <c r="AS6" s="197"/>
    </row>
    <row r="7" spans="1:45" s="195" customFormat="1" ht="12.75" x14ac:dyDescent="0.2">
      <c r="A7" s="381" t="s">
        <v>7</v>
      </c>
      <c r="B7" s="381"/>
      <c r="C7" s="381"/>
      <c r="D7" s="381"/>
      <c r="E7" s="381"/>
      <c r="F7" s="381"/>
      <c r="G7" s="381"/>
      <c r="H7" s="381"/>
      <c r="I7" s="381"/>
      <c r="J7" s="381"/>
      <c r="K7" s="381"/>
      <c r="L7" s="381"/>
      <c r="M7" s="381"/>
      <c r="N7" s="381"/>
      <c r="O7" s="381"/>
      <c r="P7" s="381"/>
      <c r="Q7" s="202"/>
      <c r="R7" s="202"/>
      <c r="S7" s="202"/>
      <c r="T7" s="202"/>
      <c r="U7" s="202"/>
      <c r="V7" s="202"/>
      <c r="W7" s="202"/>
      <c r="X7" s="202"/>
      <c r="Y7" s="202"/>
      <c r="Z7" s="202"/>
      <c r="AA7" s="202"/>
      <c r="AB7" s="202"/>
      <c r="AC7" s="202"/>
      <c r="AD7" s="202"/>
      <c r="AE7" s="202"/>
      <c r="AF7" s="202"/>
      <c r="AG7" s="202"/>
      <c r="AH7" s="202"/>
      <c r="AI7" s="202"/>
      <c r="AJ7" s="202"/>
      <c r="AK7" s="202"/>
      <c r="AL7" s="202"/>
      <c r="AM7" s="202"/>
      <c r="AN7" s="202"/>
      <c r="AO7" s="202"/>
      <c r="AP7" s="196"/>
      <c r="AQ7" s="196"/>
      <c r="AR7" s="197"/>
      <c r="AS7" s="197"/>
    </row>
    <row r="8" spans="1:45" s="195" customFormat="1" ht="12.75" x14ac:dyDescent="0.2">
      <c r="A8" s="203"/>
      <c r="B8" s="203"/>
      <c r="C8" s="203"/>
      <c r="D8" s="203"/>
      <c r="E8" s="203"/>
      <c r="F8" s="203"/>
      <c r="G8" s="203"/>
      <c r="H8" s="203"/>
      <c r="I8" s="203"/>
      <c r="J8" s="203"/>
      <c r="K8" s="203"/>
      <c r="L8" s="201"/>
      <c r="M8" s="201"/>
      <c r="N8" s="201"/>
      <c r="O8" s="201"/>
      <c r="P8" s="201"/>
      <c r="Q8" s="202"/>
      <c r="R8" s="202"/>
      <c r="S8" s="202"/>
      <c r="T8" s="202"/>
      <c r="U8" s="202"/>
      <c r="V8" s="202"/>
      <c r="W8" s="202"/>
      <c r="X8" s="202"/>
      <c r="Y8" s="202"/>
      <c r="Z8" s="193"/>
      <c r="AA8" s="193"/>
      <c r="AB8" s="193"/>
      <c r="AC8" s="193"/>
      <c r="AD8" s="193"/>
      <c r="AE8" s="193"/>
      <c r="AF8" s="193"/>
      <c r="AG8" s="193"/>
      <c r="AH8" s="193"/>
      <c r="AI8" s="193"/>
      <c r="AJ8" s="193"/>
      <c r="AK8" s="193"/>
      <c r="AL8" s="193"/>
      <c r="AM8" s="193"/>
      <c r="AN8" s="193"/>
      <c r="AO8" s="193"/>
      <c r="AP8" s="196"/>
      <c r="AQ8" s="196"/>
      <c r="AR8" s="197"/>
      <c r="AS8" s="197"/>
    </row>
    <row r="9" spans="1:45" s="195" customFormat="1" ht="12.75" x14ac:dyDescent="0.2">
      <c r="A9" s="382" t="s">
        <v>610</v>
      </c>
      <c r="B9" s="382"/>
      <c r="C9" s="382"/>
      <c r="D9" s="382"/>
      <c r="E9" s="382"/>
      <c r="F9" s="382"/>
      <c r="G9" s="382"/>
      <c r="H9" s="382"/>
      <c r="I9" s="382"/>
      <c r="J9" s="382"/>
      <c r="K9" s="382"/>
      <c r="L9" s="382"/>
      <c r="M9" s="382"/>
      <c r="N9" s="382"/>
      <c r="O9" s="382"/>
      <c r="P9" s="382"/>
      <c r="Q9" s="204"/>
      <c r="R9" s="204"/>
      <c r="S9" s="204"/>
      <c r="T9" s="204"/>
      <c r="U9" s="204"/>
      <c r="V9" s="204"/>
      <c r="W9" s="204"/>
      <c r="X9" s="204"/>
      <c r="Y9" s="204"/>
      <c r="Z9" s="204"/>
      <c r="AA9" s="204"/>
      <c r="AB9" s="204"/>
      <c r="AC9" s="204"/>
      <c r="AD9" s="204"/>
      <c r="AE9" s="204"/>
      <c r="AF9" s="204"/>
      <c r="AG9" s="204"/>
      <c r="AH9" s="204"/>
      <c r="AI9" s="204"/>
      <c r="AJ9" s="204"/>
      <c r="AK9" s="204"/>
      <c r="AL9" s="204"/>
      <c r="AM9" s="204"/>
      <c r="AN9" s="204"/>
      <c r="AO9" s="204"/>
      <c r="AP9" s="196"/>
      <c r="AQ9" s="196"/>
      <c r="AR9" s="197"/>
      <c r="AS9" s="197"/>
    </row>
    <row r="10" spans="1:45" s="195" customFormat="1" ht="12.75" x14ac:dyDescent="0.2">
      <c r="A10" s="380" t="s">
        <v>6</v>
      </c>
      <c r="B10" s="380"/>
      <c r="C10" s="380"/>
      <c r="D10" s="380"/>
      <c r="E10" s="380"/>
      <c r="F10" s="380"/>
      <c r="G10" s="380"/>
      <c r="H10" s="380"/>
      <c r="I10" s="380"/>
      <c r="J10" s="380"/>
      <c r="K10" s="380"/>
      <c r="L10" s="380"/>
      <c r="M10" s="380"/>
      <c r="N10" s="380"/>
      <c r="O10" s="380"/>
      <c r="P10" s="380"/>
      <c r="Q10" s="205"/>
      <c r="R10" s="205"/>
      <c r="S10" s="205"/>
      <c r="T10" s="205"/>
      <c r="U10" s="205"/>
      <c r="V10" s="205"/>
      <c r="W10" s="205"/>
      <c r="X10" s="205"/>
      <c r="Y10" s="205"/>
      <c r="Z10" s="205"/>
      <c r="AA10" s="205"/>
      <c r="AB10" s="205"/>
      <c r="AC10" s="205"/>
      <c r="AD10" s="205"/>
      <c r="AE10" s="205"/>
      <c r="AF10" s="205"/>
      <c r="AG10" s="205"/>
      <c r="AH10" s="205"/>
      <c r="AI10" s="205"/>
      <c r="AJ10" s="205"/>
      <c r="AK10" s="205"/>
      <c r="AL10" s="205"/>
      <c r="AM10" s="205"/>
      <c r="AN10" s="205"/>
      <c r="AO10" s="205"/>
      <c r="AP10" s="196"/>
      <c r="AQ10" s="196"/>
      <c r="AR10" s="197"/>
      <c r="AS10" s="197"/>
    </row>
    <row r="11" spans="1:45" s="195" customFormat="1" ht="12.75" x14ac:dyDescent="0.2">
      <c r="A11" s="203"/>
      <c r="B11" s="203"/>
      <c r="C11" s="203"/>
      <c r="D11" s="203"/>
      <c r="E11" s="203"/>
      <c r="F11" s="203"/>
      <c r="G11" s="203"/>
      <c r="H11" s="203"/>
      <c r="I11" s="203"/>
      <c r="J11" s="203"/>
      <c r="K11" s="203"/>
      <c r="L11" s="201"/>
      <c r="M11" s="201"/>
      <c r="N11" s="201"/>
      <c r="O11" s="201"/>
      <c r="P11" s="201"/>
      <c r="Q11" s="202"/>
      <c r="R11" s="202"/>
      <c r="S11" s="202"/>
      <c r="T11" s="202"/>
      <c r="U11" s="202"/>
      <c r="V11" s="202"/>
      <c r="W11" s="202"/>
      <c r="X11" s="202"/>
      <c r="Y11" s="202"/>
      <c r="Z11" s="193"/>
      <c r="AA11" s="193"/>
      <c r="AB11" s="193"/>
      <c r="AC11" s="193"/>
      <c r="AD11" s="193"/>
      <c r="AE11" s="193"/>
      <c r="AF11" s="193"/>
      <c r="AG11" s="193"/>
      <c r="AH11" s="193"/>
      <c r="AI11" s="193"/>
      <c r="AJ11" s="193"/>
      <c r="AK11" s="193"/>
      <c r="AL11" s="193"/>
      <c r="AM11" s="193"/>
      <c r="AN11" s="193"/>
      <c r="AO11" s="193"/>
      <c r="AP11" s="196"/>
      <c r="AQ11" s="196"/>
      <c r="AR11" s="197"/>
      <c r="AS11" s="197"/>
    </row>
    <row r="12" spans="1:45" s="195" customFormat="1" ht="12.75" x14ac:dyDescent="0.2">
      <c r="A12" s="382" t="str">
        <f>'1. паспорт местоположение'!A12:C12</f>
        <v>M 22-06</v>
      </c>
      <c r="B12" s="382"/>
      <c r="C12" s="382"/>
      <c r="D12" s="382"/>
      <c r="E12" s="382"/>
      <c r="F12" s="382"/>
      <c r="G12" s="382"/>
      <c r="H12" s="382"/>
      <c r="I12" s="382"/>
      <c r="J12" s="382"/>
      <c r="K12" s="382"/>
      <c r="L12" s="382"/>
      <c r="M12" s="382"/>
      <c r="N12" s="382"/>
      <c r="O12" s="382"/>
      <c r="P12" s="382"/>
      <c r="Q12" s="204"/>
      <c r="R12" s="204"/>
      <c r="S12" s="204"/>
      <c r="T12" s="204"/>
      <c r="U12" s="204"/>
      <c r="V12" s="204"/>
      <c r="W12" s="204"/>
      <c r="X12" s="204"/>
      <c r="Y12" s="204"/>
      <c r="Z12" s="204"/>
      <c r="AA12" s="204"/>
      <c r="AB12" s="204"/>
      <c r="AC12" s="204"/>
      <c r="AD12" s="204"/>
      <c r="AE12" s="204"/>
      <c r="AF12" s="204"/>
      <c r="AG12" s="204"/>
      <c r="AH12" s="204"/>
      <c r="AI12" s="204"/>
      <c r="AJ12" s="204"/>
      <c r="AK12" s="204"/>
      <c r="AL12" s="204"/>
      <c r="AM12" s="204"/>
      <c r="AN12" s="204"/>
      <c r="AO12" s="204"/>
      <c r="AP12" s="196"/>
      <c r="AQ12" s="196"/>
      <c r="AR12" s="197"/>
      <c r="AS12" s="197"/>
    </row>
    <row r="13" spans="1:45" s="195" customFormat="1" ht="12.75" x14ac:dyDescent="0.2">
      <c r="A13" s="380" t="s">
        <v>5</v>
      </c>
      <c r="B13" s="380"/>
      <c r="C13" s="380"/>
      <c r="D13" s="380"/>
      <c r="E13" s="380"/>
      <c r="F13" s="380"/>
      <c r="G13" s="380"/>
      <c r="H13" s="380"/>
      <c r="I13" s="380"/>
      <c r="J13" s="380"/>
      <c r="K13" s="380"/>
      <c r="L13" s="380"/>
      <c r="M13" s="380"/>
      <c r="N13" s="380"/>
      <c r="O13" s="380"/>
      <c r="P13" s="380"/>
      <c r="Q13" s="205"/>
      <c r="R13" s="205"/>
      <c r="S13" s="205"/>
      <c r="T13" s="205"/>
      <c r="U13" s="205"/>
      <c r="V13" s="205"/>
      <c r="W13" s="205"/>
      <c r="X13" s="205"/>
      <c r="Y13" s="205"/>
      <c r="Z13" s="205"/>
      <c r="AA13" s="205"/>
      <c r="AB13" s="205"/>
      <c r="AC13" s="205"/>
      <c r="AD13" s="205"/>
      <c r="AE13" s="205"/>
      <c r="AF13" s="205"/>
      <c r="AG13" s="205"/>
      <c r="AH13" s="205"/>
      <c r="AI13" s="205"/>
      <c r="AJ13" s="205"/>
      <c r="AK13" s="205"/>
      <c r="AL13" s="205"/>
      <c r="AM13" s="205"/>
      <c r="AN13" s="205"/>
      <c r="AO13" s="205"/>
      <c r="AP13" s="196"/>
      <c r="AQ13" s="196"/>
      <c r="AR13" s="197"/>
      <c r="AS13" s="197"/>
    </row>
    <row r="14" spans="1:45" s="195" customFormat="1" ht="12.75" x14ac:dyDescent="0.2">
      <c r="A14" s="206"/>
      <c r="B14" s="206"/>
      <c r="C14" s="206"/>
      <c r="D14" s="206"/>
      <c r="E14" s="206"/>
      <c r="F14" s="206"/>
      <c r="G14" s="206"/>
      <c r="H14" s="206"/>
      <c r="I14" s="206"/>
      <c r="J14" s="206"/>
      <c r="K14" s="206"/>
      <c r="L14" s="206"/>
      <c r="M14" s="206"/>
      <c r="N14" s="206"/>
      <c r="O14" s="206"/>
      <c r="P14" s="206"/>
      <c r="Q14" s="207"/>
      <c r="R14" s="207"/>
      <c r="S14" s="207"/>
      <c r="T14" s="207"/>
      <c r="U14" s="207"/>
      <c r="V14" s="207"/>
      <c r="W14" s="207"/>
      <c r="X14" s="207"/>
      <c r="Y14" s="207"/>
      <c r="Z14" s="193"/>
      <c r="AA14" s="193"/>
      <c r="AB14" s="193"/>
      <c r="AC14" s="193"/>
      <c r="AD14" s="193"/>
      <c r="AE14" s="193"/>
      <c r="AF14" s="193"/>
      <c r="AG14" s="193"/>
      <c r="AH14" s="193"/>
      <c r="AI14" s="193"/>
      <c r="AJ14" s="193"/>
      <c r="AK14" s="193"/>
      <c r="AL14" s="193"/>
      <c r="AM14" s="193"/>
      <c r="AN14" s="193"/>
      <c r="AO14" s="193"/>
      <c r="AP14" s="196"/>
      <c r="AQ14" s="196"/>
      <c r="AR14" s="197"/>
      <c r="AS14" s="197"/>
    </row>
    <row r="15" spans="1:45" s="195" customFormat="1" ht="12.75" x14ac:dyDescent="0.2">
      <c r="A15" s="386" t="str">
        <f>'1. паспорт местоположение'!A15:C15</f>
        <v>Приобретение устройства испытательного  "Ретом-61" – 1 шт.</v>
      </c>
      <c r="B15" s="386"/>
      <c r="C15" s="386"/>
      <c r="D15" s="386"/>
      <c r="E15" s="386"/>
      <c r="F15" s="386"/>
      <c r="G15" s="386"/>
      <c r="H15" s="386"/>
      <c r="I15" s="386"/>
      <c r="J15" s="386"/>
      <c r="K15" s="386"/>
      <c r="L15" s="386"/>
      <c r="M15" s="386"/>
      <c r="N15" s="386"/>
      <c r="O15" s="386"/>
      <c r="P15" s="386"/>
      <c r="Q15" s="208"/>
      <c r="R15" s="208"/>
      <c r="S15" s="208"/>
      <c r="T15" s="208"/>
      <c r="U15" s="208"/>
      <c r="V15" s="208"/>
      <c r="W15" s="208"/>
      <c r="X15" s="208"/>
      <c r="Y15" s="208"/>
      <c r="Z15" s="208"/>
      <c r="AA15" s="208"/>
      <c r="AB15" s="208"/>
      <c r="AC15" s="208"/>
      <c r="AD15" s="208"/>
      <c r="AE15" s="208"/>
      <c r="AF15" s="208"/>
      <c r="AG15" s="208"/>
      <c r="AH15" s="208"/>
      <c r="AI15" s="208"/>
      <c r="AJ15" s="208"/>
      <c r="AK15" s="208"/>
      <c r="AL15" s="208"/>
      <c r="AM15" s="208"/>
      <c r="AN15" s="208"/>
      <c r="AO15" s="208"/>
      <c r="AP15" s="196"/>
      <c r="AQ15" s="196"/>
      <c r="AR15" s="197"/>
      <c r="AS15" s="197"/>
    </row>
    <row r="16" spans="1:45" s="195" customFormat="1" ht="12.75" x14ac:dyDescent="0.2">
      <c r="A16" s="387" t="s">
        <v>4</v>
      </c>
      <c r="B16" s="387"/>
      <c r="C16" s="387"/>
      <c r="D16" s="387"/>
      <c r="E16" s="387"/>
      <c r="F16" s="387"/>
      <c r="G16" s="387"/>
      <c r="H16" s="387"/>
      <c r="I16" s="387"/>
      <c r="J16" s="387"/>
      <c r="K16" s="387"/>
      <c r="L16" s="387"/>
      <c r="M16" s="387"/>
      <c r="N16" s="387"/>
      <c r="O16" s="387"/>
      <c r="P16" s="387"/>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c r="AP16" s="196"/>
      <c r="AQ16" s="196"/>
      <c r="AR16" s="197"/>
      <c r="AS16" s="197"/>
    </row>
    <row r="17" spans="1:45" s="195" customFormat="1" ht="12.75" x14ac:dyDescent="0.2">
      <c r="A17" s="207"/>
      <c r="B17" s="207"/>
      <c r="C17" s="207"/>
      <c r="D17" s="207"/>
      <c r="E17" s="207"/>
      <c r="F17" s="207"/>
      <c r="G17" s="207"/>
      <c r="H17" s="207"/>
      <c r="I17" s="207"/>
      <c r="J17" s="207"/>
      <c r="K17" s="207"/>
      <c r="L17" s="207"/>
      <c r="M17" s="207"/>
      <c r="N17" s="207"/>
      <c r="O17" s="207"/>
      <c r="P17" s="207"/>
      <c r="Q17" s="207"/>
      <c r="R17" s="207"/>
      <c r="S17" s="207"/>
      <c r="T17" s="207"/>
      <c r="U17" s="207"/>
      <c r="V17" s="207"/>
      <c r="W17" s="209"/>
      <c r="X17" s="209"/>
      <c r="Y17" s="209"/>
      <c r="Z17" s="209"/>
      <c r="AA17" s="209"/>
      <c r="AB17" s="209"/>
      <c r="AC17" s="209"/>
      <c r="AD17" s="209"/>
      <c r="AE17" s="209"/>
      <c r="AF17" s="209"/>
      <c r="AG17" s="209"/>
      <c r="AH17" s="209"/>
      <c r="AI17" s="209"/>
      <c r="AJ17" s="209"/>
      <c r="AK17" s="209"/>
      <c r="AL17" s="209"/>
      <c r="AM17" s="209"/>
      <c r="AN17" s="209"/>
      <c r="AO17" s="209"/>
      <c r="AP17" s="196"/>
      <c r="AQ17" s="196"/>
      <c r="AR17" s="197"/>
      <c r="AS17" s="197"/>
    </row>
    <row r="18" spans="1:45" s="195" customFormat="1" ht="12.75" x14ac:dyDescent="0.2">
      <c r="A18" s="388" t="s">
        <v>477</v>
      </c>
      <c r="B18" s="388"/>
      <c r="C18" s="388"/>
      <c r="D18" s="388"/>
      <c r="E18" s="388"/>
      <c r="F18" s="388"/>
      <c r="G18" s="388"/>
      <c r="H18" s="388"/>
      <c r="I18" s="388"/>
      <c r="J18" s="388"/>
      <c r="K18" s="388"/>
      <c r="L18" s="388"/>
      <c r="M18" s="388"/>
      <c r="N18" s="388"/>
      <c r="O18" s="388"/>
      <c r="P18" s="388"/>
      <c r="Q18" s="204"/>
      <c r="R18" s="204"/>
      <c r="S18" s="204"/>
      <c r="T18" s="204"/>
      <c r="U18" s="204"/>
      <c r="V18" s="204"/>
      <c r="W18" s="204"/>
      <c r="X18" s="204"/>
      <c r="Y18" s="204"/>
      <c r="Z18" s="204"/>
      <c r="AA18" s="204"/>
      <c r="AB18" s="204"/>
      <c r="AC18" s="204"/>
      <c r="AD18" s="204"/>
      <c r="AE18" s="204"/>
      <c r="AF18" s="204"/>
      <c r="AG18" s="204"/>
      <c r="AH18" s="204"/>
      <c r="AI18" s="204"/>
      <c r="AJ18" s="204"/>
      <c r="AK18" s="204"/>
      <c r="AL18" s="204"/>
      <c r="AM18" s="204"/>
      <c r="AN18" s="204"/>
      <c r="AO18" s="204"/>
      <c r="AP18" s="196"/>
      <c r="AQ18" s="196"/>
      <c r="AR18" s="197"/>
      <c r="AS18" s="197"/>
    </row>
    <row r="19" spans="1:45" s="195" customFormat="1" ht="12.75" x14ac:dyDescent="0.2">
      <c r="A19" s="210"/>
      <c r="B19" s="210"/>
      <c r="C19" s="210"/>
      <c r="D19" s="210"/>
      <c r="E19" s="210"/>
      <c r="F19" s="210"/>
      <c r="G19" s="210"/>
      <c r="H19" s="210"/>
      <c r="I19" s="210"/>
      <c r="J19" s="210"/>
      <c r="K19" s="210"/>
      <c r="L19" s="210"/>
      <c r="M19" s="210"/>
      <c r="N19" s="210"/>
      <c r="O19" s="210"/>
      <c r="P19" s="210"/>
      <c r="Q19" s="204"/>
      <c r="R19" s="204"/>
      <c r="S19" s="204"/>
      <c r="T19" s="204"/>
      <c r="U19" s="204"/>
      <c r="V19" s="204"/>
      <c r="W19" s="204"/>
      <c r="X19" s="204"/>
      <c r="Y19" s="204"/>
      <c r="Z19" s="204"/>
      <c r="AA19" s="204"/>
      <c r="AB19" s="204"/>
      <c r="AC19" s="204"/>
      <c r="AD19" s="204"/>
      <c r="AE19" s="204"/>
      <c r="AF19" s="204"/>
      <c r="AG19" s="204"/>
      <c r="AH19" s="204"/>
      <c r="AI19" s="204"/>
      <c r="AJ19" s="204"/>
      <c r="AK19" s="204"/>
      <c r="AL19" s="204"/>
      <c r="AM19" s="204"/>
      <c r="AN19" s="204"/>
      <c r="AO19" s="204"/>
      <c r="AP19" s="196"/>
      <c r="AQ19" s="196"/>
      <c r="AR19" s="197"/>
      <c r="AS19" s="197"/>
    </row>
    <row r="20" spans="1:45" s="195" customFormat="1" ht="12.75" x14ac:dyDescent="0.2">
      <c r="A20" s="210"/>
      <c r="B20" s="210"/>
      <c r="C20" s="210"/>
      <c r="D20" s="210"/>
      <c r="E20" s="210"/>
      <c r="F20" s="210"/>
      <c r="G20" s="210"/>
      <c r="H20" s="210"/>
      <c r="I20" s="210"/>
      <c r="J20" s="210"/>
      <c r="K20" s="210"/>
      <c r="L20" s="210"/>
      <c r="M20" s="210"/>
      <c r="N20" s="210"/>
      <c r="O20" s="210"/>
      <c r="P20" s="210"/>
      <c r="Q20" s="204"/>
      <c r="R20" s="204"/>
      <c r="S20" s="204"/>
      <c r="T20" s="204"/>
      <c r="U20" s="204"/>
      <c r="V20" s="204"/>
      <c r="W20" s="204"/>
      <c r="X20" s="204"/>
      <c r="Y20" s="204"/>
      <c r="Z20" s="204"/>
      <c r="AA20" s="204"/>
      <c r="AB20" s="204"/>
      <c r="AC20" s="204"/>
      <c r="AD20" s="204"/>
      <c r="AE20" s="204"/>
      <c r="AF20" s="204"/>
      <c r="AG20" s="204"/>
      <c r="AH20" s="204"/>
      <c r="AI20" s="204"/>
      <c r="AJ20" s="204"/>
      <c r="AK20" s="204"/>
      <c r="AL20" s="204"/>
      <c r="AM20" s="204"/>
      <c r="AN20" s="204"/>
      <c r="AO20" s="204"/>
      <c r="AP20" s="196"/>
      <c r="AQ20" s="196"/>
      <c r="AR20" s="197"/>
      <c r="AS20" s="197"/>
    </row>
    <row r="21" spans="1:45" s="195" customFormat="1" ht="12.75" x14ac:dyDescent="0.2">
      <c r="A21" s="211"/>
      <c r="B21" s="205"/>
      <c r="C21" s="205"/>
      <c r="D21" s="205"/>
      <c r="E21" s="205"/>
      <c r="F21" s="205"/>
      <c r="G21" s="205"/>
      <c r="H21" s="205"/>
      <c r="I21" s="205"/>
      <c r="J21" s="205"/>
      <c r="K21" s="205"/>
      <c r="L21" s="205"/>
      <c r="M21" s="205"/>
      <c r="N21" s="205"/>
      <c r="O21" s="205"/>
      <c r="P21" s="205"/>
      <c r="Q21" s="205"/>
      <c r="R21" s="205"/>
      <c r="S21" s="205"/>
      <c r="T21" s="205"/>
      <c r="U21" s="205"/>
      <c r="V21" s="205"/>
      <c r="W21" s="205"/>
      <c r="X21" s="205"/>
      <c r="Y21" s="205"/>
      <c r="Z21" s="205"/>
      <c r="AA21" s="205"/>
      <c r="AB21" s="205"/>
      <c r="AC21" s="205"/>
      <c r="AP21" s="196"/>
      <c r="AQ21" s="196"/>
      <c r="AR21" s="197"/>
      <c r="AS21" s="197"/>
    </row>
    <row r="22" spans="1:45" s="195" customFormat="1" ht="12.75" x14ac:dyDescent="0.2">
      <c r="A22" s="202"/>
      <c r="B22" s="205"/>
      <c r="C22" s="205"/>
      <c r="D22" s="205"/>
      <c r="E22" s="205"/>
      <c r="F22" s="205"/>
      <c r="G22" s="205"/>
      <c r="H22" s="205"/>
      <c r="I22" s="205"/>
      <c r="J22" s="205"/>
      <c r="K22" s="205"/>
      <c r="L22" s="205"/>
      <c r="M22" s="205"/>
      <c r="N22" s="205"/>
      <c r="O22" s="205"/>
      <c r="P22" s="205"/>
      <c r="Q22" s="205"/>
      <c r="R22" s="205"/>
      <c r="S22" s="205"/>
      <c r="T22" s="205"/>
      <c r="U22" s="205"/>
      <c r="V22" s="205"/>
      <c r="W22" s="205"/>
      <c r="X22" s="205"/>
      <c r="Y22" s="205"/>
      <c r="Z22" s="205"/>
      <c r="AA22" s="205"/>
      <c r="AB22" s="205"/>
      <c r="AC22" s="205"/>
      <c r="AP22" s="196"/>
      <c r="AQ22" s="196"/>
      <c r="AR22" s="197"/>
      <c r="AS22" s="197"/>
    </row>
    <row r="23" spans="1:45" s="195" customFormat="1" ht="13.5" thickBot="1" x14ac:dyDescent="0.25">
      <c r="A23" s="212" t="s">
        <v>327</v>
      </c>
      <c r="B23" s="212" t="s">
        <v>1</v>
      </c>
      <c r="C23" s="205"/>
      <c r="D23" s="213"/>
      <c r="E23" s="205"/>
      <c r="F23" s="205"/>
      <c r="G23" s="205"/>
      <c r="H23" s="205"/>
      <c r="I23" s="205"/>
      <c r="J23" s="205"/>
      <c r="K23" s="205"/>
      <c r="L23" s="205"/>
      <c r="M23" s="205"/>
      <c r="N23" s="205"/>
      <c r="O23" s="205"/>
      <c r="P23" s="205"/>
      <c r="Q23" s="205"/>
      <c r="R23" s="205"/>
      <c r="S23" s="205"/>
      <c r="T23" s="205"/>
      <c r="U23" s="205"/>
      <c r="V23" s="205"/>
      <c r="W23" s="205"/>
      <c r="X23" s="205"/>
      <c r="Y23" s="205"/>
      <c r="Z23" s="205"/>
      <c r="AA23" s="205"/>
      <c r="AB23" s="205"/>
      <c r="AC23" s="205"/>
    </row>
    <row r="24" spans="1:45" s="195" customFormat="1" x14ac:dyDescent="0.2">
      <c r="A24" s="214" t="s">
        <v>515</v>
      </c>
      <c r="B24" s="215">
        <f>'6.2. Паспорт фин осв ввод'!D30*1000000</f>
        <v>2011666.6666666667</v>
      </c>
      <c r="C24" s="205"/>
      <c r="D24" s="205"/>
      <c r="E24" s="205"/>
      <c r="F24" s="205"/>
      <c r="G24" s="205"/>
      <c r="H24" s="205"/>
      <c r="I24" s="205"/>
      <c r="J24" s="205"/>
      <c r="K24" s="205"/>
      <c r="L24" s="205"/>
      <c r="M24" s="205"/>
      <c r="N24" s="205"/>
      <c r="O24" s="205"/>
      <c r="P24" s="205"/>
      <c r="Q24" s="205"/>
      <c r="R24" s="205"/>
      <c r="S24" s="205"/>
      <c r="T24" s="205"/>
      <c r="U24" s="205"/>
      <c r="V24" s="205"/>
      <c r="W24" s="205"/>
      <c r="X24" s="205"/>
      <c r="Y24" s="205"/>
      <c r="Z24" s="205"/>
      <c r="AA24" s="205"/>
      <c r="AB24" s="205"/>
      <c r="AC24" s="205"/>
    </row>
    <row r="25" spans="1:45" s="195" customFormat="1" ht="12.75" x14ac:dyDescent="0.2">
      <c r="A25" s="216" t="s">
        <v>325</v>
      </c>
      <c r="B25" s="217">
        <v>0</v>
      </c>
      <c r="C25" s="205"/>
      <c r="D25" s="205"/>
      <c r="E25" s="205"/>
      <c r="F25" s="205"/>
      <c r="G25" s="205"/>
      <c r="H25" s="205"/>
      <c r="I25" s="205"/>
      <c r="J25" s="205"/>
      <c r="K25" s="205"/>
      <c r="L25" s="205"/>
      <c r="M25" s="205"/>
      <c r="N25" s="205"/>
      <c r="O25" s="205"/>
      <c r="P25" s="205"/>
      <c r="Q25" s="205"/>
      <c r="R25" s="205"/>
      <c r="S25" s="205"/>
      <c r="T25" s="205"/>
      <c r="U25" s="205"/>
      <c r="V25" s="205"/>
      <c r="W25" s="205"/>
      <c r="X25" s="205"/>
      <c r="Y25" s="205"/>
      <c r="Z25" s="205"/>
      <c r="AA25" s="205"/>
      <c r="AB25" s="205"/>
      <c r="AC25" s="205"/>
    </row>
    <row r="26" spans="1:45" s="195" customFormat="1" ht="12.75" x14ac:dyDescent="0.2">
      <c r="A26" s="216" t="s">
        <v>323</v>
      </c>
      <c r="B26" s="217">
        <v>30</v>
      </c>
      <c r="C26" s="205"/>
      <c r="D26" s="202" t="s">
        <v>326</v>
      </c>
      <c r="E26" s="205"/>
      <c r="F26" s="205"/>
      <c r="G26" s="205"/>
      <c r="H26" s="205"/>
      <c r="I26" s="205"/>
      <c r="J26" s="205"/>
      <c r="K26" s="205"/>
      <c r="L26" s="205"/>
      <c r="M26" s="205"/>
      <c r="N26" s="205"/>
      <c r="O26" s="205"/>
      <c r="P26" s="205"/>
      <c r="Q26" s="205"/>
      <c r="R26" s="205"/>
      <c r="S26" s="205"/>
      <c r="T26" s="205"/>
      <c r="U26" s="205"/>
      <c r="V26" s="205"/>
      <c r="W26" s="205"/>
      <c r="X26" s="205"/>
      <c r="Y26" s="205"/>
      <c r="Z26" s="205"/>
      <c r="AA26" s="205"/>
      <c r="AB26" s="205"/>
      <c r="AC26" s="205"/>
    </row>
    <row r="27" spans="1:45" s="195" customFormat="1" ht="13.5" thickBot="1" x14ac:dyDescent="0.25">
      <c r="A27" s="218" t="s">
        <v>321</v>
      </c>
      <c r="B27" s="219">
        <v>1</v>
      </c>
      <c r="C27" s="205"/>
      <c r="D27" s="389" t="s">
        <v>324</v>
      </c>
      <c r="E27" s="390"/>
      <c r="F27" s="391"/>
      <c r="G27" s="220" t="str">
        <f>IF(SUM(B89:AG89)=0,"не окупается",SUM(B89:AG89))</f>
        <v>не окупается</v>
      </c>
      <c r="H27" s="221"/>
      <c r="I27" s="205"/>
      <c r="J27" s="205"/>
      <c r="K27" s="205"/>
      <c r="L27" s="205"/>
      <c r="M27" s="205"/>
      <c r="N27" s="205"/>
      <c r="O27" s="205"/>
      <c r="P27" s="205"/>
      <c r="Q27" s="205"/>
      <c r="R27" s="205"/>
      <c r="S27" s="205"/>
      <c r="T27" s="205"/>
      <c r="U27" s="205"/>
      <c r="V27" s="205"/>
      <c r="W27" s="205"/>
      <c r="X27" s="205"/>
      <c r="Y27" s="205"/>
      <c r="Z27" s="205"/>
      <c r="AA27" s="205"/>
      <c r="AB27" s="205"/>
      <c r="AC27" s="205"/>
    </row>
    <row r="28" spans="1:45" s="195" customFormat="1" x14ac:dyDescent="0.2">
      <c r="A28" s="214" t="s">
        <v>320</v>
      </c>
      <c r="B28" s="215">
        <f>B24*0.0001</f>
        <v>201.16666666666669</v>
      </c>
      <c r="C28" s="205"/>
      <c r="D28" s="389" t="s">
        <v>322</v>
      </c>
      <c r="E28" s="390"/>
      <c r="F28" s="391"/>
      <c r="G28" s="220" t="str">
        <f>IF(SUM(B90:AG90)=0,"не окупается",SUM(B90:AG90))</f>
        <v>не окупается</v>
      </c>
      <c r="H28" s="221"/>
      <c r="I28" s="205"/>
      <c r="J28" s="205"/>
      <c r="K28" s="205"/>
      <c r="L28" s="205"/>
      <c r="M28" s="205"/>
      <c r="N28" s="205"/>
      <c r="O28" s="205"/>
      <c r="P28" s="205"/>
      <c r="Q28" s="205"/>
      <c r="R28" s="205"/>
      <c r="S28" s="205"/>
      <c r="T28" s="205"/>
      <c r="U28" s="205"/>
      <c r="V28" s="205"/>
      <c r="W28" s="205"/>
      <c r="X28" s="205"/>
      <c r="Y28" s="205"/>
      <c r="Z28" s="205"/>
      <c r="AA28" s="205"/>
      <c r="AB28" s="205"/>
      <c r="AC28" s="205"/>
    </row>
    <row r="29" spans="1:45" s="195" customFormat="1" ht="12.75" x14ac:dyDescent="0.2">
      <c r="A29" s="216" t="s">
        <v>516</v>
      </c>
      <c r="B29" s="217">
        <v>6</v>
      </c>
      <c r="C29" s="205"/>
      <c r="D29" s="389" t="s">
        <v>558</v>
      </c>
      <c r="E29" s="390"/>
      <c r="F29" s="391"/>
      <c r="G29" s="222">
        <f>L87</f>
        <v>-2799328.5772374528</v>
      </c>
      <c r="H29" s="223"/>
      <c r="I29" s="205"/>
      <c r="J29" s="205"/>
      <c r="K29" s="205"/>
      <c r="L29" s="205"/>
      <c r="M29" s="205"/>
      <c r="N29" s="205"/>
      <c r="O29" s="205"/>
      <c r="P29" s="205"/>
      <c r="Q29" s="205"/>
      <c r="R29" s="205"/>
      <c r="S29" s="205"/>
      <c r="T29" s="205"/>
      <c r="U29" s="205"/>
      <c r="V29" s="205"/>
      <c r="W29" s="205"/>
      <c r="X29" s="205"/>
      <c r="Y29" s="205"/>
      <c r="Z29" s="205"/>
      <c r="AA29" s="205"/>
      <c r="AB29" s="205"/>
      <c r="AC29" s="205"/>
    </row>
    <row r="30" spans="1:45" s="195" customFormat="1" ht="12.75" x14ac:dyDescent="0.2">
      <c r="A30" s="216" t="s">
        <v>319</v>
      </c>
      <c r="B30" s="217">
        <v>6</v>
      </c>
      <c r="C30" s="205"/>
      <c r="D30" s="389"/>
      <c r="E30" s="390"/>
      <c r="F30" s="391"/>
      <c r="G30" s="224"/>
      <c r="H30" s="225"/>
      <c r="I30" s="205"/>
      <c r="J30" s="205"/>
      <c r="K30" s="205"/>
      <c r="L30" s="205"/>
      <c r="M30" s="205"/>
      <c r="N30" s="205"/>
      <c r="O30" s="205"/>
      <c r="P30" s="205"/>
      <c r="Q30" s="205"/>
      <c r="R30" s="205"/>
      <c r="S30" s="205"/>
      <c r="T30" s="205"/>
      <c r="U30" s="205"/>
      <c r="V30" s="205"/>
      <c r="W30" s="205"/>
      <c r="X30" s="205"/>
      <c r="Y30" s="205"/>
      <c r="Z30" s="205"/>
      <c r="AA30" s="205"/>
      <c r="AB30" s="205"/>
      <c r="AC30" s="205"/>
    </row>
    <row r="31" spans="1:45" s="195" customFormat="1" ht="12.75" x14ac:dyDescent="0.2">
      <c r="A31" s="216" t="s">
        <v>298</v>
      </c>
      <c r="B31" s="217">
        <v>0</v>
      </c>
      <c r="C31" s="205"/>
      <c r="D31" s="205"/>
      <c r="E31" s="205"/>
      <c r="F31" s="205"/>
      <c r="G31" s="205"/>
      <c r="H31" s="205"/>
      <c r="I31" s="205"/>
      <c r="J31" s="205"/>
      <c r="K31" s="205"/>
      <c r="L31" s="205"/>
      <c r="M31" s="205"/>
      <c r="N31" s="205"/>
      <c r="O31" s="205"/>
      <c r="P31" s="205"/>
      <c r="Q31" s="205"/>
      <c r="R31" s="205"/>
      <c r="S31" s="205"/>
      <c r="T31" s="205"/>
      <c r="U31" s="205"/>
      <c r="V31" s="205"/>
      <c r="W31" s="205"/>
      <c r="X31" s="205"/>
      <c r="Y31" s="205"/>
      <c r="Z31" s="205"/>
      <c r="AA31" s="205"/>
      <c r="AB31" s="205"/>
      <c r="AC31" s="205"/>
    </row>
    <row r="32" spans="1:45" s="195" customFormat="1" ht="12.75" x14ac:dyDescent="0.2">
      <c r="A32" s="216" t="s">
        <v>318</v>
      </c>
      <c r="B32" s="217">
        <v>1</v>
      </c>
      <c r="C32" s="205"/>
      <c r="D32" s="205"/>
      <c r="E32" s="205"/>
      <c r="F32" s="205"/>
      <c r="G32" s="205"/>
      <c r="H32" s="205"/>
      <c r="I32" s="205"/>
      <c r="J32" s="205"/>
      <c r="K32" s="205"/>
      <c r="L32" s="205"/>
      <c r="M32" s="205"/>
      <c r="N32" s="205"/>
      <c r="O32" s="205"/>
      <c r="P32" s="205"/>
      <c r="Q32" s="205"/>
      <c r="R32" s="205"/>
      <c r="S32" s="205"/>
      <c r="T32" s="205"/>
      <c r="U32" s="205"/>
      <c r="V32" s="205"/>
      <c r="W32" s="205"/>
      <c r="X32" s="205"/>
      <c r="Y32" s="205"/>
      <c r="Z32" s="205"/>
      <c r="AA32" s="205"/>
      <c r="AB32" s="205"/>
      <c r="AC32" s="205"/>
    </row>
    <row r="33" spans="1:31" s="195" customFormat="1" ht="12.75" x14ac:dyDescent="0.2">
      <c r="A33" s="216" t="s">
        <v>317</v>
      </c>
      <c r="B33" s="217">
        <v>1</v>
      </c>
      <c r="C33" s="205"/>
      <c r="D33" s="205"/>
      <c r="E33" s="205"/>
      <c r="F33" s="205"/>
      <c r="G33" s="205"/>
      <c r="H33" s="205"/>
      <c r="I33" s="205"/>
      <c r="J33" s="205"/>
      <c r="K33" s="205"/>
      <c r="L33" s="205"/>
      <c r="M33" s="205"/>
      <c r="N33" s="205"/>
      <c r="O33" s="205"/>
      <c r="P33" s="205"/>
      <c r="Q33" s="205"/>
      <c r="R33" s="205"/>
      <c r="S33" s="205"/>
      <c r="T33" s="205"/>
      <c r="U33" s="205"/>
      <c r="V33" s="205"/>
      <c r="W33" s="205"/>
      <c r="X33" s="205"/>
      <c r="Y33" s="205"/>
      <c r="Z33" s="205"/>
      <c r="AA33" s="205"/>
      <c r="AB33" s="205"/>
      <c r="AC33" s="205"/>
    </row>
    <row r="34" spans="1:31" s="195" customFormat="1" ht="12.75" x14ac:dyDescent="0.2">
      <c r="A34" s="226" t="s">
        <v>559</v>
      </c>
      <c r="B34" s="217">
        <f>B24*0.0003</f>
        <v>603.5</v>
      </c>
      <c r="C34" s="205"/>
      <c r="D34" s="205"/>
      <c r="E34" s="205"/>
      <c r="F34" s="205"/>
      <c r="G34" s="205"/>
      <c r="H34" s="205"/>
      <c r="I34" s="205"/>
      <c r="J34" s="205"/>
      <c r="K34" s="205"/>
      <c r="L34" s="205"/>
      <c r="M34" s="205"/>
      <c r="N34" s="205"/>
      <c r="O34" s="205"/>
      <c r="P34" s="205"/>
      <c r="Q34" s="205"/>
      <c r="R34" s="205"/>
      <c r="S34" s="205"/>
      <c r="T34" s="205"/>
      <c r="U34" s="205"/>
      <c r="V34" s="205"/>
      <c r="W34" s="205"/>
      <c r="X34" s="205"/>
      <c r="Y34" s="205"/>
      <c r="Z34" s="205"/>
      <c r="AA34" s="205"/>
      <c r="AB34" s="205"/>
      <c r="AC34" s="205"/>
    </row>
    <row r="35" spans="1:31" s="195" customFormat="1" ht="13.5" thickBot="1" x14ac:dyDescent="0.25">
      <c r="A35" s="218" t="s">
        <v>292</v>
      </c>
      <c r="B35" s="227">
        <v>0.2</v>
      </c>
      <c r="C35" s="205"/>
      <c r="D35" s="205"/>
      <c r="E35" s="205"/>
      <c r="F35" s="205"/>
      <c r="G35" s="205"/>
      <c r="H35" s="205"/>
      <c r="I35" s="205"/>
      <c r="J35" s="205"/>
      <c r="K35" s="205"/>
      <c r="L35" s="205"/>
      <c r="M35" s="205"/>
      <c r="N35" s="205"/>
      <c r="O35" s="205"/>
      <c r="P35" s="205"/>
      <c r="Q35" s="205"/>
      <c r="R35" s="205"/>
      <c r="S35" s="205"/>
      <c r="T35" s="205"/>
      <c r="U35" s="205"/>
      <c r="V35" s="205"/>
      <c r="W35" s="205"/>
      <c r="X35" s="205"/>
      <c r="Y35" s="205"/>
      <c r="Z35" s="205"/>
      <c r="AA35" s="205"/>
      <c r="AB35" s="205"/>
      <c r="AC35" s="205"/>
    </row>
    <row r="36" spans="1:31" s="195" customFormat="1" ht="12.75" x14ac:dyDescent="0.2">
      <c r="A36" s="214" t="s">
        <v>517</v>
      </c>
      <c r="B36" s="228">
        <v>0</v>
      </c>
      <c r="C36" s="205"/>
      <c r="D36" s="205"/>
      <c r="E36" s="205"/>
      <c r="F36" s="205"/>
      <c r="G36" s="205"/>
      <c r="H36" s="205"/>
      <c r="I36" s="205"/>
      <c r="J36" s="205"/>
      <c r="K36" s="205"/>
      <c r="L36" s="205"/>
      <c r="M36" s="205"/>
      <c r="N36" s="205"/>
      <c r="O36" s="205"/>
      <c r="P36" s="205"/>
      <c r="Q36" s="205"/>
      <c r="R36" s="205"/>
      <c r="S36" s="205"/>
      <c r="T36" s="205"/>
      <c r="U36" s="205"/>
      <c r="V36" s="205"/>
      <c r="W36" s="205"/>
      <c r="X36" s="205"/>
      <c r="Y36" s="205"/>
      <c r="Z36" s="205"/>
      <c r="AA36" s="205"/>
      <c r="AB36" s="205"/>
      <c r="AC36" s="205"/>
    </row>
    <row r="37" spans="1:31" s="195" customFormat="1" ht="12.75" x14ac:dyDescent="0.2">
      <c r="A37" s="216" t="s">
        <v>316</v>
      </c>
      <c r="B37" s="217"/>
      <c r="C37" s="205"/>
      <c r="D37" s="205"/>
      <c r="E37" s="205"/>
      <c r="F37" s="205"/>
      <c r="G37" s="205"/>
      <c r="H37" s="205"/>
      <c r="I37" s="205"/>
      <c r="J37" s="205"/>
      <c r="K37" s="205"/>
      <c r="L37" s="205"/>
      <c r="M37" s="205"/>
      <c r="N37" s="205"/>
      <c r="O37" s="205"/>
      <c r="P37" s="205"/>
      <c r="Q37" s="205"/>
      <c r="R37" s="205"/>
      <c r="S37" s="205"/>
      <c r="T37" s="205"/>
      <c r="U37" s="205"/>
      <c r="V37" s="205"/>
      <c r="W37" s="205"/>
      <c r="X37" s="205"/>
      <c r="Y37" s="205"/>
      <c r="Z37" s="205"/>
      <c r="AA37" s="205"/>
      <c r="AB37" s="205"/>
      <c r="AC37" s="205"/>
    </row>
    <row r="38" spans="1:31" s="195" customFormat="1" ht="13.5" thickBot="1" x14ac:dyDescent="0.25">
      <c r="A38" s="226" t="s">
        <v>315</v>
      </c>
      <c r="B38" s="229"/>
      <c r="C38" s="205"/>
      <c r="D38" s="205"/>
      <c r="E38" s="205"/>
      <c r="F38" s="205"/>
      <c r="G38" s="205"/>
      <c r="H38" s="205"/>
      <c r="I38" s="205"/>
      <c r="J38" s="205"/>
      <c r="K38" s="205"/>
      <c r="L38" s="205"/>
      <c r="M38" s="205"/>
      <c r="N38" s="205"/>
      <c r="O38" s="205"/>
      <c r="P38" s="205"/>
      <c r="Q38" s="205"/>
      <c r="R38" s="205"/>
      <c r="S38" s="205"/>
      <c r="T38" s="205"/>
      <c r="U38" s="205"/>
      <c r="V38" s="205"/>
      <c r="W38" s="205"/>
      <c r="X38" s="205"/>
      <c r="Y38" s="205"/>
      <c r="Z38" s="205"/>
      <c r="AA38" s="205"/>
      <c r="AB38" s="205"/>
      <c r="AC38" s="205"/>
    </row>
    <row r="39" spans="1:31" s="195" customFormat="1" ht="12.75" x14ac:dyDescent="0.2">
      <c r="A39" s="230" t="s">
        <v>518</v>
      </c>
      <c r="B39" s="231">
        <v>1</v>
      </c>
      <c r="C39" s="205"/>
      <c r="D39" s="205"/>
      <c r="E39" s="205"/>
      <c r="F39" s="205"/>
      <c r="G39" s="205"/>
      <c r="H39" s="205"/>
      <c r="I39" s="205"/>
      <c r="J39" s="205"/>
      <c r="K39" s="205"/>
      <c r="L39" s="205"/>
      <c r="M39" s="205"/>
      <c r="N39" s="205"/>
      <c r="O39" s="205"/>
      <c r="P39" s="205"/>
      <c r="Q39" s="205"/>
      <c r="R39" s="205"/>
      <c r="S39" s="205"/>
      <c r="T39" s="205"/>
      <c r="U39" s="205"/>
      <c r="V39" s="205"/>
      <c r="W39" s="205"/>
      <c r="X39" s="205"/>
      <c r="Y39" s="205"/>
      <c r="Z39" s="205"/>
      <c r="AA39" s="205"/>
      <c r="AB39" s="205"/>
      <c r="AC39" s="205"/>
    </row>
    <row r="40" spans="1:31" s="195" customFormat="1" ht="12.75" x14ac:dyDescent="0.2">
      <c r="A40" s="232" t="s">
        <v>314</v>
      </c>
      <c r="B40" s="233"/>
      <c r="C40" s="205"/>
      <c r="D40" s="205"/>
      <c r="E40" s="205"/>
      <c r="F40" s="205"/>
      <c r="G40" s="205"/>
      <c r="H40" s="205"/>
      <c r="I40" s="205"/>
      <c r="J40" s="205"/>
      <c r="K40" s="205"/>
      <c r="L40" s="205"/>
      <c r="M40" s="205"/>
      <c r="N40" s="205"/>
      <c r="O40" s="205"/>
      <c r="P40" s="205"/>
      <c r="Q40" s="205"/>
      <c r="R40" s="205"/>
      <c r="S40" s="205"/>
      <c r="T40" s="205"/>
      <c r="U40" s="205"/>
      <c r="V40" s="205"/>
      <c r="W40" s="205"/>
      <c r="X40" s="205"/>
      <c r="Y40" s="205"/>
      <c r="Z40" s="205"/>
      <c r="AA40" s="205"/>
      <c r="AB40" s="205"/>
      <c r="AC40" s="205"/>
    </row>
    <row r="41" spans="1:31" s="195" customFormat="1" ht="12.75" x14ac:dyDescent="0.2">
      <c r="A41" s="232" t="s">
        <v>313</v>
      </c>
      <c r="B41" s="234"/>
      <c r="C41" s="205"/>
      <c r="D41" s="205"/>
      <c r="E41" s="205"/>
      <c r="F41" s="205"/>
      <c r="G41" s="205"/>
      <c r="H41" s="205"/>
      <c r="I41" s="205"/>
      <c r="J41" s="205"/>
      <c r="K41" s="205"/>
      <c r="L41" s="205"/>
      <c r="M41" s="205"/>
      <c r="N41" s="205"/>
      <c r="O41" s="205"/>
      <c r="P41" s="205"/>
      <c r="Q41" s="205"/>
      <c r="R41" s="205"/>
      <c r="S41" s="205"/>
      <c r="T41" s="205"/>
      <c r="U41" s="205"/>
      <c r="V41" s="205"/>
      <c r="W41" s="205"/>
      <c r="X41" s="205"/>
      <c r="Y41" s="205"/>
      <c r="Z41" s="205"/>
      <c r="AA41" s="205"/>
      <c r="AB41" s="205"/>
      <c r="AC41" s="205"/>
    </row>
    <row r="42" spans="1:31" s="195" customFormat="1" ht="12.75" x14ac:dyDescent="0.2">
      <c r="A42" s="232" t="s">
        <v>312</v>
      </c>
      <c r="B42" s="234">
        <v>0</v>
      </c>
      <c r="C42" s="205"/>
      <c r="D42" s="205"/>
      <c r="E42" s="205"/>
      <c r="F42" s="205"/>
      <c r="G42" s="205"/>
      <c r="H42" s="205"/>
      <c r="I42" s="205"/>
      <c r="J42" s="205"/>
      <c r="K42" s="205"/>
      <c r="L42" s="205"/>
      <c r="M42" s="205"/>
      <c r="N42" s="205"/>
      <c r="O42" s="205"/>
      <c r="P42" s="205"/>
      <c r="Q42" s="205"/>
      <c r="R42" s="205"/>
      <c r="S42" s="205"/>
      <c r="T42" s="205"/>
      <c r="U42" s="205"/>
      <c r="V42" s="205"/>
      <c r="W42" s="205"/>
      <c r="X42" s="205"/>
      <c r="Y42" s="205"/>
      <c r="Z42" s="205"/>
      <c r="AA42" s="205"/>
      <c r="AB42" s="205"/>
      <c r="AC42" s="205"/>
    </row>
    <row r="43" spans="1:31" s="195" customFormat="1" ht="12.75" x14ac:dyDescent="0.2">
      <c r="A43" s="232" t="s">
        <v>311</v>
      </c>
      <c r="B43" s="235">
        <v>0.2</v>
      </c>
      <c r="C43" s="205"/>
      <c r="D43" s="205"/>
      <c r="E43" s="205"/>
      <c r="F43" s="205"/>
      <c r="G43" s="205"/>
      <c r="H43" s="205"/>
      <c r="I43" s="205"/>
      <c r="J43" s="205"/>
      <c r="K43" s="205"/>
      <c r="L43" s="205"/>
      <c r="M43" s="205"/>
      <c r="N43" s="205"/>
      <c r="O43" s="205"/>
      <c r="P43" s="205"/>
      <c r="Q43" s="205"/>
      <c r="R43" s="205"/>
      <c r="S43" s="205"/>
      <c r="T43" s="205"/>
      <c r="U43" s="205"/>
      <c r="V43" s="205"/>
      <c r="W43" s="205"/>
      <c r="X43" s="205"/>
      <c r="Y43" s="205"/>
      <c r="Z43" s="205"/>
      <c r="AA43" s="205"/>
      <c r="AB43" s="205"/>
      <c r="AC43" s="205"/>
    </row>
    <row r="44" spans="1:31" s="195" customFormat="1" ht="12.75" x14ac:dyDescent="0.2">
      <c r="A44" s="232" t="s">
        <v>310</v>
      </c>
      <c r="B44" s="236">
        <v>1</v>
      </c>
      <c r="C44" s="205"/>
      <c r="D44" s="205"/>
      <c r="E44" s="205"/>
      <c r="F44" s="205"/>
      <c r="G44" s="205"/>
      <c r="H44" s="205"/>
      <c r="I44" s="205"/>
      <c r="J44" s="205"/>
      <c r="K44" s="205"/>
      <c r="L44" s="205"/>
      <c r="M44" s="205"/>
      <c r="N44" s="205"/>
      <c r="O44" s="205"/>
      <c r="P44" s="205"/>
      <c r="Q44" s="205"/>
      <c r="R44" s="205"/>
      <c r="S44" s="205"/>
      <c r="T44" s="205"/>
      <c r="U44" s="205"/>
      <c r="V44" s="205"/>
      <c r="W44" s="205"/>
      <c r="X44" s="205"/>
      <c r="Y44" s="205"/>
      <c r="Z44" s="205"/>
      <c r="AA44" s="205"/>
      <c r="AB44" s="205"/>
      <c r="AC44" s="205"/>
    </row>
    <row r="45" spans="1:31" s="195" customFormat="1" ht="13.5" thickBot="1" x14ac:dyDescent="0.25">
      <c r="A45" s="237" t="s">
        <v>560</v>
      </c>
      <c r="B45" s="236">
        <f>B44*B43+B42*B41*(1-B35)</f>
        <v>0.2</v>
      </c>
      <c r="C45" s="238"/>
      <c r="D45" s="205"/>
      <c r="E45" s="205"/>
      <c r="F45" s="205"/>
      <c r="G45" s="205"/>
      <c r="H45" s="205"/>
      <c r="I45" s="205"/>
      <c r="J45" s="205"/>
      <c r="K45" s="205"/>
      <c r="L45" s="205"/>
      <c r="M45" s="205"/>
      <c r="N45" s="205"/>
      <c r="O45" s="205"/>
      <c r="P45" s="205"/>
      <c r="Q45" s="205"/>
      <c r="R45" s="205"/>
      <c r="S45" s="205"/>
      <c r="T45" s="205"/>
      <c r="U45" s="205"/>
      <c r="V45" s="205"/>
      <c r="W45" s="205"/>
      <c r="X45" s="205"/>
      <c r="Y45" s="205"/>
      <c r="Z45" s="205"/>
      <c r="AA45" s="205"/>
      <c r="AB45" s="205"/>
      <c r="AC45" s="205"/>
    </row>
    <row r="46" spans="1:31" s="195" customFormat="1" ht="12.75" x14ac:dyDescent="0.2">
      <c r="A46" s="239" t="s">
        <v>309</v>
      </c>
      <c r="B46" s="240">
        <v>1</v>
      </c>
      <c r="C46" s="240">
        <v>2</v>
      </c>
      <c r="D46" s="240">
        <v>3</v>
      </c>
      <c r="E46" s="240">
        <v>4</v>
      </c>
      <c r="F46" s="240">
        <v>5</v>
      </c>
      <c r="G46" s="240">
        <v>6</v>
      </c>
      <c r="H46" s="240">
        <v>7</v>
      </c>
      <c r="I46" s="240">
        <v>8</v>
      </c>
      <c r="J46" s="240">
        <v>9</v>
      </c>
      <c r="K46" s="240">
        <v>10</v>
      </c>
      <c r="L46" s="240">
        <v>11</v>
      </c>
      <c r="M46" s="240">
        <v>12</v>
      </c>
      <c r="N46" s="240">
        <v>13</v>
      </c>
      <c r="O46" s="240">
        <v>14</v>
      </c>
      <c r="P46" s="240">
        <v>15</v>
      </c>
      <c r="Q46" s="240">
        <v>16</v>
      </c>
      <c r="R46" s="240">
        <v>17</v>
      </c>
      <c r="S46" s="240">
        <v>18</v>
      </c>
      <c r="T46" s="240">
        <v>19</v>
      </c>
      <c r="U46" s="240">
        <v>20</v>
      </c>
      <c r="V46" s="240">
        <v>21</v>
      </c>
      <c r="W46" s="240">
        <v>22</v>
      </c>
      <c r="X46" s="240">
        <v>23</v>
      </c>
      <c r="Y46" s="240">
        <v>24</v>
      </c>
      <c r="Z46" s="240">
        <v>25</v>
      </c>
      <c r="AA46" s="240">
        <v>26</v>
      </c>
      <c r="AB46" s="240">
        <v>27</v>
      </c>
      <c r="AC46" s="241">
        <v>28</v>
      </c>
      <c r="AD46" s="241">
        <v>29</v>
      </c>
      <c r="AE46" s="241">
        <v>30</v>
      </c>
    </row>
    <row r="47" spans="1:31" s="195" customFormat="1" ht="12.75" x14ac:dyDescent="0.2">
      <c r="A47" s="242" t="s">
        <v>308</v>
      </c>
      <c r="B47" s="243">
        <f>J134</f>
        <v>5.2726091890100003E-2</v>
      </c>
      <c r="C47" s="243">
        <f t="shared" ref="C47:L47" si="0">K134</f>
        <v>4.7619843182130001E-2</v>
      </c>
      <c r="D47" s="243">
        <f t="shared" si="0"/>
        <v>4.57995653007E-2</v>
      </c>
      <c r="E47" s="243">
        <f t="shared" si="0"/>
        <v>4.57995653007E-2</v>
      </c>
      <c r="F47" s="243">
        <f t="shared" si="0"/>
        <v>4.57995653007E-2</v>
      </c>
      <c r="G47" s="243">
        <f t="shared" si="0"/>
        <v>4.57995653007E-2</v>
      </c>
      <c r="H47" s="243">
        <f t="shared" si="0"/>
        <v>4.57995653007E-2</v>
      </c>
      <c r="I47" s="243">
        <f t="shared" si="0"/>
        <v>4.57995653007E-2</v>
      </c>
      <c r="J47" s="243">
        <f t="shared" si="0"/>
        <v>4.57995653007E-2</v>
      </c>
      <c r="K47" s="243">
        <f t="shared" si="0"/>
        <v>4.57995653007E-2</v>
      </c>
      <c r="L47" s="243">
        <f t="shared" si="0"/>
        <v>4.57995653007E-2</v>
      </c>
      <c r="M47" s="243">
        <f t="shared" ref="M47" si="1">U134</f>
        <v>4.57995653007E-2</v>
      </c>
      <c r="N47" s="243">
        <f t="shared" ref="N47" si="2">V134</f>
        <v>4.57995653007E-2</v>
      </c>
      <c r="O47" s="243">
        <f t="shared" ref="O47" si="3">W134</f>
        <v>4.57995653007E-2</v>
      </c>
      <c r="P47" s="243">
        <f t="shared" ref="P47" si="4">X134</f>
        <v>4.57995653007E-2</v>
      </c>
      <c r="Q47" s="243">
        <f t="shared" ref="Q47" si="5">Y134</f>
        <v>4.57995653007E-2</v>
      </c>
      <c r="R47" s="243">
        <f t="shared" ref="R47" si="6">Z134</f>
        <v>4.57995653007E-2</v>
      </c>
      <c r="S47" s="243">
        <f t="shared" ref="S47" si="7">AA134</f>
        <v>4.57995653007E-2</v>
      </c>
      <c r="T47" s="243">
        <f t="shared" ref="T47" si="8">AB134</f>
        <v>4.57995653007E-2</v>
      </c>
      <c r="U47" s="243">
        <f t="shared" ref="U47" si="9">AC134</f>
        <v>4.57995653007E-2</v>
      </c>
      <c r="V47" s="243">
        <f t="shared" ref="V47" si="10">AD134</f>
        <v>4.57995653007E-2</v>
      </c>
      <c r="W47" s="243">
        <f t="shared" ref="W47" si="11">AE134</f>
        <v>4.57995653007E-2</v>
      </c>
      <c r="X47" s="243">
        <f t="shared" ref="X47" si="12">AF134</f>
        <v>4.57995653007E-2</v>
      </c>
      <c r="Y47" s="243">
        <f t="shared" ref="Y47" si="13">AG134</f>
        <v>4.57995653007E-2</v>
      </c>
      <c r="Z47" s="243">
        <f t="shared" ref="Z47" si="14">AH134</f>
        <v>4.57995653007E-2</v>
      </c>
      <c r="AA47" s="243">
        <f t="shared" ref="AA47" si="15">AI134</f>
        <v>4.57995653007E-2</v>
      </c>
      <c r="AB47" s="243">
        <f t="shared" ref="AB47" si="16">AJ134</f>
        <v>4.57995653007E-2</v>
      </c>
      <c r="AC47" s="243">
        <f t="shared" ref="AC47" si="17">AK134</f>
        <v>4.57995653007E-2</v>
      </c>
      <c r="AD47" s="243">
        <f t="shared" ref="AD47" si="18">AL134</f>
        <v>4.57995653007E-2</v>
      </c>
      <c r="AE47" s="243">
        <f t="shared" ref="AE47" si="19">AM134</f>
        <v>4.57995653007E-2</v>
      </c>
    </row>
    <row r="48" spans="1:31" s="195" customFormat="1" ht="12.75" x14ac:dyDescent="0.2">
      <c r="A48" s="242" t="s">
        <v>307</v>
      </c>
      <c r="B48" s="244">
        <f>B47</f>
        <v>5.2726091890100003E-2</v>
      </c>
      <c r="C48" s="244">
        <f t="shared" ref="C48:AE48" si="20">(1+B48)*(1+C47)-1</f>
        <v>0.10285674329964323</v>
      </c>
      <c r="D48" s="244">
        <f t="shared" si="20"/>
        <v>0.1533671027317125</v>
      </c>
      <c r="E48" s="244">
        <f t="shared" si="20"/>
        <v>0.20619081466895262</v>
      </c>
      <c r="F48" s="244">
        <f>(1+E48)*(1+F47)-1</f>
        <v>0.26143382965048789</v>
      </c>
      <c r="G48" s="244">
        <f t="shared" si="20"/>
        <v>0.31920695070407734</v>
      </c>
      <c r="H48" s="244">
        <f t="shared" si="20"/>
        <v>0.37962605558798601</v>
      </c>
      <c r="I48" s="244">
        <f t="shared" si="20"/>
        <v>0.44281232921143499</v>
      </c>
      <c r="J48" s="244">
        <f t="shared" si="20"/>
        <v>0.50889250669980912</v>
      </c>
      <c r="K48" s="244">
        <f t="shared" si="20"/>
        <v>0.57799912759214389</v>
      </c>
      <c r="L48" s="244">
        <f t="shared" si="20"/>
        <v>0.65027080168074791</v>
      </c>
      <c r="M48" s="244">
        <f t="shared" si="20"/>
        <v>0.72585248702616378</v>
      </c>
      <c r="N48" s="244">
        <f t="shared" si="20"/>
        <v>0.80489578070509404</v>
      </c>
      <c r="O48" s="244">
        <f t="shared" si="20"/>
        <v>0.88755922287445488</v>
      </c>
      <c r="P48" s="244">
        <f t="shared" si="20"/>
        <v>0.97400861476143197</v>
      </c>
      <c r="Q48" s="244">
        <f t="shared" si="20"/>
        <v>1.0644173512173425</v>
      </c>
      <c r="R48" s="244">
        <f t="shared" si="20"/>
        <v>1.1589667685023191</v>
      </c>
      <c r="S48" s="244">
        <f t="shared" si="20"/>
        <v>1.2578465079983823</v>
      </c>
      <c r="T48" s="244">
        <f t="shared" si="20"/>
        <v>1.3612548965804114</v>
      </c>
      <c r="U48" s="244">
        <f t="shared" si="20"/>
        <v>1.4693993444079436</v>
      </c>
      <c r="V48" s="244">
        <f t="shared" si="20"/>
        <v>1.5824967609356611</v>
      </c>
      <c r="W48" s="244">
        <f t="shared" si="20"/>
        <v>1.7007739899769798</v>
      </c>
      <c r="X48" s="244">
        <f t="shared" si="20"/>
        <v>1.8244682646933623</v>
      </c>
      <c r="Y48" s="244">
        <f t="shared" si="20"/>
        <v>1.9538276834219408</v>
      </c>
      <c r="Z48" s="244">
        <f t="shared" si="20"/>
        <v>2.0891117072958392</v>
      </c>
      <c r="AA48" s="244">
        <f t="shared" si="20"/>
        <v>2.2305916806552917</v>
      </c>
      <c r="AB48" s="244">
        <f t="shared" si="20"/>
        <v>2.3785513752933616</v>
      </c>
      <c r="AC48" s="244">
        <f t="shared" si="20"/>
        <v>2.5332875596278797</v>
      </c>
      <c r="AD48" s="244">
        <f t="shared" si="20"/>
        <v>2.6951105939412074</v>
      </c>
      <c r="AE48" s="244">
        <f t="shared" si="20"/>
        <v>2.8643450528817258</v>
      </c>
    </row>
    <row r="49" spans="1:31" s="195" customFormat="1" ht="15.75" thickBot="1" x14ac:dyDescent="0.25">
      <c r="A49" s="245" t="s">
        <v>519</v>
      </c>
      <c r="B49" s="246">
        <f>B24*1.2/2*0</f>
        <v>0</v>
      </c>
      <c r="C49" s="246">
        <v>0</v>
      </c>
      <c r="D49" s="246">
        <v>0</v>
      </c>
      <c r="E49" s="246">
        <v>0</v>
      </c>
      <c r="F49" s="247">
        <f>J106*(1+F48)</f>
        <v>0</v>
      </c>
      <c r="G49" s="247">
        <f t="shared" ref="G49:AE49" si="21">K106*(1+G48)</f>
        <v>0</v>
      </c>
      <c r="H49" s="247">
        <f t="shared" si="21"/>
        <v>0</v>
      </c>
      <c r="I49" s="247">
        <f t="shared" si="21"/>
        <v>0</v>
      </c>
      <c r="J49" s="247">
        <f>N106*(1+J48)</f>
        <v>0</v>
      </c>
      <c r="K49" s="247">
        <f t="shared" si="21"/>
        <v>0</v>
      </c>
      <c r="L49" s="247">
        <f t="shared" si="21"/>
        <v>0</v>
      </c>
      <c r="M49" s="247">
        <f t="shared" si="21"/>
        <v>0</v>
      </c>
      <c r="N49" s="247">
        <f t="shared" si="21"/>
        <v>0</v>
      </c>
      <c r="O49" s="247">
        <f t="shared" si="21"/>
        <v>0</v>
      </c>
      <c r="P49" s="247">
        <f t="shared" si="21"/>
        <v>0</v>
      </c>
      <c r="Q49" s="247">
        <f t="shared" si="21"/>
        <v>0</v>
      </c>
      <c r="R49" s="247">
        <f t="shared" si="21"/>
        <v>0</v>
      </c>
      <c r="S49" s="247">
        <f t="shared" si="21"/>
        <v>0</v>
      </c>
      <c r="T49" s="247">
        <f t="shared" si="21"/>
        <v>0</v>
      </c>
      <c r="U49" s="247">
        <f t="shared" si="21"/>
        <v>0</v>
      </c>
      <c r="V49" s="247">
        <f t="shared" si="21"/>
        <v>0</v>
      </c>
      <c r="W49" s="247">
        <f t="shared" si="21"/>
        <v>0</v>
      </c>
      <c r="X49" s="247">
        <f t="shared" si="21"/>
        <v>0</v>
      </c>
      <c r="Y49" s="247">
        <f t="shared" si="21"/>
        <v>0</v>
      </c>
      <c r="Z49" s="247">
        <f t="shared" si="21"/>
        <v>0</v>
      </c>
      <c r="AA49" s="247">
        <f t="shared" si="21"/>
        <v>0</v>
      </c>
      <c r="AB49" s="247">
        <f t="shared" si="21"/>
        <v>0</v>
      </c>
      <c r="AC49" s="247">
        <f t="shared" si="21"/>
        <v>0</v>
      </c>
      <c r="AD49" s="247">
        <f t="shared" si="21"/>
        <v>0</v>
      </c>
      <c r="AE49" s="247">
        <f t="shared" si="21"/>
        <v>0</v>
      </c>
    </row>
    <row r="50" spans="1:31" s="195" customFormat="1" ht="13.5" thickBot="1" x14ac:dyDescent="0.25">
      <c r="A50" s="248"/>
      <c r="B50" s="205"/>
      <c r="C50" s="205"/>
      <c r="D50" s="205"/>
      <c r="E50" s="205"/>
      <c r="F50" s="205"/>
      <c r="G50" s="205"/>
      <c r="H50" s="205"/>
      <c r="I50" s="205"/>
      <c r="J50" s="205"/>
      <c r="K50" s="205"/>
      <c r="L50" s="205"/>
      <c r="M50" s="205"/>
      <c r="N50" s="205"/>
      <c r="O50" s="205"/>
      <c r="P50" s="205"/>
      <c r="Q50" s="205"/>
      <c r="R50" s="205"/>
      <c r="S50" s="205"/>
      <c r="T50" s="205"/>
      <c r="U50" s="205"/>
      <c r="V50" s="205"/>
      <c r="W50" s="205"/>
      <c r="X50" s="205"/>
      <c r="Y50" s="205"/>
      <c r="Z50" s="205"/>
      <c r="AA50" s="205"/>
      <c r="AB50" s="205"/>
      <c r="AC50" s="249"/>
      <c r="AD50" s="249"/>
      <c r="AE50" s="249"/>
    </row>
    <row r="51" spans="1:31" s="195" customFormat="1" ht="12.75" x14ac:dyDescent="0.2">
      <c r="A51" s="250" t="s">
        <v>306</v>
      </c>
      <c r="B51" s="240">
        <v>1</v>
      </c>
      <c r="C51" s="240">
        <v>2</v>
      </c>
      <c r="D51" s="240">
        <v>3</v>
      </c>
      <c r="E51" s="240">
        <v>4</v>
      </c>
      <c r="F51" s="240">
        <v>5</v>
      </c>
      <c r="G51" s="240">
        <v>6</v>
      </c>
      <c r="H51" s="240">
        <v>7</v>
      </c>
      <c r="I51" s="240">
        <v>8</v>
      </c>
      <c r="J51" s="240">
        <v>9</v>
      </c>
      <c r="K51" s="240">
        <v>10</v>
      </c>
      <c r="L51" s="240">
        <v>11</v>
      </c>
      <c r="M51" s="240">
        <v>12</v>
      </c>
      <c r="N51" s="240">
        <v>13</v>
      </c>
      <c r="O51" s="240">
        <v>14</v>
      </c>
      <c r="P51" s="240">
        <v>15</v>
      </c>
      <c r="Q51" s="240">
        <v>16</v>
      </c>
      <c r="R51" s="240">
        <v>17</v>
      </c>
      <c r="S51" s="240">
        <v>18</v>
      </c>
      <c r="T51" s="240">
        <v>19</v>
      </c>
      <c r="U51" s="240">
        <v>20</v>
      </c>
      <c r="V51" s="240">
        <v>21</v>
      </c>
      <c r="W51" s="240">
        <v>22</v>
      </c>
      <c r="X51" s="240">
        <v>23</v>
      </c>
      <c r="Y51" s="240">
        <v>24</v>
      </c>
      <c r="Z51" s="240">
        <v>25</v>
      </c>
      <c r="AA51" s="240">
        <v>26</v>
      </c>
      <c r="AB51" s="240">
        <v>27</v>
      </c>
      <c r="AC51" s="240">
        <v>28</v>
      </c>
      <c r="AD51" s="240">
        <v>29</v>
      </c>
      <c r="AE51" s="240">
        <v>30</v>
      </c>
    </row>
    <row r="52" spans="1:31" s="195" customFormat="1" ht="12.75" x14ac:dyDescent="0.2">
      <c r="A52" s="242" t="s">
        <v>305</v>
      </c>
      <c r="B52" s="251">
        <v>0</v>
      </c>
      <c r="C52" s="251">
        <v>0</v>
      </c>
      <c r="D52" s="251">
        <v>0</v>
      </c>
      <c r="E52" s="251">
        <v>0</v>
      </c>
      <c r="F52" s="251">
        <v>0</v>
      </c>
      <c r="G52" s="251">
        <v>0</v>
      </c>
      <c r="H52" s="251">
        <v>0</v>
      </c>
      <c r="I52" s="251">
        <v>0</v>
      </c>
      <c r="J52" s="251">
        <v>0</v>
      </c>
      <c r="K52" s="251">
        <v>0</v>
      </c>
      <c r="L52" s="251">
        <v>0</v>
      </c>
      <c r="M52" s="251">
        <v>0</v>
      </c>
      <c r="N52" s="251">
        <v>0</v>
      </c>
      <c r="O52" s="251">
        <v>0</v>
      </c>
      <c r="P52" s="251">
        <v>0</v>
      </c>
      <c r="Q52" s="251">
        <v>0</v>
      </c>
      <c r="R52" s="251">
        <v>0</v>
      </c>
      <c r="S52" s="251">
        <v>0</v>
      </c>
      <c r="T52" s="251">
        <v>0</v>
      </c>
      <c r="U52" s="251">
        <v>0</v>
      </c>
      <c r="V52" s="251">
        <v>0</v>
      </c>
      <c r="W52" s="251">
        <v>0</v>
      </c>
      <c r="X52" s="251">
        <v>0</v>
      </c>
      <c r="Y52" s="251">
        <v>0</v>
      </c>
      <c r="Z52" s="251">
        <v>0</v>
      </c>
      <c r="AA52" s="251">
        <v>0</v>
      </c>
      <c r="AB52" s="251">
        <v>0</v>
      </c>
      <c r="AC52" s="252">
        <v>0</v>
      </c>
      <c r="AD52" s="252">
        <v>0</v>
      </c>
      <c r="AE52" s="252">
        <v>0</v>
      </c>
    </row>
    <row r="53" spans="1:31" s="195" customFormat="1" ht="12.75" x14ac:dyDescent="0.2">
      <c r="A53" s="242" t="s">
        <v>304</v>
      </c>
      <c r="B53" s="251">
        <v>0</v>
      </c>
      <c r="C53" s="251">
        <v>0</v>
      </c>
      <c r="D53" s="251">
        <v>0</v>
      </c>
      <c r="E53" s="251">
        <v>0</v>
      </c>
      <c r="F53" s="251">
        <v>0</v>
      </c>
      <c r="G53" s="251">
        <v>0</v>
      </c>
      <c r="H53" s="251">
        <v>0</v>
      </c>
      <c r="I53" s="251">
        <v>0</v>
      </c>
      <c r="J53" s="251">
        <v>0</v>
      </c>
      <c r="K53" s="251">
        <v>0</v>
      </c>
      <c r="L53" s="251">
        <v>0</v>
      </c>
      <c r="M53" s="251">
        <v>0</v>
      </c>
      <c r="N53" s="251">
        <v>0</v>
      </c>
      <c r="O53" s="251">
        <v>0</v>
      </c>
      <c r="P53" s="251">
        <v>0</v>
      </c>
      <c r="Q53" s="251">
        <v>0</v>
      </c>
      <c r="R53" s="251">
        <v>0</v>
      </c>
      <c r="S53" s="251">
        <v>0</v>
      </c>
      <c r="T53" s="251">
        <v>0</v>
      </c>
      <c r="U53" s="251">
        <v>0</v>
      </c>
      <c r="V53" s="251">
        <v>0</v>
      </c>
      <c r="W53" s="251">
        <v>0</v>
      </c>
      <c r="X53" s="251">
        <v>0</v>
      </c>
      <c r="Y53" s="251">
        <v>0</v>
      </c>
      <c r="Z53" s="251">
        <v>0</v>
      </c>
      <c r="AA53" s="251">
        <v>0</v>
      </c>
      <c r="AB53" s="251">
        <v>0</v>
      </c>
      <c r="AC53" s="252">
        <v>0</v>
      </c>
      <c r="AD53" s="252">
        <v>0</v>
      </c>
      <c r="AE53" s="252">
        <v>0</v>
      </c>
    </row>
    <row r="54" spans="1:31" s="195" customFormat="1" ht="12.75" x14ac:dyDescent="0.2">
      <c r="A54" s="242" t="s">
        <v>303</v>
      </c>
      <c r="B54" s="251">
        <v>0</v>
      </c>
      <c r="C54" s="251">
        <v>0</v>
      </c>
      <c r="D54" s="251">
        <v>0</v>
      </c>
      <c r="E54" s="251">
        <v>0</v>
      </c>
      <c r="F54" s="251">
        <v>0</v>
      </c>
      <c r="G54" s="251">
        <v>0</v>
      </c>
      <c r="H54" s="251">
        <v>0</v>
      </c>
      <c r="I54" s="251">
        <v>0</v>
      </c>
      <c r="J54" s="251">
        <v>0</v>
      </c>
      <c r="K54" s="251">
        <v>0</v>
      </c>
      <c r="L54" s="251">
        <v>0</v>
      </c>
      <c r="M54" s="251">
        <v>0</v>
      </c>
      <c r="N54" s="251">
        <v>0</v>
      </c>
      <c r="O54" s="251">
        <v>0</v>
      </c>
      <c r="P54" s="251">
        <v>0</v>
      </c>
      <c r="Q54" s="251">
        <v>0</v>
      </c>
      <c r="R54" s="251">
        <v>0</v>
      </c>
      <c r="S54" s="251">
        <v>0</v>
      </c>
      <c r="T54" s="251">
        <v>0</v>
      </c>
      <c r="U54" s="251">
        <v>0</v>
      </c>
      <c r="V54" s="251">
        <v>0</v>
      </c>
      <c r="W54" s="251">
        <v>0</v>
      </c>
      <c r="X54" s="251">
        <v>0</v>
      </c>
      <c r="Y54" s="251">
        <v>0</v>
      </c>
      <c r="Z54" s="251">
        <v>0</v>
      </c>
      <c r="AA54" s="251">
        <v>0</v>
      </c>
      <c r="AB54" s="251">
        <v>0</v>
      </c>
      <c r="AC54" s="252">
        <v>0</v>
      </c>
      <c r="AD54" s="252">
        <v>0</v>
      </c>
      <c r="AE54" s="252">
        <v>0</v>
      </c>
    </row>
    <row r="55" spans="1:31" s="195" customFormat="1" ht="13.5" thickBot="1" x14ac:dyDescent="0.25">
      <c r="A55" s="245" t="s">
        <v>302</v>
      </c>
      <c r="B55" s="253">
        <v>0</v>
      </c>
      <c r="C55" s="253">
        <v>0</v>
      </c>
      <c r="D55" s="253">
        <v>0</v>
      </c>
      <c r="E55" s="253">
        <v>0</v>
      </c>
      <c r="F55" s="253">
        <v>0</v>
      </c>
      <c r="G55" s="253">
        <v>0</v>
      </c>
      <c r="H55" s="253">
        <v>0</v>
      </c>
      <c r="I55" s="253">
        <v>0</v>
      </c>
      <c r="J55" s="253">
        <v>0</v>
      </c>
      <c r="K55" s="253">
        <v>0</v>
      </c>
      <c r="L55" s="253">
        <v>0</v>
      </c>
      <c r="M55" s="253">
        <v>0</v>
      </c>
      <c r="N55" s="253">
        <v>0</v>
      </c>
      <c r="O55" s="253">
        <v>0</v>
      </c>
      <c r="P55" s="253">
        <v>0</v>
      </c>
      <c r="Q55" s="253">
        <v>0</v>
      </c>
      <c r="R55" s="253">
        <v>0</v>
      </c>
      <c r="S55" s="253">
        <v>0</v>
      </c>
      <c r="T55" s="253">
        <v>0</v>
      </c>
      <c r="U55" s="253">
        <v>0</v>
      </c>
      <c r="V55" s="253">
        <v>0</v>
      </c>
      <c r="W55" s="253">
        <v>0</v>
      </c>
      <c r="X55" s="253">
        <v>0</v>
      </c>
      <c r="Y55" s="253">
        <v>0</v>
      </c>
      <c r="Z55" s="253">
        <v>0</v>
      </c>
      <c r="AA55" s="253">
        <v>0</v>
      </c>
      <c r="AB55" s="253">
        <v>0</v>
      </c>
      <c r="AC55" s="254">
        <v>0</v>
      </c>
      <c r="AD55" s="254">
        <v>0</v>
      </c>
      <c r="AE55" s="254">
        <v>0</v>
      </c>
    </row>
    <row r="56" spans="1:31" s="195" customFormat="1" ht="13.5" thickBot="1" x14ac:dyDescent="0.25">
      <c r="A56" s="248"/>
      <c r="B56" s="255"/>
      <c r="C56" s="255"/>
      <c r="D56" s="255"/>
      <c r="E56" s="255"/>
      <c r="F56" s="255"/>
      <c r="G56" s="255"/>
      <c r="H56" s="255"/>
      <c r="I56" s="255"/>
      <c r="J56" s="255"/>
      <c r="K56" s="255"/>
      <c r="L56" s="255"/>
      <c r="M56" s="255"/>
      <c r="N56" s="255"/>
      <c r="O56" s="255"/>
      <c r="P56" s="255"/>
      <c r="Q56" s="255"/>
      <c r="R56" s="255"/>
      <c r="S56" s="255"/>
      <c r="T56" s="255"/>
      <c r="U56" s="255"/>
      <c r="V56" s="255"/>
      <c r="W56" s="255"/>
      <c r="X56" s="255"/>
      <c r="Y56" s="255"/>
      <c r="Z56" s="255"/>
      <c r="AA56" s="255"/>
      <c r="AB56" s="255"/>
      <c r="AC56" s="256"/>
      <c r="AD56" s="256"/>
      <c r="AE56" s="256"/>
    </row>
    <row r="57" spans="1:31" s="195" customFormat="1" ht="13.5" thickBot="1" x14ac:dyDescent="0.25">
      <c r="A57" s="250" t="s">
        <v>520</v>
      </c>
      <c r="B57" s="240">
        <v>1</v>
      </c>
      <c r="C57" s="240">
        <v>2</v>
      </c>
      <c r="D57" s="240">
        <v>3</v>
      </c>
      <c r="E57" s="240">
        <v>4</v>
      </c>
      <c r="F57" s="240">
        <v>5</v>
      </c>
      <c r="G57" s="240">
        <v>6</v>
      </c>
      <c r="H57" s="240">
        <v>7</v>
      </c>
      <c r="I57" s="240">
        <v>8</v>
      </c>
      <c r="J57" s="240">
        <v>9</v>
      </c>
      <c r="K57" s="240">
        <v>10</v>
      </c>
      <c r="L57" s="240">
        <v>11</v>
      </c>
      <c r="M57" s="240">
        <v>12</v>
      </c>
      <c r="N57" s="240">
        <v>13</v>
      </c>
      <c r="O57" s="240">
        <v>14</v>
      </c>
      <c r="P57" s="240">
        <v>15</v>
      </c>
      <c r="Q57" s="240">
        <v>16</v>
      </c>
      <c r="R57" s="240">
        <v>17</v>
      </c>
      <c r="S57" s="240">
        <v>18</v>
      </c>
      <c r="T57" s="240">
        <v>19</v>
      </c>
      <c r="U57" s="240">
        <v>20</v>
      </c>
      <c r="V57" s="240">
        <v>21</v>
      </c>
      <c r="W57" s="240">
        <v>22</v>
      </c>
      <c r="X57" s="240">
        <v>23</v>
      </c>
      <c r="Y57" s="240">
        <v>24</v>
      </c>
      <c r="Z57" s="240">
        <v>25</v>
      </c>
      <c r="AA57" s="240">
        <v>26</v>
      </c>
      <c r="AB57" s="240">
        <v>27</v>
      </c>
      <c r="AC57" s="240">
        <v>28</v>
      </c>
      <c r="AD57" s="240">
        <v>29</v>
      </c>
      <c r="AE57" s="240">
        <v>30</v>
      </c>
    </row>
    <row r="58" spans="1:31" s="195" customFormat="1" ht="12.75" x14ac:dyDescent="0.2">
      <c r="A58" s="250" t="s">
        <v>301</v>
      </c>
      <c r="B58" s="240">
        <f t="shared" ref="B58:AE58" si="22">B49*$B$27</f>
        <v>0</v>
      </c>
      <c r="C58" s="240">
        <f t="shared" si="22"/>
        <v>0</v>
      </c>
      <c r="D58" s="240">
        <f t="shared" si="22"/>
        <v>0</v>
      </c>
      <c r="E58" s="240">
        <f t="shared" si="22"/>
        <v>0</v>
      </c>
      <c r="F58" s="240">
        <f t="shared" si="22"/>
        <v>0</v>
      </c>
      <c r="G58" s="240">
        <f t="shared" si="22"/>
        <v>0</v>
      </c>
      <c r="H58" s="240">
        <f t="shared" si="22"/>
        <v>0</v>
      </c>
      <c r="I58" s="240">
        <f t="shared" si="22"/>
        <v>0</v>
      </c>
      <c r="J58" s="240">
        <f t="shared" si="22"/>
        <v>0</v>
      </c>
      <c r="K58" s="240">
        <f t="shared" si="22"/>
        <v>0</v>
      </c>
      <c r="L58" s="240">
        <f t="shared" si="22"/>
        <v>0</v>
      </c>
      <c r="M58" s="240">
        <f t="shared" si="22"/>
        <v>0</v>
      </c>
      <c r="N58" s="240">
        <f t="shared" si="22"/>
        <v>0</v>
      </c>
      <c r="O58" s="240">
        <f t="shared" si="22"/>
        <v>0</v>
      </c>
      <c r="P58" s="240">
        <f t="shared" si="22"/>
        <v>0</v>
      </c>
      <c r="Q58" s="240">
        <f t="shared" si="22"/>
        <v>0</v>
      </c>
      <c r="R58" s="240">
        <f t="shared" si="22"/>
        <v>0</v>
      </c>
      <c r="S58" s="240">
        <f t="shared" si="22"/>
        <v>0</v>
      </c>
      <c r="T58" s="240">
        <f t="shared" si="22"/>
        <v>0</v>
      </c>
      <c r="U58" s="240">
        <f t="shared" si="22"/>
        <v>0</v>
      </c>
      <c r="V58" s="240">
        <f t="shared" si="22"/>
        <v>0</v>
      </c>
      <c r="W58" s="240">
        <f t="shared" si="22"/>
        <v>0</v>
      </c>
      <c r="X58" s="240">
        <f t="shared" si="22"/>
        <v>0</v>
      </c>
      <c r="Y58" s="240">
        <f t="shared" si="22"/>
        <v>0</v>
      </c>
      <c r="Z58" s="240">
        <f t="shared" si="22"/>
        <v>0</v>
      </c>
      <c r="AA58" s="240">
        <f t="shared" si="22"/>
        <v>0</v>
      </c>
      <c r="AB58" s="240">
        <f t="shared" si="22"/>
        <v>0</v>
      </c>
      <c r="AC58" s="240">
        <f t="shared" si="22"/>
        <v>0</v>
      </c>
      <c r="AD58" s="240">
        <f t="shared" si="22"/>
        <v>0</v>
      </c>
      <c r="AE58" s="240">
        <f t="shared" si="22"/>
        <v>0</v>
      </c>
    </row>
    <row r="59" spans="1:31" s="195" customFormat="1" ht="12.75" x14ac:dyDescent="0.2">
      <c r="A59" s="242" t="s">
        <v>300</v>
      </c>
      <c r="B59" s="257">
        <f t="shared" ref="B59:U59" si="23">SUM(B60:B65)</f>
        <v>0</v>
      </c>
      <c r="C59" s="257">
        <f t="shared" si="23"/>
        <v>-42486.401770266668</v>
      </c>
      <c r="D59" s="257">
        <f t="shared" si="23"/>
        <v>-42486.401770266668</v>
      </c>
      <c r="E59" s="257">
        <f t="shared" si="23"/>
        <v>-42486.401770266668</v>
      </c>
      <c r="F59" s="257">
        <f>SUM(F60:F65)</f>
        <v>-42486.401770266668</v>
      </c>
      <c r="G59" s="257">
        <f t="shared" si="23"/>
        <v>-40716.136873866664</v>
      </c>
      <c r="H59" s="257">
        <f t="shared" si="23"/>
        <v>-38945.871977466668</v>
      </c>
      <c r="I59" s="257">
        <f t="shared" si="23"/>
        <v>-37175.607081066664</v>
      </c>
      <c r="J59" s="257">
        <f t="shared" si="23"/>
        <v>-35405.342184666661</v>
      </c>
      <c r="K59" s="257">
        <f t="shared" si="23"/>
        <v>-33635.077288266664</v>
      </c>
      <c r="L59" s="257">
        <f t="shared" si="23"/>
        <v>-32106.212391866666</v>
      </c>
      <c r="M59" s="257">
        <f t="shared" si="23"/>
        <v>-30094.547495466664</v>
      </c>
      <c r="N59" s="257">
        <f t="shared" si="23"/>
        <v>-29048.482599066665</v>
      </c>
      <c r="O59" s="257">
        <f t="shared" si="23"/>
        <v>-26554.017702666664</v>
      </c>
      <c r="P59" s="257">
        <f t="shared" si="23"/>
        <v>-63729.580527066617</v>
      </c>
      <c r="Q59" s="257">
        <f t="shared" si="23"/>
        <v>-23013.487909866661</v>
      </c>
      <c r="R59" s="257">
        <f t="shared" si="23"/>
        <v>-355399.10246741062</v>
      </c>
      <c r="S59" s="257">
        <f t="shared" si="23"/>
        <v>-19472.958117066661</v>
      </c>
      <c r="T59" s="257">
        <f t="shared" si="23"/>
        <v>-17702.693220666661</v>
      </c>
      <c r="U59" s="257">
        <f t="shared" si="23"/>
        <v>-15932.428324266661</v>
      </c>
      <c r="V59" s="257">
        <f t="shared" ref="V59:AE59" si="24">SUM(V60:V65)</f>
        <v>-14886.363427866661</v>
      </c>
      <c r="W59" s="257">
        <f t="shared" si="24"/>
        <v>-12391.898531466661</v>
      </c>
      <c r="X59" s="257">
        <f t="shared" si="24"/>
        <v>-344777.51308901067</v>
      </c>
      <c r="Y59" s="257">
        <f t="shared" si="24"/>
        <v>-8851.3687386666588</v>
      </c>
      <c r="Z59" s="257">
        <f t="shared" si="24"/>
        <v>-7081.1038422666588</v>
      </c>
      <c r="AA59" s="257">
        <f t="shared" si="24"/>
        <v>-5310.8389458666588</v>
      </c>
      <c r="AB59" s="257">
        <f t="shared" si="24"/>
        <v>-3540.5740494666584</v>
      </c>
      <c r="AC59" s="257">
        <f t="shared" si="24"/>
        <v>0</v>
      </c>
      <c r="AD59" s="257">
        <f t="shared" si="24"/>
        <v>-724.19999999999993</v>
      </c>
      <c r="AE59" s="257">
        <f t="shared" si="24"/>
        <v>0</v>
      </c>
    </row>
    <row r="60" spans="1:31" s="195" customFormat="1" ht="12.75" x14ac:dyDescent="0.2">
      <c r="A60" s="258" t="s">
        <v>299</v>
      </c>
      <c r="B60" s="251"/>
      <c r="C60" s="251"/>
      <c r="D60" s="251"/>
      <c r="E60" s="251"/>
      <c r="F60" s="251"/>
      <c r="G60" s="251"/>
      <c r="H60" s="251"/>
      <c r="I60" s="251"/>
      <c r="J60" s="251"/>
      <c r="K60" s="251"/>
      <c r="L60" s="251">
        <f>-B28*1.2</f>
        <v>-241.4</v>
      </c>
      <c r="M60" s="251"/>
      <c r="N60" s="251"/>
      <c r="O60" s="251"/>
      <c r="P60" s="251"/>
      <c r="Q60" s="251"/>
      <c r="R60" s="251">
        <v>-334155.87945394398</v>
      </c>
      <c r="S60" s="251"/>
      <c r="T60" s="251"/>
      <c r="U60" s="251"/>
      <c r="V60" s="251"/>
      <c r="W60" s="251"/>
      <c r="X60" s="251">
        <v>-334155.87945394398</v>
      </c>
      <c r="Y60" s="251"/>
      <c r="Z60" s="251"/>
      <c r="AA60" s="251"/>
      <c r="AB60" s="251"/>
      <c r="AC60" s="251"/>
      <c r="AD60" s="251"/>
      <c r="AE60" s="251"/>
    </row>
    <row r="61" spans="1:31" s="195" customFormat="1" ht="12.75" x14ac:dyDescent="0.2">
      <c r="A61" s="258" t="s">
        <v>298</v>
      </c>
      <c r="B61" s="251"/>
      <c r="C61" s="251"/>
      <c r="D61" s="251"/>
      <c r="E61" s="251"/>
      <c r="F61" s="251"/>
      <c r="G61" s="251"/>
      <c r="H61" s="251"/>
      <c r="I61" s="251"/>
      <c r="J61" s="251"/>
      <c r="K61" s="251"/>
      <c r="L61" s="251"/>
      <c r="M61" s="251"/>
      <c r="N61" s="251"/>
      <c r="O61" s="251"/>
      <c r="P61" s="251"/>
      <c r="Q61" s="251"/>
      <c r="R61" s="251"/>
      <c r="S61" s="251"/>
      <c r="T61" s="251"/>
      <c r="U61" s="251"/>
      <c r="V61" s="251"/>
      <c r="W61" s="251"/>
      <c r="X61" s="251"/>
      <c r="Y61" s="251"/>
      <c r="Z61" s="251"/>
      <c r="AA61" s="251"/>
      <c r="AB61" s="251"/>
      <c r="AC61" s="251"/>
      <c r="AD61" s="251"/>
      <c r="AE61" s="251"/>
    </row>
    <row r="62" spans="1:31" s="195" customFormat="1" ht="12.75" x14ac:dyDescent="0.2">
      <c r="A62" s="258" t="s">
        <v>559</v>
      </c>
      <c r="B62" s="251"/>
      <c r="C62" s="251"/>
      <c r="D62" s="251"/>
      <c r="E62" s="251"/>
      <c r="F62" s="259"/>
      <c r="G62" s="251"/>
      <c r="H62" s="251"/>
      <c r="I62" s="251"/>
      <c r="J62" s="251"/>
      <c r="K62" s="251"/>
      <c r="L62" s="251"/>
      <c r="M62" s="251"/>
      <c r="N62" s="251">
        <f>-B34*1.2</f>
        <v>-724.19999999999993</v>
      </c>
      <c r="O62" s="251"/>
      <c r="P62" s="251"/>
      <c r="Q62" s="251"/>
      <c r="R62" s="251"/>
      <c r="S62" s="251"/>
      <c r="T62" s="251"/>
      <c r="U62" s="251"/>
      <c r="V62" s="251">
        <f>N62</f>
        <v>-724.19999999999993</v>
      </c>
      <c r="W62" s="251"/>
      <c r="X62" s="251"/>
      <c r="Y62" s="251"/>
      <c r="Z62" s="251"/>
      <c r="AA62" s="251"/>
      <c r="AB62" s="251"/>
      <c r="AC62" s="251"/>
      <c r="AD62" s="251">
        <f>V62</f>
        <v>-724.19999999999993</v>
      </c>
      <c r="AE62" s="251"/>
    </row>
    <row r="63" spans="1:31" s="195" customFormat="1" ht="12.75" x14ac:dyDescent="0.2">
      <c r="A63" s="258" t="s">
        <v>517</v>
      </c>
      <c r="B63" s="260">
        <v>0</v>
      </c>
      <c r="C63" s="260">
        <v>0</v>
      </c>
      <c r="D63" s="260">
        <v>0</v>
      </c>
      <c r="E63" s="260">
        <v>0</v>
      </c>
      <c r="F63" s="260">
        <v>0</v>
      </c>
      <c r="G63" s="260">
        <v>0</v>
      </c>
      <c r="H63" s="260">
        <v>0</v>
      </c>
      <c r="I63" s="260">
        <v>0</v>
      </c>
      <c r="J63" s="260">
        <v>0</v>
      </c>
      <c r="K63" s="260">
        <v>0</v>
      </c>
      <c r="L63" s="260">
        <v>0</v>
      </c>
      <c r="M63" s="260">
        <v>0</v>
      </c>
      <c r="N63" s="260">
        <v>0</v>
      </c>
      <c r="O63" s="260">
        <v>0</v>
      </c>
      <c r="P63" s="260">
        <v>0</v>
      </c>
      <c r="Q63" s="260">
        <v>0</v>
      </c>
      <c r="R63" s="260">
        <v>0</v>
      </c>
      <c r="S63" s="260">
        <v>0</v>
      </c>
      <c r="T63" s="260">
        <v>0</v>
      </c>
      <c r="U63" s="260">
        <v>0</v>
      </c>
      <c r="V63" s="260">
        <v>0</v>
      </c>
      <c r="W63" s="260">
        <v>0</v>
      </c>
      <c r="X63" s="260">
        <v>0</v>
      </c>
      <c r="Y63" s="260">
        <v>0</v>
      </c>
      <c r="Z63" s="260">
        <v>0</v>
      </c>
      <c r="AA63" s="260">
        <v>0</v>
      </c>
      <c r="AB63" s="260">
        <v>0</v>
      </c>
      <c r="AC63" s="260">
        <v>0</v>
      </c>
      <c r="AD63" s="260">
        <v>0</v>
      </c>
      <c r="AE63" s="260">
        <v>0</v>
      </c>
    </row>
    <row r="64" spans="1:31" s="195" customFormat="1" ht="12.75" x14ac:dyDescent="0.2">
      <c r="A64" s="258" t="s">
        <v>517</v>
      </c>
      <c r="B64" s="260">
        <v>0</v>
      </c>
      <c r="C64" s="260">
        <v>0</v>
      </c>
      <c r="D64" s="260">
        <v>0</v>
      </c>
      <c r="E64" s="260">
        <v>0</v>
      </c>
      <c r="F64" s="260">
        <v>0</v>
      </c>
      <c r="G64" s="260">
        <v>0</v>
      </c>
      <c r="H64" s="260">
        <v>0</v>
      </c>
      <c r="I64" s="260">
        <v>0</v>
      </c>
      <c r="J64" s="260">
        <v>0</v>
      </c>
      <c r="K64" s="260">
        <v>0</v>
      </c>
      <c r="L64" s="260">
        <v>0</v>
      </c>
      <c r="M64" s="260">
        <v>0</v>
      </c>
      <c r="N64" s="260">
        <v>0</v>
      </c>
      <c r="O64" s="260">
        <v>0</v>
      </c>
      <c r="P64" s="260">
        <v>0</v>
      </c>
      <c r="Q64" s="260">
        <v>0</v>
      </c>
      <c r="R64" s="260">
        <v>0</v>
      </c>
      <c r="S64" s="260">
        <v>0</v>
      </c>
      <c r="T64" s="260">
        <v>0</v>
      </c>
      <c r="U64" s="260">
        <v>0</v>
      </c>
      <c r="V64" s="260">
        <v>0</v>
      </c>
      <c r="W64" s="260">
        <v>0</v>
      </c>
      <c r="X64" s="260">
        <v>0</v>
      </c>
      <c r="Y64" s="260">
        <v>0</v>
      </c>
      <c r="Z64" s="260">
        <v>0</v>
      </c>
      <c r="AA64" s="260">
        <v>0</v>
      </c>
      <c r="AB64" s="260">
        <v>0</v>
      </c>
      <c r="AC64" s="260">
        <v>0</v>
      </c>
      <c r="AD64" s="260">
        <v>0</v>
      </c>
      <c r="AE64" s="260">
        <v>0</v>
      </c>
    </row>
    <row r="65" spans="1:31" s="195" customFormat="1" ht="12.75" x14ac:dyDescent="0.2">
      <c r="A65" s="258" t="s">
        <v>561</v>
      </c>
      <c r="B65" s="260">
        <v>0</v>
      </c>
      <c r="C65" s="260">
        <f>-($B$24+C67)*0.022</f>
        <v>-42486.401770266668</v>
      </c>
      <c r="D65" s="260">
        <f t="shared" ref="D65:E65" si="25">-($B$24+D67)*0.022</f>
        <v>-42486.401770266668</v>
      </c>
      <c r="E65" s="260">
        <f t="shared" si="25"/>
        <v>-42486.401770266668</v>
      </c>
      <c r="F65" s="260">
        <f>-($B$24+F67)*0.022</f>
        <v>-42486.401770266668</v>
      </c>
      <c r="G65" s="260">
        <f>-($B$24+G67+F67)*0.022</f>
        <v>-40716.136873866664</v>
      </c>
      <c r="H65" s="261">
        <f>-($B$24+H67+F67+G67)*0.022</f>
        <v>-38945.871977466668</v>
      </c>
      <c r="I65" s="261">
        <f>-($B$24+I67+G67+H67+F67)*0.022</f>
        <v>-37175.607081066664</v>
      </c>
      <c r="J65" s="261">
        <f>-($B$24+J67+H67+I67+G67+F67)*0.022</f>
        <v>-35405.342184666661</v>
      </c>
      <c r="K65" s="261">
        <f>-($B$24+K67+I67+J67+H67+F67+G67)*0.022</f>
        <v>-33635.077288266664</v>
      </c>
      <c r="L65" s="261">
        <f>-($B$24+F67+L67+J67+K67+I67+G67+H67)*0.022</f>
        <v>-31864.812391866664</v>
      </c>
      <c r="M65" s="261">
        <f>-($B$24+G67+M67+K67+L67+J67+H67+I67+F67)*0.022</f>
        <v>-30094.547495466664</v>
      </c>
      <c r="N65" s="261">
        <f>-($B$24+H67+N67+L67+M67+K67+I67+J67+F67+G67)*0.022</f>
        <v>-28324.282599066664</v>
      </c>
      <c r="O65" s="261">
        <f>-($B$24+I67+O67+M67+N67+L67+J67+K67+H67+G67+F67)*0.022</f>
        <v>-26554.017702666664</v>
      </c>
      <c r="P65" s="261">
        <f>(-$B$24+J67+P67+N67+O67+M67+K67+L67+I67+H67+G67+F67)*0.022</f>
        <v>-63729.580527066617</v>
      </c>
      <c r="Q65" s="261">
        <f>-($B$24+K67+Q67+O67+P67+N67+L67+M67+J67+I67+H67+F67+G67)*0.022</f>
        <v>-23013.487909866661</v>
      </c>
      <c r="R65" s="261">
        <f>-($B$24+L67+R67+P67+Q67+O67+M67+N67+K67+J67+I67+G67+F67+H67)*0.022</f>
        <v>-21243.223013466661</v>
      </c>
      <c r="S65" s="261">
        <f>-($B$24+M67+S67+Q67+R67+P67+N67+O67+L67+K67+J67+H67+I67+F67+G67)*0.022</f>
        <v>-19472.958117066661</v>
      </c>
      <c r="T65" s="261">
        <f>-($B$24+N67+T67+R67+S67+Q67+O67+P67+M67+L67+K67+I67+J67+G67+F67+H67)*0.022</f>
        <v>-17702.693220666661</v>
      </c>
      <c r="U65" s="261">
        <f>-($B$24+O67+U67+S67+T67+R67+P67+Q67+N67+M67+L67+J67+K67+H67+G67+F67+I67)*0.022</f>
        <v>-15932.428324266661</v>
      </c>
      <c r="V65" s="261">
        <f>-($B$24+P67+V67+T67+U67+S67+Q67+R67+O67+N67+M67+K67+L67+I67+H67+G67+F67+J67)*0.022</f>
        <v>-14162.163427866661</v>
      </c>
      <c r="W65" s="261">
        <f>-($B$24+Q67+W67+U67+V67+T67+R67+S67+P67+O67+N67+L67+M67+J67+I67+H67+G67+F67+K67)*0.022</f>
        <v>-12391.898531466661</v>
      </c>
      <c r="X65" s="261">
        <f>-($B$24+R67+X67+V67+W67+U67+S67+T67+Q67+P67+O67+M67+N67+K67+J67+I67+H67+F67+G67++L67)*0.022</f>
        <v>-10621.633635066659</v>
      </c>
      <c r="Y65" s="261">
        <f>-($B$24+S67+Y67+W67+X67+V67+T67+U67+R67+Q67+P67+N67+O67+L67+K67+J67+I67+G67+H67+F67+M67)*0.022</f>
        <v>-8851.3687386666588</v>
      </c>
      <c r="Z65" s="261">
        <f>-($B$24+T67+Z67+X67+Y67+W67+U67+V67+S67+R67+Q67+O67+P67+M67+L67+K67+J67+H67+I67+G67+F67+N67)*0.022</f>
        <v>-7081.1038422666588</v>
      </c>
      <c r="AA65" s="261">
        <f>-($B$24+U67+AA67+Y67+Z67+X67+V67+W67+T67+S67+R67+P67+Q67+N67+M67+L67+K67+I67+J67+H67+G67+F67+O67)*0.022</f>
        <v>-5310.8389458666588</v>
      </c>
      <c r="AB65" s="261">
        <f>-($B$24+V67+AB67+Z67+AA67+Y67+W67+X67+U67+T67+S67+Q67+R67+O67+N67+M67+L67+J67+K67+I67+H67+G67+F67+P67)*0.022</f>
        <v>-3540.5740494666584</v>
      </c>
      <c r="AC65" s="261">
        <v>0</v>
      </c>
      <c r="AD65" s="261">
        <v>0</v>
      </c>
      <c r="AE65" s="261">
        <v>0</v>
      </c>
    </row>
    <row r="66" spans="1:31" s="195" customFormat="1" ht="12.75" x14ac:dyDescent="0.2">
      <c r="A66" s="262" t="s">
        <v>562</v>
      </c>
      <c r="B66" s="191">
        <f t="shared" ref="B66:AE66" si="26">B58+B59</f>
        <v>0</v>
      </c>
      <c r="C66" s="191">
        <f t="shared" si="26"/>
        <v>-42486.401770266668</v>
      </c>
      <c r="D66" s="191">
        <f t="shared" ref="D66:E66" si="27">D58+D59</f>
        <v>-42486.401770266668</v>
      </c>
      <c r="E66" s="191">
        <f t="shared" si="27"/>
        <v>-42486.401770266668</v>
      </c>
      <c r="F66" s="191">
        <f t="shared" si="26"/>
        <v>-42486.401770266668</v>
      </c>
      <c r="G66" s="191">
        <f t="shared" si="26"/>
        <v>-40716.136873866664</v>
      </c>
      <c r="H66" s="191">
        <f t="shared" si="26"/>
        <v>-38945.871977466668</v>
      </c>
      <c r="I66" s="191">
        <f t="shared" si="26"/>
        <v>-37175.607081066664</v>
      </c>
      <c r="J66" s="191">
        <f t="shared" si="26"/>
        <v>-35405.342184666661</v>
      </c>
      <c r="K66" s="191">
        <f t="shared" si="26"/>
        <v>-33635.077288266664</v>
      </c>
      <c r="L66" s="191">
        <f t="shared" si="26"/>
        <v>-32106.212391866666</v>
      </c>
      <c r="M66" s="191">
        <f t="shared" si="26"/>
        <v>-30094.547495466664</v>
      </c>
      <c r="N66" s="191">
        <f t="shared" si="26"/>
        <v>-29048.482599066665</v>
      </c>
      <c r="O66" s="191">
        <f t="shared" si="26"/>
        <v>-26554.017702666664</v>
      </c>
      <c r="P66" s="191">
        <f t="shared" si="26"/>
        <v>-63729.580527066617</v>
      </c>
      <c r="Q66" s="191">
        <f t="shared" si="26"/>
        <v>-23013.487909866661</v>
      </c>
      <c r="R66" s="191">
        <f t="shared" si="26"/>
        <v>-355399.10246741062</v>
      </c>
      <c r="S66" s="191">
        <f t="shared" si="26"/>
        <v>-19472.958117066661</v>
      </c>
      <c r="T66" s="191">
        <f t="shared" si="26"/>
        <v>-17702.693220666661</v>
      </c>
      <c r="U66" s="191">
        <f t="shared" si="26"/>
        <v>-15932.428324266661</v>
      </c>
      <c r="V66" s="191">
        <f t="shared" si="26"/>
        <v>-14886.363427866661</v>
      </c>
      <c r="W66" s="191">
        <f t="shared" si="26"/>
        <v>-12391.898531466661</v>
      </c>
      <c r="X66" s="191">
        <f t="shared" si="26"/>
        <v>-344777.51308901067</v>
      </c>
      <c r="Y66" s="191">
        <f t="shared" si="26"/>
        <v>-8851.3687386666588</v>
      </c>
      <c r="Z66" s="191">
        <f t="shared" si="26"/>
        <v>-7081.1038422666588</v>
      </c>
      <c r="AA66" s="191">
        <f t="shared" si="26"/>
        <v>-5310.8389458666588</v>
      </c>
      <c r="AB66" s="191">
        <f t="shared" si="26"/>
        <v>-3540.5740494666584</v>
      </c>
      <c r="AC66" s="191">
        <f t="shared" si="26"/>
        <v>0</v>
      </c>
      <c r="AD66" s="191">
        <f t="shared" si="26"/>
        <v>-724.19999999999993</v>
      </c>
      <c r="AE66" s="191">
        <f t="shared" si="26"/>
        <v>0</v>
      </c>
    </row>
    <row r="67" spans="1:31" s="195" customFormat="1" ht="12.75" x14ac:dyDescent="0.2">
      <c r="A67" s="258" t="s">
        <v>294</v>
      </c>
      <c r="B67" s="263">
        <v>0</v>
      </c>
      <c r="C67" s="263">
        <f>($B$81+$C$81+$D$81+$E$81+$F$81)*$B$27/$B$26</f>
        <v>-80466.586200000005</v>
      </c>
      <c r="D67" s="263">
        <f t="shared" ref="D67:E67" si="28">($B$81+$C$81+$D$81+$E$81+$F$81)*$B$27/$B$26</f>
        <v>-80466.586200000005</v>
      </c>
      <c r="E67" s="263">
        <f t="shared" si="28"/>
        <v>-80466.586200000005</v>
      </c>
      <c r="F67" s="263">
        <f>($B$81+$C$81+$D$81+$E$81+$F$81)*$B$27/$B$26</f>
        <v>-80466.586200000005</v>
      </c>
      <c r="G67" s="263">
        <f>($B$81+$C$81+$D$81+$E$81+$F$81)*$B$27/$B$26</f>
        <v>-80466.586200000005</v>
      </c>
      <c r="H67" s="261">
        <f t="shared" ref="H67:AE67" si="29">G67</f>
        <v>-80466.586200000005</v>
      </c>
      <c r="I67" s="261">
        <f t="shared" si="29"/>
        <v>-80466.586200000005</v>
      </c>
      <c r="J67" s="261">
        <f t="shared" si="29"/>
        <v>-80466.586200000005</v>
      </c>
      <c r="K67" s="261">
        <f t="shared" si="29"/>
        <v>-80466.586200000005</v>
      </c>
      <c r="L67" s="261">
        <f t="shared" si="29"/>
        <v>-80466.586200000005</v>
      </c>
      <c r="M67" s="261">
        <f t="shared" si="29"/>
        <v>-80466.586200000005</v>
      </c>
      <c r="N67" s="261">
        <f t="shared" si="29"/>
        <v>-80466.586200000005</v>
      </c>
      <c r="O67" s="261">
        <f t="shared" si="29"/>
        <v>-80466.586200000005</v>
      </c>
      <c r="P67" s="261">
        <f t="shared" si="29"/>
        <v>-80466.586200000005</v>
      </c>
      <c r="Q67" s="261">
        <f t="shared" si="29"/>
        <v>-80466.586200000005</v>
      </c>
      <c r="R67" s="261">
        <f t="shared" si="29"/>
        <v>-80466.586200000005</v>
      </c>
      <c r="S67" s="261">
        <f t="shared" si="29"/>
        <v>-80466.586200000005</v>
      </c>
      <c r="T67" s="261">
        <f t="shared" si="29"/>
        <v>-80466.586200000005</v>
      </c>
      <c r="U67" s="261">
        <f t="shared" si="29"/>
        <v>-80466.586200000005</v>
      </c>
      <c r="V67" s="261">
        <f t="shared" si="29"/>
        <v>-80466.586200000005</v>
      </c>
      <c r="W67" s="261">
        <f t="shared" si="29"/>
        <v>-80466.586200000005</v>
      </c>
      <c r="X67" s="261">
        <f t="shared" si="29"/>
        <v>-80466.586200000005</v>
      </c>
      <c r="Y67" s="261">
        <f t="shared" si="29"/>
        <v>-80466.586200000005</v>
      </c>
      <c r="Z67" s="261">
        <f t="shared" si="29"/>
        <v>-80466.586200000005</v>
      </c>
      <c r="AA67" s="261">
        <f t="shared" si="29"/>
        <v>-80466.586200000005</v>
      </c>
      <c r="AB67" s="261">
        <f t="shared" si="29"/>
        <v>-80466.586200000005</v>
      </c>
      <c r="AC67" s="261">
        <v>0</v>
      </c>
      <c r="AD67" s="261">
        <f t="shared" si="29"/>
        <v>0</v>
      </c>
      <c r="AE67" s="261">
        <f t="shared" si="29"/>
        <v>0</v>
      </c>
    </row>
    <row r="68" spans="1:31" s="195" customFormat="1" ht="12.75" x14ac:dyDescent="0.2">
      <c r="A68" s="262" t="s">
        <v>563</v>
      </c>
      <c r="B68" s="191">
        <f t="shared" ref="B68:AE68" si="30">B66+B67</f>
        <v>0</v>
      </c>
      <c r="C68" s="191">
        <f t="shared" si="30"/>
        <v>-122952.98797026667</v>
      </c>
      <c r="D68" s="191">
        <f t="shared" si="30"/>
        <v>-122952.98797026667</v>
      </c>
      <c r="E68" s="191">
        <f t="shared" si="30"/>
        <v>-122952.98797026667</v>
      </c>
      <c r="F68" s="191">
        <f t="shared" si="30"/>
        <v>-122952.98797026667</v>
      </c>
      <c r="G68" s="191">
        <f t="shared" si="30"/>
        <v>-121182.72307386667</v>
      </c>
      <c r="H68" s="191">
        <f t="shared" si="30"/>
        <v>-119412.45817746667</v>
      </c>
      <c r="I68" s="191">
        <f t="shared" si="30"/>
        <v>-117642.19328106666</v>
      </c>
      <c r="J68" s="191">
        <f t="shared" si="30"/>
        <v>-115871.92838466667</v>
      </c>
      <c r="K68" s="191">
        <f t="shared" si="30"/>
        <v>-114101.66348826667</v>
      </c>
      <c r="L68" s="191">
        <f t="shared" si="30"/>
        <v>-112572.79859186667</v>
      </c>
      <c r="M68" s="191">
        <f t="shared" si="30"/>
        <v>-110561.13369546668</v>
      </c>
      <c r="N68" s="191">
        <f t="shared" si="30"/>
        <v>-109515.06879906668</v>
      </c>
      <c r="O68" s="191">
        <f t="shared" si="30"/>
        <v>-107020.60390266667</v>
      </c>
      <c r="P68" s="191">
        <f t="shared" si="30"/>
        <v>-144196.16672706662</v>
      </c>
      <c r="Q68" s="191">
        <f t="shared" si="30"/>
        <v>-103480.07410986666</v>
      </c>
      <c r="R68" s="191">
        <f t="shared" si="30"/>
        <v>-435865.68866741064</v>
      </c>
      <c r="S68" s="191">
        <f t="shared" si="30"/>
        <v>-99939.544317066669</v>
      </c>
      <c r="T68" s="191">
        <f t="shared" si="30"/>
        <v>-98169.279420666659</v>
      </c>
      <c r="U68" s="191">
        <f t="shared" si="30"/>
        <v>-96399.014524266662</v>
      </c>
      <c r="V68" s="191">
        <f t="shared" si="30"/>
        <v>-95352.949627866663</v>
      </c>
      <c r="W68" s="191">
        <f t="shared" si="30"/>
        <v>-92858.484731466669</v>
      </c>
      <c r="X68" s="191">
        <f t="shared" si="30"/>
        <v>-425244.09928901069</v>
      </c>
      <c r="Y68" s="191">
        <f t="shared" si="30"/>
        <v>-89317.954938666662</v>
      </c>
      <c r="Z68" s="191">
        <f t="shared" si="30"/>
        <v>-87547.690042266666</v>
      </c>
      <c r="AA68" s="191">
        <f t="shared" si="30"/>
        <v>-85777.425145866669</v>
      </c>
      <c r="AB68" s="191">
        <f t="shared" si="30"/>
        <v>-84007.160249466659</v>
      </c>
      <c r="AC68" s="191">
        <f t="shared" si="30"/>
        <v>0</v>
      </c>
      <c r="AD68" s="191">
        <f t="shared" si="30"/>
        <v>-724.19999999999993</v>
      </c>
      <c r="AE68" s="191">
        <f t="shared" si="30"/>
        <v>0</v>
      </c>
    </row>
    <row r="69" spans="1:31" s="195" customFormat="1" ht="12.75" x14ac:dyDescent="0.2">
      <c r="A69" s="258" t="s">
        <v>293</v>
      </c>
      <c r="B69" s="260">
        <v>0</v>
      </c>
      <c r="C69" s="260">
        <v>0</v>
      </c>
      <c r="D69" s="260">
        <v>0</v>
      </c>
      <c r="E69" s="260">
        <v>0</v>
      </c>
      <c r="F69" s="260">
        <v>0</v>
      </c>
      <c r="G69" s="260">
        <v>0</v>
      </c>
      <c r="H69" s="260">
        <v>0</v>
      </c>
      <c r="I69" s="260">
        <v>0</v>
      </c>
      <c r="J69" s="260">
        <v>0</v>
      </c>
      <c r="K69" s="260">
        <v>0</v>
      </c>
      <c r="L69" s="260">
        <v>0</v>
      </c>
      <c r="M69" s="260">
        <v>0</v>
      </c>
      <c r="N69" s="260">
        <v>0</v>
      </c>
      <c r="O69" s="260">
        <v>0</v>
      </c>
      <c r="P69" s="260">
        <v>0</v>
      </c>
      <c r="Q69" s="260">
        <v>0</v>
      </c>
      <c r="R69" s="260">
        <v>0</v>
      </c>
      <c r="S69" s="260">
        <v>0</v>
      </c>
      <c r="T69" s="260">
        <v>0</v>
      </c>
      <c r="U69" s="260">
        <v>0</v>
      </c>
      <c r="V69" s="260">
        <v>0</v>
      </c>
      <c r="W69" s="260">
        <v>0</v>
      </c>
      <c r="X69" s="260">
        <v>0</v>
      </c>
      <c r="Y69" s="260">
        <v>0</v>
      </c>
      <c r="Z69" s="260">
        <v>0</v>
      </c>
      <c r="AA69" s="260">
        <v>0</v>
      </c>
      <c r="AB69" s="260">
        <v>0</v>
      </c>
      <c r="AC69" s="260">
        <v>0</v>
      </c>
      <c r="AD69" s="260">
        <v>0</v>
      </c>
      <c r="AE69" s="260">
        <v>0</v>
      </c>
    </row>
    <row r="70" spans="1:31" s="195" customFormat="1" ht="12.75" x14ac:dyDescent="0.2">
      <c r="A70" s="262" t="s">
        <v>297</v>
      </c>
      <c r="B70" s="191">
        <f t="shared" ref="B70:AE70" si="31">B68+B69</f>
        <v>0</v>
      </c>
      <c r="C70" s="191">
        <f t="shared" si="31"/>
        <v>-122952.98797026667</v>
      </c>
      <c r="D70" s="191">
        <f t="shared" si="31"/>
        <v>-122952.98797026667</v>
      </c>
      <c r="E70" s="191">
        <f t="shared" si="31"/>
        <v>-122952.98797026667</v>
      </c>
      <c r="F70" s="191">
        <f t="shared" si="31"/>
        <v>-122952.98797026667</v>
      </c>
      <c r="G70" s="191">
        <f t="shared" si="31"/>
        <v>-121182.72307386667</v>
      </c>
      <c r="H70" s="191">
        <f t="shared" si="31"/>
        <v>-119412.45817746667</v>
      </c>
      <c r="I70" s="191">
        <f t="shared" si="31"/>
        <v>-117642.19328106666</v>
      </c>
      <c r="J70" s="191">
        <f t="shared" si="31"/>
        <v>-115871.92838466667</v>
      </c>
      <c r="K70" s="191">
        <f t="shared" si="31"/>
        <v>-114101.66348826667</v>
      </c>
      <c r="L70" s="191">
        <f t="shared" si="31"/>
        <v>-112572.79859186667</v>
      </c>
      <c r="M70" s="191">
        <f t="shared" si="31"/>
        <v>-110561.13369546668</v>
      </c>
      <c r="N70" s="191">
        <f t="shared" si="31"/>
        <v>-109515.06879906668</v>
      </c>
      <c r="O70" s="191">
        <f t="shared" si="31"/>
        <v>-107020.60390266667</v>
      </c>
      <c r="P70" s="191">
        <f t="shared" si="31"/>
        <v>-144196.16672706662</v>
      </c>
      <c r="Q70" s="191">
        <f t="shared" si="31"/>
        <v>-103480.07410986666</v>
      </c>
      <c r="R70" s="191">
        <f t="shared" si="31"/>
        <v>-435865.68866741064</v>
      </c>
      <c r="S70" s="191">
        <f t="shared" si="31"/>
        <v>-99939.544317066669</v>
      </c>
      <c r="T70" s="191">
        <f t="shared" si="31"/>
        <v>-98169.279420666659</v>
      </c>
      <c r="U70" s="191">
        <f t="shared" si="31"/>
        <v>-96399.014524266662</v>
      </c>
      <c r="V70" s="191">
        <f t="shared" si="31"/>
        <v>-95352.949627866663</v>
      </c>
      <c r="W70" s="191">
        <f t="shared" si="31"/>
        <v>-92858.484731466669</v>
      </c>
      <c r="X70" s="191">
        <f t="shared" si="31"/>
        <v>-425244.09928901069</v>
      </c>
      <c r="Y70" s="191">
        <f t="shared" si="31"/>
        <v>-89317.954938666662</v>
      </c>
      <c r="Z70" s="191">
        <f t="shared" si="31"/>
        <v>-87547.690042266666</v>
      </c>
      <c r="AA70" s="191">
        <f t="shared" si="31"/>
        <v>-85777.425145866669</v>
      </c>
      <c r="AB70" s="191">
        <f t="shared" si="31"/>
        <v>-84007.160249466659</v>
      </c>
      <c r="AC70" s="191">
        <f t="shared" si="31"/>
        <v>0</v>
      </c>
      <c r="AD70" s="191">
        <f t="shared" si="31"/>
        <v>-724.19999999999993</v>
      </c>
      <c r="AE70" s="191">
        <f t="shared" si="31"/>
        <v>0</v>
      </c>
    </row>
    <row r="71" spans="1:31" s="195" customFormat="1" ht="12.75" x14ac:dyDescent="0.2">
      <c r="A71" s="258" t="s">
        <v>292</v>
      </c>
      <c r="B71" s="263">
        <f t="shared" ref="B71:AE71" si="32">-B70*$B$35</f>
        <v>0</v>
      </c>
      <c r="C71" s="263">
        <f t="shared" si="32"/>
        <v>24590.597594053335</v>
      </c>
      <c r="D71" s="263">
        <f t="shared" si="32"/>
        <v>24590.597594053335</v>
      </c>
      <c r="E71" s="263">
        <f t="shared" si="32"/>
        <v>24590.597594053335</v>
      </c>
      <c r="F71" s="263">
        <f t="shared" si="32"/>
        <v>24590.597594053335</v>
      </c>
      <c r="G71" s="263">
        <f t="shared" si="32"/>
        <v>24236.544614773335</v>
      </c>
      <c r="H71" s="263">
        <f t="shared" si="32"/>
        <v>23882.491635493338</v>
      </c>
      <c r="I71" s="263">
        <f t="shared" si="32"/>
        <v>23528.438656213333</v>
      </c>
      <c r="J71" s="263">
        <f t="shared" si="32"/>
        <v>23174.385676933336</v>
      </c>
      <c r="K71" s="263">
        <f t="shared" si="32"/>
        <v>22820.332697653335</v>
      </c>
      <c r="L71" s="263">
        <f t="shared" si="32"/>
        <v>22514.559718373333</v>
      </c>
      <c r="M71" s="263">
        <f t="shared" si="32"/>
        <v>22112.226739093338</v>
      </c>
      <c r="N71" s="263">
        <f t="shared" si="32"/>
        <v>21903.013759813337</v>
      </c>
      <c r="O71" s="263">
        <f t="shared" si="32"/>
        <v>21404.120780533336</v>
      </c>
      <c r="P71" s="263">
        <f t="shared" si="32"/>
        <v>28839.233345413326</v>
      </c>
      <c r="Q71" s="263">
        <f t="shared" si="32"/>
        <v>20696.014821973335</v>
      </c>
      <c r="R71" s="263">
        <f t="shared" si="32"/>
        <v>87173.13773348213</v>
      </c>
      <c r="S71" s="263">
        <f t="shared" si="32"/>
        <v>19987.908863413337</v>
      </c>
      <c r="T71" s="263">
        <f t="shared" si="32"/>
        <v>19633.855884133332</v>
      </c>
      <c r="U71" s="263">
        <f t="shared" si="32"/>
        <v>19279.802904853332</v>
      </c>
      <c r="V71" s="263">
        <f t="shared" si="32"/>
        <v>19070.589925573335</v>
      </c>
      <c r="W71" s="263">
        <f t="shared" si="32"/>
        <v>18571.696946293334</v>
      </c>
      <c r="X71" s="263">
        <f t="shared" si="32"/>
        <v>85048.81985780214</v>
      </c>
      <c r="Y71" s="263">
        <f t="shared" si="32"/>
        <v>17863.590987733332</v>
      </c>
      <c r="Z71" s="263">
        <f t="shared" si="32"/>
        <v>17509.538008453335</v>
      </c>
      <c r="AA71" s="263">
        <f t="shared" si="32"/>
        <v>17155.485029173335</v>
      </c>
      <c r="AB71" s="263">
        <f t="shared" si="32"/>
        <v>16801.432049893334</v>
      </c>
      <c r="AC71" s="263">
        <f t="shared" si="32"/>
        <v>0</v>
      </c>
      <c r="AD71" s="263">
        <f t="shared" si="32"/>
        <v>144.84</v>
      </c>
      <c r="AE71" s="263">
        <f t="shared" si="32"/>
        <v>0</v>
      </c>
    </row>
    <row r="72" spans="1:31" s="195" customFormat="1" ht="13.5" thickBot="1" x14ac:dyDescent="0.25">
      <c r="A72" s="264" t="s">
        <v>296</v>
      </c>
      <c r="B72" s="265">
        <f t="shared" ref="B72:AE72" si="33">B70+B71</f>
        <v>0</v>
      </c>
      <c r="C72" s="265">
        <f t="shared" si="33"/>
        <v>-98362.390376213327</v>
      </c>
      <c r="D72" s="265">
        <f t="shared" si="33"/>
        <v>-98362.390376213327</v>
      </c>
      <c r="E72" s="265">
        <f t="shared" si="33"/>
        <v>-98362.390376213327</v>
      </c>
      <c r="F72" s="265">
        <f t="shared" si="33"/>
        <v>-98362.390376213327</v>
      </c>
      <c r="G72" s="265">
        <f t="shared" si="33"/>
        <v>-96946.178459093338</v>
      </c>
      <c r="H72" s="265">
        <f t="shared" si="33"/>
        <v>-95529.966541973336</v>
      </c>
      <c r="I72" s="265">
        <f t="shared" si="33"/>
        <v>-94113.754624853333</v>
      </c>
      <c r="J72" s="265">
        <f t="shared" si="33"/>
        <v>-92697.54270773333</v>
      </c>
      <c r="K72" s="265">
        <f t="shared" si="33"/>
        <v>-91281.330790613341</v>
      </c>
      <c r="L72" s="265">
        <f t="shared" si="33"/>
        <v>-90058.238873493334</v>
      </c>
      <c r="M72" s="265">
        <f t="shared" si="33"/>
        <v>-88448.906956373336</v>
      </c>
      <c r="N72" s="265">
        <f t="shared" si="33"/>
        <v>-87612.055039253348</v>
      </c>
      <c r="O72" s="265">
        <f t="shared" si="33"/>
        <v>-85616.48312213333</v>
      </c>
      <c r="P72" s="265">
        <f t="shared" si="33"/>
        <v>-115356.9333816533</v>
      </c>
      <c r="Q72" s="265">
        <f t="shared" si="33"/>
        <v>-82784.059287893324</v>
      </c>
      <c r="R72" s="265">
        <f t="shared" si="33"/>
        <v>-348692.55093392852</v>
      </c>
      <c r="S72" s="265">
        <f t="shared" si="33"/>
        <v>-79951.635453653333</v>
      </c>
      <c r="T72" s="265">
        <f t="shared" si="33"/>
        <v>-78535.42353653333</v>
      </c>
      <c r="U72" s="265">
        <f t="shared" si="33"/>
        <v>-77119.211619413327</v>
      </c>
      <c r="V72" s="265">
        <f t="shared" si="33"/>
        <v>-76282.359702293325</v>
      </c>
      <c r="W72" s="265">
        <f t="shared" si="33"/>
        <v>-74286.787785173336</v>
      </c>
      <c r="X72" s="265">
        <f t="shared" si="33"/>
        <v>-340195.27943120856</v>
      </c>
      <c r="Y72" s="265">
        <f t="shared" si="33"/>
        <v>-71454.36395093333</v>
      </c>
      <c r="Z72" s="265">
        <f t="shared" si="33"/>
        <v>-70038.152033813327</v>
      </c>
      <c r="AA72" s="265">
        <f t="shared" si="33"/>
        <v>-68621.940116693338</v>
      </c>
      <c r="AB72" s="265">
        <f t="shared" si="33"/>
        <v>-67205.728199573321</v>
      </c>
      <c r="AC72" s="265">
        <f t="shared" si="33"/>
        <v>0</v>
      </c>
      <c r="AD72" s="265">
        <f t="shared" si="33"/>
        <v>-579.3599999999999</v>
      </c>
      <c r="AE72" s="265">
        <f t="shared" si="33"/>
        <v>0</v>
      </c>
    </row>
    <row r="73" spans="1:31" s="195" customFormat="1" ht="13.5" thickBot="1" x14ac:dyDescent="0.25">
      <c r="A73" s="248"/>
      <c r="B73" s="266">
        <v>0.5</v>
      </c>
      <c r="C73" s="266">
        <v>1.5</v>
      </c>
      <c r="D73" s="266">
        <v>2.5</v>
      </c>
      <c r="E73" s="266">
        <v>3.5</v>
      </c>
      <c r="F73" s="266">
        <v>4.5</v>
      </c>
      <c r="G73" s="266">
        <v>5.5</v>
      </c>
      <c r="H73" s="266">
        <v>6.5</v>
      </c>
      <c r="I73" s="266">
        <v>7.5</v>
      </c>
      <c r="J73" s="266">
        <v>8.5</v>
      </c>
      <c r="K73" s="266">
        <v>9.5</v>
      </c>
      <c r="L73" s="266">
        <v>10.5</v>
      </c>
      <c r="M73" s="266">
        <v>11.5</v>
      </c>
      <c r="N73" s="266">
        <v>12.5</v>
      </c>
      <c r="O73" s="266">
        <v>13.5</v>
      </c>
      <c r="P73" s="266">
        <v>14.5</v>
      </c>
      <c r="Q73" s="266">
        <v>15.5</v>
      </c>
      <c r="R73" s="266">
        <v>16.5</v>
      </c>
      <c r="S73" s="266">
        <v>17.5</v>
      </c>
      <c r="T73" s="266">
        <v>18.5</v>
      </c>
      <c r="U73" s="266">
        <v>19.5</v>
      </c>
      <c r="V73" s="266">
        <v>20.5</v>
      </c>
      <c r="W73" s="266">
        <v>21.5</v>
      </c>
      <c r="X73" s="266">
        <v>22.5</v>
      </c>
      <c r="Y73" s="266">
        <v>23.5</v>
      </c>
      <c r="Z73" s="266">
        <v>24.5</v>
      </c>
      <c r="AA73" s="266">
        <v>25.5</v>
      </c>
      <c r="AB73" s="266">
        <v>26.5</v>
      </c>
      <c r="AC73" s="266">
        <v>27.5</v>
      </c>
      <c r="AD73" s="266">
        <v>28.5</v>
      </c>
      <c r="AE73" s="266">
        <v>29.5</v>
      </c>
    </row>
    <row r="74" spans="1:31" s="195" customFormat="1" ht="12.75" x14ac:dyDescent="0.2">
      <c r="A74" s="250" t="s">
        <v>295</v>
      </c>
      <c r="B74" s="240">
        <v>1</v>
      </c>
      <c r="C74" s="240">
        <v>2</v>
      </c>
      <c r="D74" s="240">
        <v>3</v>
      </c>
      <c r="E74" s="240">
        <v>4</v>
      </c>
      <c r="F74" s="240">
        <v>5</v>
      </c>
      <c r="G74" s="240">
        <v>6</v>
      </c>
      <c r="H74" s="240">
        <v>7</v>
      </c>
      <c r="I74" s="240">
        <v>8</v>
      </c>
      <c r="J74" s="240">
        <v>9</v>
      </c>
      <c r="K74" s="240">
        <v>10</v>
      </c>
      <c r="L74" s="240">
        <v>11</v>
      </c>
      <c r="M74" s="240">
        <v>12</v>
      </c>
      <c r="N74" s="240">
        <v>13</v>
      </c>
      <c r="O74" s="240">
        <v>14</v>
      </c>
      <c r="P74" s="240">
        <v>15</v>
      </c>
      <c r="Q74" s="240">
        <v>16</v>
      </c>
      <c r="R74" s="240">
        <v>17</v>
      </c>
      <c r="S74" s="240">
        <v>18</v>
      </c>
      <c r="T74" s="240">
        <v>19</v>
      </c>
      <c r="U74" s="240">
        <v>20</v>
      </c>
      <c r="V74" s="240">
        <v>21</v>
      </c>
      <c r="W74" s="240">
        <v>22</v>
      </c>
      <c r="X74" s="240">
        <v>23</v>
      </c>
      <c r="Y74" s="240">
        <v>24</v>
      </c>
      <c r="Z74" s="240">
        <v>25</v>
      </c>
      <c r="AA74" s="240">
        <v>26</v>
      </c>
      <c r="AB74" s="240">
        <v>27</v>
      </c>
      <c r="AC74" s="240">
        <v>28</v>
      </c>
      <c r="AD74" s="240">
        <v>29</v>
      </c>
      <c r="AE74" s="240">
        <v>30</v>
      </c>
    </row>
    <row r="75" spans="1:31" s="195" customFormat="1" ht="12.75" x14ac:dyDescent="0.2">
      <c r="A75" s="267" t="s">
        <v>563</v>
      </c>
      <c r="B75" s="191">
        <f t="shared" ref="B75:AE75" si="34">B68</f>
        <v>0</v>
      </c>
      <c r="C75" s="191">
        <f t="shared" si="34"/>
        <v>-122952.98797026667</v>
      </c>
      <c r="D75" s="191">
        <f t="shared" si="34"/>
        <v>-122952.98797026667</v>
      </c>
      <c r="E75" s="191">
        <f t="shared" si="34"/>
        <v>-122952.98797026667</v>
      </c>
      <c r="F75" s="191">
        <f t="shared" si="34"/>
        <v>-122952.98797026667</v>
      </c>
      <c r="G75" s="191">
        <f t="shared" si="34"/>
        <v>-121182.72307386667</v>
      </c>
      <c r="H75" s="191">
        <f t="shared" si="34"/>
        <v>-119412.45817746667</v>
      </c>
      <c r="I75" s="191">
        <f t="shared" si="34"/>
        <v>-117642.19328106666</v>
      </c>
      <c r="J75" s="191">
        <f t="shared" si="34"/>
        <v>-115871.92838466667</v>
      </c>
      <c r="K75" s="191">
        <f t="shared" si="34"/>
        <v>-114101.66348826667</v>
      </c>
      <c r="L75" s="191">
        <f t="shared" si="34"/>
        <v>-112572.79859186667</v>
      </c>
      <c r="M75" s="191">
        <f t="shared" si="34"/>
        <v>-110561.13369546668</v>
      </c>
      <c r="N75" s="191">
        <f t="shared" si="34"/>
        <v>-109515.06879906668</v>
      </c>
      <c r="O75" s="191">
        <f t="shared" si="34"/>
        <v>-107020.60390266667</v>
      </c>
      <c r="P75" s="191">
        <f t="shared" si="34"/>
        <v>-144196.16672706662</v>
      </c>
      <c r="Q75" s="191">
        <f t="shared" si="34"/>
        <v>-103480.07410986666</v>
      </c>
      <c r="R75" s="191">
        <f t="shared" si="34"/>
        <v>-435865.68866741064</v>
      </c>
      <c r="S75" s="191">
        <f t="shared" si="34"/>
        <v>-99939.544317066669</v>
      </c>
      <c r="T75" s="191">
        <f t="shared" si="34"/>
        <v>-98169.279420666659</v>
      </c>
      <c r="U75" s="191">
        <f t="shared" si="34"/>
        <v>-96399.014524266662</v>
      </c>
      <c r="V75" s="191">
        <f t="shared" si="34"/>
        <v>-95352.949627866663</v>
      </c>
      <c r="W75" s="191">
        <f t="shared" si="34"/>
        <v>-92858.484731466669</v>
      </c>
      <c r="X75" s="191">
        <f t="shared" si="34"/>
        <v>-425244.09928901069</v>
      </c>
      <c r="Y75" s="191">
        <f t="shared" si="34"/>
        <v>-89317.954938666662</v>
      </c>
      <c r="Z75" s="191">
        <f t="shared" si="34"/>
        <v>-87547.690042266666</v>
      </c>
      <c r="AA75" s="191">
        <f t="shared" si="34"/>
        <v>-85777.425145866669</v>
      </c>
      <c r="AB75" s="191">
        <f t="shared" si="34"/>
        <v>-84007.160249466659</v>
      </c>
      <c r="AC75" s="191">
        <f t="shared" si="34"/>
        <v>0</v>
      </c>
      <c r="AD75" s="191">
        <f t="shared" si="34"/>
        <v>-724.19999999999993</v>
      </c>
      <c r="AE75" s="191">
        <f t="shared" si="34"/>
        <v>0</v>
      </c>
    </row>
    <row r="76" spans="1:31" s="195" customFormat="1" ht="12.75" x14ac:dyDescent="0.2">
      <c r="A76" s="258" t="s">
        <v>294</v>
      </c>
      <c r="B76" s="263">
        <f t="shared" ref="B76:AE76" si="35">-B67</f>
        <v>0</v>
      </c>
      <c r="C76" s="263">
        <f t="shared" si="35"/>
        <v>80466.586200000005</v>
      </c>
      <c r="D76" s="263">
        <f t="shared" si="35"/>
        <v>80466.586200000005</v>
      </c>
      <c r="E76" s="263">
        <f t="shared" si="35"/>
        <v>80466.586200000005</v>
      </c>
      <c r="F76" s="263">
        <f t="shared" si="35"/>
        <v>80466.586200000005</v>
      </c>
      <c r="G76" s="263">
        <f>-G67</f>
        <v>80466.586200000005</v>
      </c>
      <c r="H76" s="263">
        <f t="shared" si="35"/>
        <v>80466.586200000005</v>
      </c>
      <c r="I76" s="263">
        <f t="shared" si="35"/>
        <v>80466.586200000005</v>
      </c>
      <c r="J76" s="263">
        <f t="shared" si="35"/>
        <v>80466.586200000005</v>
      </c>
      <c r="K76" s="263">
        <f t="shared" si="35"/>
        <v>80466.586200000005</v>
      </c>
      <c r="L76" s="263">
        <f t="shared" si="35"/>
        <v>80466.586200000005</v>
      </c>
      <c r="M76" s="263">
        <f t="shared" si="35"/>
        <v>80466.586200000005</v>
      </c>
      <c r="N76" s="263">
        <f t="shared" si="35"/>
        <v>80466.586200000005</v>
      </c>
      <c r="O76" s="263">
        <f t="shared" si="35"/>
        <v>80466.586200000005</v>
      </c>
      <c r="P76" s="263">
        <f t="shared" si="35"/>
        <v>80466.586200000005</v>
      </c>
      <c r="Q76" s="263">
        <f t="shared" si="35"/>
        <v>80466.586200000005</v>
      </c>
      <c r="R76" s="263">
        <f t="shared" si="35"/>
        <v>80466.586200000005</v>
      </c>
      <c r="S76" s="263">
        <f t="shared" si="35"/>
        <v>80466.586200000005</v>
      </c>
      <c r="T76" s="263">
        <f t="shared" si="35"/>
        <v>80466.586200000005</v>
      </c>
      <c r="U76" s="263">
        <f t="shared" si="35"/>
        <v>80466.586200000005</v>
      </c>
      <c r="V76" s="263">
        <f t="shared" si="35"/>
        <v>80466.586200000005</v>
      </c>
      <c r="W76" s="263">
        <f t="shared" si="35"/>
        <v>80466.586200000005</v>
      </c>
      <c r="X76" s="263">
        <f t="shared" si="35"/>
        <v>80466.586200000005</v>
      </c>
      <c r="Y76" s="263">
        <f t="shared" si="35"/>
        <v>80466.586200000005</v>
      </c>
      <c r="Z76" s="263">
        <f t="shared" si="35"/>
        <v>80466.586200000005</v>
      </c>
      <c r="AA76" s="263">
        <f t="shared" si="35"/>
        <v>80466.586200000005</v>
      </c>
      <c r="AB76" s="263">
        <f t="shared" si="35"/>
        <v>80466.586200000005</v>
      </c>
      <c r="AC76" s="263">
        <f t="shared" si="35"/>
        <v>0</v>
      </c>
      <c r="AD76" s="263">
        <f t="shared" si="35"/>
        <v>0</v>
      </c>
      <c r="AE76" s="263">
        <f t="shared" si="35"/>
        <v>0</v>
      </c>
    </row>
    <row r="77" spans="1:31" s="195" customFormat="1" ht="12.75" x14ac:dyDescent="0.2">
      <c r="A77" s="258" t="s">
        <v>293</v>
      </c>
      <c r="B77" s="263">
        <f t="shared" ref="B77:AE77" si="36">B69</f>
        <v>0</v>
      </c>
      <c r="C77" s="263">
        <f t="shared" si="36"/>
        <v>0</v>
      </c>
      <c r="D77" s="263">
        <f t="shared" si="36"/>
        <v>0</v>
      </c>
      <c r="E77" s="263">
        <f t="shared" si="36"/>
        <v>0</v>
      </c>
      <c r="F77" s="263">
        <f t="shared" si="36"/>
        <v>0</v>
      </c>
      <c r="G77" s="263">
        <f t="shared" si="36"/>
        <v>0</v>
      </c>
      <c r="H77" s="263">
        <f t="shared" si="36"/>
        <v>0</v>
      </c>
      <c r="I77" s="263">
        <f t="shared" si="36"/>
        <v>0</v>
      </c>
      <c r="J77" s="263">
        <f t="shared" si="36"/>
        <v>0</v>
      </c>
      <c r="K77" s="263">
        <f t="shared" si="36"/>
        <v>0</v>
      </c>
      <c r="L77" s="263">
        <f t="shared" si="36"/>
        <v>0</v>
      </c>
      <c r="M77" s="263">
        <f t="shared" si="36"/>
        <v>0</v>
      </c>
      <c r="N77" s="263">
        <f t="shared" si="36"/>
        <v>0</v>
      </c>
      <c r="O77" s="263">
        <f t="shared" si="36"/>
        <v>0</v>
      </c>
      <c r="P77" s="263">
        <f t="shared" si="36"/>
        <v>0</v>
      </c>
      <c r="Q77" s="263">
        <f t="shared" si="36"/>
        <v>0</v>
      </c>
      <c r="R77" s="263">
        <f t="shared" si="36"/>
        <v>0</v>
      </c>
      <c r="S77" s="263">
        <f t="shared" si="36"/>
        <v>0</v>
      </c>
      <c r="T77" s="263">
        <f t="shared" si="36"/>
        <v>0</v>
      </c>
      <c r="U77" s="263">
        <f t="shared" si="36"/>
        <v>0</v>
      </c>
      <c r="V77" s="263">
        <f t="shared" si="36"/>
        <v>0</v>
      </c>
      <c r="W77" s="263">
        <f t="shared" si="36"/>
        <v>0</v>
      </c>
      <c r="X77" s="263">
        <f t="shared" si="36"/>
        <v>0</v>
      </c>
      <c r="Y77" s="263">
        <f t="shared" si="36"/>
        <v>0</v>
      </c>
      <c r="Z77" s="263">
        <f t="shared" si="36"/>
        <v>0</v>
      </c>
      <c r="AA77" s="263">
        <f t="shared" si="36"/>
        <v>0</v>
      </c>
      <c r="AB77" s="263">
        <f t="shared" si="36"/>
        <v>0</v>
      </c>
      <c r="AC77" s="263">
        <f t="shared" si="36"/>
        <v>0</v>
      </c>
      <c r="AD77" s="263">
        <f t="shared" si="36"/>
        <v>0</v>
      </c>
      <c r="AE77" s="263">
        <f t="shared" si="36"/>
        <v>0</v>
      </c>
    </row>
    <row r="78" spans="1:31" s="195" customFormat="1" ht="12.75" x14ac:dyDescent="0.2">
      <c r="A78" s="258" t="s">
        <v>292</v>
      </c>
      <c r="B78" s="263">
        <f>IF(SUM($B$71:B71)+SUM($A$78:A78)&gt;0,0,SUM($B$71:B71)-SUM($A$78:A78))</f>
        <v>0</v>
      </c>
      <c r="C78" s="263">
        <f>IF(SUM($B$71:C71)+SUM($A$78:B78)&gt;0,0,SUM($B$71:C71)-SUM($A$78:B78))</f>
        <v>0</v>
      </c>
      <c r="D78" s="263">
        <f>IF(SUM($B$71:D71)+SUM($A$78:C78)&gt;0,0,SUM($B$71:D71)-SUM($A$78:C78))</f>
        <v>0</v>
      </c>
      <c r="E78" s="263">
        <f>IF(SUM($B$71:E71)+SUM($A$78:D78)&gt;0,0,SUM($B$71:E71)-SUM($A$78:D78))</f>
        <v>0</v>
      </c>
      <c r="F78" s="263">
        <f>IF(SUM($B$71:F71)+SUM($A$78:E78)&gt;0,0,SUM($B$71:F71)-SUM($A$78:E78))</f>
        <v>0</v>
      </c>
      <c r="G78" s="263">
        <f>IF(SUM($B$71:G71)+SUM($A$78:F78)&gt;0,0,SUM($B$71:G71)-SUM($A$78:F78))</f>
        <v>0</v>
      </c>
      <c r="H78" s="263">
        <f>IF(SUM($B$71:H71)+SUM($A$78:G78)&gt;0,0,SUM($B$71:H71)-SUM($A$78:G78))</f>
        <v>0</v>
      </c>
      <c r="I78" s="263">
        <f>IF(SUM($B$71:I71)+SUM($A$78:H78)&gt;0,0,SUM($B$71:I71)-SUM($A$78:H78))</f>
        <v>0</v>
      </c>
      <c r="J78" s="263">
        <f>IF(SUM($B$71:J71)+SUM($A$78:I78)&gt;0,0,SUM($B$71:J71)-SUM($A$78:I78))</f>
        <v>0</v>
      </c>
      <c r="K78" s="263">
        <f>IF(SUM($B$71:K71)+SUM($A$78:J78)&gt;0,0,SUM($B$71:K71)-SUM($A$78:J78))</f>
        <v>0</v>
      </c>
      <c r="L78" s="263">
        <f>IF(SUM($B$71:L71)+SUM($A$78:K78)&gt;0,0,SUM($B$71:L71)-SUM($A$78:K78))</f>
        <v>0</v>
      </c>
      <c r="M78" s="263">
        <f>IF(SUM($B$71:M71)+SUM($A$78:L78)&gt;0,0,SUM($B$71:M71)-SUM($A$78:L78))</f>
        <v>0</v>
      </c>
      <c r="N78" s="263">
        <f>IF(SUM($B$71:N71)+SUM($A$78:M78)&gt;0,0,SUM($B$71:N71)-SUM($A$78:M78))</f>
        <v>0</v>
      </c>
      <c r="O78" s="263">
        <f>IF(SUM($B$71:O71)+SUM($A$78:N78)&gt;0,0,SUM($B$71:O71)-SUM($A$78:N78))</f>
        <v>0</v>
      </c>
      <c r="P78" s="263">
        <f>IF(SUM($B$71:P71)+SUM($A$78:O78)&gt;0,0,SUM($B$71:P71)-SUM($A$78:O78))</f>
        <v>0</v>
      </c>
      <c r="Q78" s="263">
        <f>IF(SUM($B$71:Q71)+SUM($A$78:P78)&gt;0,0,SUM($B$71:Q71)-SUM($A$78:P78))</f>
        <v>0</v>
      </c>
      <c r="R78" s="263">
        <f>IF(SUM($B$71:R71)+SUM($A$78:Q78)&gt;0,0,SUM($B$71:R71)-SUM($A$78:Q78))</f>
        <v>0</v>
      </c>
      <c r="S78" s="263">
        <f>IF(SUM($B$71:S71)+SUM($A$78:R78)&gt;0,0,SUM($B$71:S71)-SUM($A$78:R78))</f>
        <v>0</v>
      </c>
      <c r="T78" s="263">
        <f>IF(SUM($B$71:T71)+SUM($A$78:S78)&gt;0,0,SUM($B$71:T71)-SUM($A$78:S78))</f>
        <v>0</v>
      </c>
      <c r="U78" s="263">
        <f>IF(SUM($B$71:U71)+SUM($A$78:T78)&gt;0,0,SUM($B$71:U71)-SUM($A$78:T78))</f>
        <v>0</v>
      </c>
      <c r="V78" s="263">
        <f>IF(SUM($B$71:V71)+SUM($A$78:U78)&gt;0,0,SUM($B$71:V71)-SUM($A$78:U78))</f>
        <v>0</v>
      </c>
      <c r="W78" s="263">
        <f>IF(SUM($B$71:W71)+SUM($A$78:V78)&gt;0,0,SUM($B$71:W71)-SUM($A$78:V78))</f>
        <v>0</v>
      </c>
      <c r="X78" s="263">
        <f>IF(SUM($B$71:X71)+SUM($A$78:W78)&gt;0,0,SUM($B$71:X71)-SUM($A$78:W78))</f>
        <v>0</v>
      </c>
      <c r="Y78" s="263">
        <f>IF(SUM($B$71:Y71)+SUM($A$78:X78)&gt;0,0,SUM($B$71:Y71)-SUM($A$78:X78))</f>
        <v>0</v>
      </c>
      <c r="Z78" s="263">
        <f>IF(SUM($B$71:Z71)+SUM($A$78:Y78)&gt;0,0,SUM($B$71:Z71)-SUM($A$78:Y78))</f>
        <v>0</v>
      </c>
      <c r="AA78" s="263">
        <f>IF(SUM($B$71:AA71)+SUM($A$78:Z78)&gt;0,0,SUM($B$71:AA71)-SUM($A$78:Z78))</f>
        <v>0</v>
      </c>
      <c r="AB78" s="263">
        <f>IF(SUM($B$71:AB71)+SUM($A$78:AA78)&gt;0,0,SUM($B$71:AB71)-SUM($A$78:AA78))</f>
        <v>0</v>
      </c>
      <c r="AC78" s="263">
        <f>IF(SUM($B$71:AC71)+SUM($A$78:AB78)&gt;0,0,SUM($B$71:AC71)-SUM($A$78:AB78))</f>
        <v>0</v>
      </c>
      <c r="AD78" s="263">
        <f>IF(SUM($B$71:AD71)+SUM($A$78:AC78)&gt;0,0,SUM($B$71:AD71)-SUM($A$78:AC78))</f>
        <v>0</v>
      </c>
      <c r="AE78" s="263">
        <f>IF(SUM($B$71:AE71)+SUM($A$78:AD78)&gt;0,0,SUM($B$71:AE71)-SUM($A$78:AD78))</f>
        <v>0</v>
      </c>
    </row>
    <row r="79" spans="1:31" s="195" customFormat="1" ht="12.75" x14ac:dyDescent="0.2">
      <c r="A79" s="258" t="s">
        <v>291</v>
      </c>
      <c r="B79" s="263">
        <f>IF(((SUM($B$58:B58)+SUM($B$60:B64))+SUM($B$81:B81))&lt;0,((SUM($B$58:B58)+SUM($B$60:B64))+SUM($B$81:B81))*0.2-SUM($A$79:A79),IF(SUM(A$79:$A79)&lt;0,0-SUM(A$79:$A79),0))</f>
        <v>-482800</v>
      </c>
      <c r="C79" s="263">
        <f>IF(((SUM($B$58:C58)+SUM($B$60:C64))+SUM($B$81:C81))&lt;0,((SUM($B$58:C58)+SUM($B$60:C64))+SUM($B$81:C81))*0.2-SUM($A$79:B79),IF(SUM($A$79:B79)&lt;0,0-SUM($A$79:B79),0))</f>
        <v>0</v>
      </c>
      <c r="D79" s="263">
        <f>IF(((SUM($B$58:D58)+SUM($B$60:D64))+SUM($B$81:D81))&lt;0,((SUM($B$58:D58)+SUM($B$60:D64))+SUM($B$81:D81))*0.2-SUM($A$79:C79),IF(SUM($A$79:C79)&lt;0,0-SUM($A$79:C79),0))</f>
        <v>0.48279999993974343</v>
      </c>
      <c r="E79" s="263">
        <f>IF(((SUM($B$58:E58)+SUM($B$60:E64))+SUM($B$81:E81))&lt;0,((SUM($B$58:E58)+SUM($B$60:E64))+SUM($B$81:E81))*0.2-SUM($A$79:D79),IF(SUM($A$79:D79)&lt;0,0-SUM($A$79:D79),0))</f>
        <v>0</v>
      </c>
      <c r="F79" s="263">
        <f>IF(((SUM($B$58:F58)+SUM($B$60:F64))+SUM($B$81:F81))&lt;0,((SUM($B$58:F58)+SUM($B$60:F64))+SUM($B$81:F81))*0.2-SUM($A$79:E79),IF(SUM($A$79:E79)&lt;0,0-SUM($A$79:E79),0))</f>
        <v>0</v>
      </c>
      <c r="G79" s="263">
        <f>IF(((SUM($B$58:G58)+SUM($B$60:G64))+SUM($B$81:G81))&lt;0,((SUM($B$58:G58)+SUM($B$60:G64))+SUM($B$81:G81))*0.2-SUM($A$79:F79),IF(SUM($A$79:F79)&lt;0,0-SUM($A$79:F79),0))</f>
        <v>0</v>
      </c>
      <c r="H79" s="263">
        <f>IF(((SUM($B$58:H58)+SUM($B$60:H64))+SUM($B$81:H81))&lt;0,((SUM($B$58:H58)+SUM($B$60:H64))+SUM($B$81:H81))*0.2-SUM($A$79:G79),IF(SUM($A$79:G79)&lt;0,0-SUM($A$79:G79),0))</f>
        <v>0</v>
      </c>
      <c r="I79" s="263">
        <f>IF(((SUM($B$58:I58)+SUM($B$60:I64))+SUM($B$81:I81))&lt;0,((SUM($B$58:I58)+SUM($B$60:I64))+SUM($B$81:I81))*0.2-SUM($A$79:H79),IF(SUM($A$79:H79)&lt;0,0-SUM($A$79:H79),0))</f>
        <v>0</v>
      </c>
      <c r="J79" s="263">
        <f>IF(((SUM($B$58:J58)+SUM($B$60:J64))+SUM($B$81:J81))&lt;0,((SUM($B$58:J58)+SUM($B$60:J64))+SUM($B$81:J81))*0.2-SUM($A$79:I79),IF(SUM($A$79:I79)&lt;0,0-SUM($A$79:I79),0))</f>
        <v>0</v>
      </c>
      <c r="K79" s="263">
        <f>IF(((SUM($B$58:K58)+SUM($B$60:K64))+SUM($B$81:K81))&lt;0,((SUM($B$58:K58)+SUM($B$60:K64))+SUM($B$81:K81))*0.2-SUM($A$79:J79),IF(SUM($A$79:J79)&lt;0,0-SUM($A$79:J79),0))</f>
        <v>0</v>
      </c>
      <c r="L79" s="263">
        <f>IF(((SUM($B$58:L58)+SUM($B$60:L64))+SUM($B$81:L81))&lt;0,((SUM($B$58:L58)+SUM($B$60:L64))+SUM($B$81:L81))*0.2-SUM($A$79:K79),IF(SUM($A$79:K79)&lt;0,0-SUM($A$79:K79),0))</f>
        <v>-48.279999999969732</v>
      </c>
      <c r="M79" s="263">
        <f>IF(((SUM($B$58:M58)+SUM($B$60:M64))+SUM($B$81:M81))&lt;0,((SUM($B$58:M58)+SUM($B$60:M64))+SUM($B$81:M81))*0.2-SUM($A$79:L79),IF(SUM($A$79:L79)&lt;0,0-SUM($A$79:L79),0))</f>
        <v>0</v>
      </c>
      <c r="N79" s="263">
        <f>IF(((SUM($B$58:N58)+SUM($B$60:N64))+SUM($B$81:N81))&lt;0,((SUM($B$58:N58)+SUM($B$60:N64))+SUM($B$81:N81))*0.2-SUM($A$79:M79),IF(SUM($A$79:M79)&lt;0,0-SUM($A$79:M79),0))</f>
        <v>-144.84000000002561</v>
      </c>
      <c r="O79" s="263">
        <f>IF(((SUM($B$58:O58)+SUM($B$60:O64))+SUM($B$81:O81))&lt;0,((SUM($B$58:O58)+SUM($B$60:O64))+SUM($B$81:O81))*0.2-SUM($A$79:N79),IF(SUM($A$79:N79)&lt;0,0-SUM($A$79:N79),0))</f>
        <v>0</v>
      </c>
      <c r="P79" s="263">
        <f>IF(((SUM($B$58:P58)+SUM($B$60:P64))+SUM($B$81:P81))&lt;0,((SUM($B$58:P58)+SUM($B$60:P64))+SUM($B$81:P81))*0.2-SUM($A$79:O79),IF(SUM($A$79:O79)&lt;0,0-SUM($A$79:O79),0))</f>
        <v>0</v>
      </c>
      <c r="Q79" s="263">
        <f>IF(((SUM($B$58:Q58)+SUM($B$60:Q64))+SUM($B$81:Q81))&lt;0,((SUM($B$58:Q58)+SUM($B$60:Q64))+SUM($B$81:Q81))*0.2-SUM($A$79:P79),IF(SUM($A$79:P79)&lt;0,0-SUM($A$79:P79),0))</f>
        <v>0</v>
      </c>
      <c r="R79" s="263">
        <f>IF(((SUM($B$58:R58)+SUM($B$60:R64))+SUM($B$81:R81))&lt;0,((SUM($B$58:R58)+SUM($B$60:R64))+SUM($B$81:R81))*0.2-SUM($A$79:Q79),IF(SUM($A$79:Q79)&lt;0,0-SUM($A$79:Q79),0))</f>
        <v>-66831.175890788843</v>
      </c>
      <c r="S79" s="263">
        <f>IF(((SUM($B$58:S58)+SUM($B$60:S64))+SUM($B$81:S81))&lt;0,((SUM($B$58:S58)+SUM($B$60:S64))+SUM($B$81:S81))*0.2-SUM($A$79:R79),IF(SUM($A$79:R79)&lt;0,0-SUM($A$79:R79),0))</f>
        <v>0</v>
      </c>
      <c r="T79" s="263">
        <f>IF(((SUM($B$58:T58)+SUM($B$60:T64))+SUM($B$81:T81))&lt;0,((SUM($B$58:T58)+SUM($B$60:T64))+SUM($B$81:T81))*0.2-SUM($A$79:S79),IF(SUM($A$79:S79)&lt;0,0-SUM($A$79:S79),0))</f>
        <v>0</v>
      </c>
      <c r="U79" s="263">
        <f>IF(((SUM($B$58:U58)+SUM($B$60:U64))+SUM($B$81:U81))&lt;0,((SUM($B$58:U58)+SUM($B$60:U64))+SUM($B$81:U81))*0.2-SUM($A$79:T79),IF(SUM($A$79:T79)&lt;0,0-SUM($A$79:T79),0))</f>
        <v>0</v>
      </c>
      <c r="V79" s="263">
        <f>IF(((SUM($B$58:V58)+SUM($B$60:V64))+SUM($B$81:V81))&lt;0,((SUM($B$58:V58)+SUM($B$60:V64))+SUM($B$81:V81))*0.2-SUM($A$79:U79),IF(SUM($A$79:U79)&lt;0,0-SUM($A$79:U79),0))</f>
        <v>-144.8399999999674</v>
      </c>
      <c r="W79" s="263">
        <f>IF(((SUM($B$58:W58)+SUM($B$60:W64))+SUM($B$81:W81))&lt;0,((SUM($B$58:W58)+SUM($B$60:W64))+SUM($B$81:W81))*0.2-SUM($A$79:V79),IF(SUM($A$79:V79)&lt;0,0-SUM($A$79:V79),0))</f>
        <v>0</v>
      </c>
      <c r="X79" s="263">
        <f>IF(((SUM($B$58:X58)+SUM($B$60:X64))+SUM($B$81:X81))&lt;0,((SUM($B$58:X58)+SUM($B$60:X64))+SUM($B$81:X81))*0.2-SUM($A$79:W79),IF(SUM($A$79:W79)&lt;0,0-SUM($A$79:W79),0))</f>
        <v>-66831.175890788785</v>
      </c>
      <c r="Y79" s="263">
        <f>IF(((SUM($B$58:Y58)+SUM($B$60:Y64))+SUM($B$81:Y81))&lt;0,((SUM($B$58:Y58)+SUM($B$60:Y64))+SUM($B$81:Y81))*0.2-SUM($A$79:X79),IF(SUM($A$79:X79)&lt;0,0-SUM($A$79:X79),0))</f>
        <v>0</v>
      </c>
      <c r="Z79" s="263">
        <f>IF(((SUM($B$58:Z58)+SUM($B$60:Z64))+SUM($B$81:Z81))&lt;0,((SUM($B$58:Z58)+SUM($B$60:Z64))+SUM($B$81:Z81))*0.2-SUM($A$79:Y79),IF(SUM($A$79:Y79)&lt;0,0-SUM($A$79:Y79),0))</f>
        <v>0</v>
      </c>
      <c r="AA79" s="263">
        <f>IF(((SUM($B$58:AA58)+SUM($B$60:AA64))+SUM($B$81:AA81))&lt;0,((SUM($B$58:AA58)+SUM($B$60:AA64))+SUM($B$81:AA81))*0.2-SUM($A$79:Z79),IF(SUM($A$79:Z79)&lt;0,0-SUM($A$79:Z79),0))</f>
        <v>0</v>
      </c>
      <c r="AB79" s="263">
        <f>IF(((SUM($B$58:AB58)+SUM($B$60:AB64))+SUM($B$81:AB81))&lt;0,((SUM($B$58:AB58)+SUM($B$60:AB64))+SUM($B$81:AB81))*0.2-SUM($A$79:AA79),IF(SUM($A$79:AA79)&lt;0,0-SUM($A$79:AA79),0))</f>
        <v>0</v>
      </c>
      <c r="AC79" s="263">
        <f>IF(((SUM($B$58:AC58)+SUM($B$60:AC64))+SUM($B$81:AC81))&lt;0,((SUM($B$58:AC58)+SUM($B$60:AC64))+SUM($B$81:AC81))*0.2-SUM($A$79:AB79),IF(SUM($A$79:AB79)&lt;0,0-SUM($A$79:AB79),0))</f>
        <v>0</v>
      </c>
      <c r="AD79" s="263">
        <f>IF(((SUM($B$58:AD58)+SUM($B$60:AD64))+SUM($B$81:AD81))&lt;0,((SUM($B$58:AD58)+SUM($B$60:AD64))+SUM($B$81:AD81))*0.2-SUM($A$79:AC79),IF(SUM($A$79:AC79)&lt;0,0-SUM($A$79:AC79),0))</f>
        <v>-144.8399999999674</v>
      </c>
      <c r="AE79" s="263">
        <f>IF(((SUM($B$58:AE58)+SUM($B$60:AE64))+SUM($B$81:AE81))&lt;0,((SUM($B$58:AE58)+SUM($B$60:AE64))+SUM($B$81:AE81))*0.2-SUM($A$79:AD79),IF(SUM($A$79:AD79)&lt;0,0-SUM($A$79:AD79),0))</f>
        <v>0</v>
      </c>
    </row>
    <row r="80" spans="1:31" s="195" customFormat="1" ht="12.75" x14ac:dyDescent="0.2">
      <c r="A80" s="258" t="s">
        <v>290</v>
      </c>
      <c r="B80" s="263">
        <f t="shared" ref="B80:AE80" si="37">-B58*(B38)</f>
        <v>0</v>
      </c>
      <c r="C80" s="263">
        <f t="shared" si="37"/>
        <v>0</v>
      </c>
      <c r="D80" s="263">
        <f t="shared" si="37"/>
        <v>0</v>
      </c>
      <c r="E80" s="263">
        <f t="shared" si="37"/>
        <v>0</v>
      </c>
      <c r="F80" s="263">
        <f t="shared" si="37"/>
        <v>0</v>
      </c>
      <c r="G80" s="263">
        <f t="shared" si="37"/>
        <v>0</v>
      </c>
      <c r="H80" s="263">
        <f t="shared" si="37"/>
        <v>0</v>
      </c>
      <c r="I80" s="263">
        <f t="shared" si="37"/>
        <v>0</v>
      </c>
      <c r="J80" s="263">
        <f t="shared" si="37"/>
        <v>0</v>
      </c>
      <c r="K80" s="263">
        <f t="shared" si="37"/>
        <v>0</v>
      </c>
      <c r="L80" s="263">
        <f t="shared" si="37"/>
        <v>0</v>
      </c>
      <c r="M80" s="263">
        <f t="shared" si="37"/>
        <v>0</v>
      </c>
      <c r="N80" s="263">
        <f t="shared" si="37"/>
        <v>0</v>
      </c>
      <c r="O80" s="263">
        <f t="shared" si="37"/>
        <v>0</v>
      </c>
      <c r="P80" s="263">
        <f t="shared" si="37"/>
        <v>0</v>
      </c>
      <c r="Q80" s="263">
        <f t="shared" si="37"/>
        <v>0</v>
      </c>
      <c r="R80" s="263">
        <f t="shared" si="37"/>
        <v>0</v>
      </c>
      <c r="S80" s="263">
        <f t="shared" si="37"/>
        <v>0</v>
      </c>
      <c r="T80" s="263">
        <f t="shared" si="37"/>
        <v>0</v>
      </c>
      <c r="U80" s="263">
        <f t="shared" si="37"/>
        <v>0</v>
      </c>
      <c r="V80" s="263">
        <f t="shared" si="37"/>
        <v>0</v>
      </c>
      <c r="W80" s="263">
        <f t="shared" si="37"/>
        <v>0</v>
      </c>
      <c r="X80" s="263">
        <f t="shared" si="37"/>
        <v>0</v>
      </c>
      <c r="Y80" s="263">
        <f t="shared" si="37"/>
        <v>0</v>
      </c>
      <c r="Z80" s="263">
        <f t="shared" si="37"/>
        <v>0</v>
      </c>
      <c r="AA80" s="263">
        <f t="shared" si="37"/>
        <v>0</v>
      </c>
      <c r="AB80" s="263">
        <f t="shared" si="37"/>
        <v>0</v>
      </c>
      <c r="AC80" s="263">
        <f t="shared" si="37"/>
        <v>0</v>
      </c>
      <c r="AD80" s="263">
        <f t="shared" si="37"/>
        <v>0</v>
      </c>
      <c r="AE80" s="263">
        <f t="shared" si="37"/>
        <v>0</v>
      </c>
    </row>
    <row r="81" spans="1:31" s="195" customFormat="1" ht="12.75" x14ac:dyDescent="0.2">
      <c r="A81" s="258" t="s">
        <v>521</v>
      </c>
      <c r="B81" s="263">
        <f>-'6.2. Паспорт фин осв ввод'!D24*1000000</f>
        <v>-2414000</v>
      </c>
      <c r="C81" s="263">
        <f>'6.2. Паспорт фин осв ввод'!V24</f>
        <v>0</v>
      </c>
      <c r="D81" s="263">
        <f>'6.2. Паспорт фин осв ввод'!Z24</f>
        <v>2.4140000000000001</v>
      </c>
      <c r="E81" s="263">
        <v>0</v>
      </c>
      <c r="F81" s="263">
        <v>0</v>
      </c>
      <c r="G81" s="260"/>
      <c r="H81" s="260"/>
      <c r="I81" s="260"/>
      <c r="J81" s="260"/>
      <c r="K81" s="260"/>
      <c r="L81" s="260"/>
      <c r="M81" s="260"/>
      <c r="N81" s="260"/>
      <c r="O81" s="260"/>
      <c r="P81" s="260"/>
      <c r="Q81" s="260"/>
      <c r="R81" s="260"/>
      <c r="S81" s="260"/>
      <c r="T81" s="260"/>
      <c r="U81" s="260"/>
      <c r="V81" s="260"/>
      <c r="W81" s="260"/>
      <c r="X81" s="260"/>
      <c r="Y81" s="260"/>
      <c r="Z81" s="260"/>
      <c r="AA81" s="260"/>
      <c r="AB81" s="260"/>
      <c r="AC81" s="260"/>
      <c r="AD81" s="260"/>
      <c r="AE81" s="260"/>
    </row>
    <row r="82" spans="1:31" s="195" customFormat="1" ht="12.75" x14ac:dyDescent="0.2">
      <c r="A82" s="258" t="s">
        <v>289</v>
      </c>
      <c r="B82" s="260">
        <v>0</v>
      </c>
      <c r="C82" s="260">
        <v>0</v>
      </c>
      <c r="D82" s="260">
        <v>0</v>
      </c>
      <c r="E82" s="260">
        <v>0</v>
      </c>
      <c r="F82" s="260">
        <v>0</v>
      </c>
      <c r="G82" s="260">
        <v>0</v>
      </c>
      <c r="H82" s="260">
        <v>0</v>
      </c>
      <c r="I82" s="260">
        <v>0</v>
      </c>
      <c r="J82" s="260">
        <v>0</v>
      </c>
      <c r="K82" s="260">
        <v>0</v>
      </c>
      <c r="L82" s="260">
        <v>0</v>
      </c>
      <c r="M82" s="260">
        <v>0</v>
      </c>
      <c r="N82" s="260">
        <v>0</v>
      </c>
      <c r="O82" s="260">
        <v>0</v>
      </c>
      <c r="P82" s="260">
        <v>0</v>
      </c>
      <c r="Q82" s="260">
        <v>0</v>
      </c>
      <c r="R82" s="260">
        <v>0</v>
      </c>
      <c r="S82" s="260">
        <v>0</v>
      </c>
      <c r="T82" s="260">
        <v>0</v>
      </c>
      <c r="U82" s="260">
        <v>0</v>
      </c>
      <c r="V82" s="260">
        <v>0</v>
      </c>
      <c r="W82" s="260">
        <v>0</v>
      </c>
      <c r="X82" s="260">
        <v>0</v>
      </c>
      <c r="Y82" s="260">
        <v>0</v>
      </c>
      <c r="Z82" s="260">
        <v>0</v>
      </c>
      <c r="AA82" s="260">
        <v>0</v>
      </c>
      <c r="AB82" s="260">
        <v>0</v>
      </c>
      <c r="AC82" s="260">
        <v>0</v>
      </c>
      <c r="AD82" s="260">
        <v>0</v>
      </c>
      <c r="AE82" s="260">
        <v>0</v>
      </c>
    </row>
    <row r="83" spans="1:31" s="195" customFormat="1" ht="12.75" x14ac:dyDescent="0.2">
      <c r="A83" s="262" t="s">
        <v>288</v>
      </c>
      <c r="B83" s="191">
        <f>SUM(B75:B82)</f>
        <v>-2896800</v>
      </c>
      <c r="C83" s="191">
        <f t="shared" ref="C83:AE83" si="38">SUM(C75:C82)</f>
        <v>-42486.401770266661</v>
      </c>
      <c r="D83" s="191">
        <f t="shared" si="38"/>
        <v>-42483.504970266724</v>
      </c>
      <c r="E83" s="191">
        <f t="shared" si="38"/>
        <v>-42486.401770266661</v>
      </c>
      <c r="F83" s="191">
        <f t="shared" si="38"/>
        <v>-42486.401770266661</v>
      </c>
      <c r="G83" s="191">
        <f t="shared" si="38"/>
        <v>-40716.136873866664</v>
      </c>
      <c r="H83" s="191">
        <f t="shared" si="38"/>
        <v>-38945.871977466668</v>
      </c>
      <c r="I83" s="191">
        <f t="shared" si="38"/>
        <v>-37175.607081066657</v>
      </c>
      <c r="J83" s="191">
        <f t="shared" si="38"/>
        <v>-35405.342184666661</v>
      </c>
      <c r="K83" s="191">
        <f t="shared" si="38"/>
        <v>-33635.077288266664</v>
      </c>
      <c r="L83" s="191">
        <f t="shared" si="38"/>
        <v>-32154.492391866632</v>
      </c>
      <c r="M83" s="191">
        <f t="shared" si="38"/>
        <v>-30094.547495466672</v>
      </c>
      <c r="N83" s="191">
        <f t="shared" si="38"/>
        <v>-29193.322599066698</v>
      </c>
      <c r="O83" s="191">
        <f t="shared" si="38"/>
        <v>-26554.017702666664</v>
      </c>
      <c r="P83" s="191">
        <f t="shared" si="38"/>
        <v>-63729.580527066617</v>
      </c>
      <c r="Q83" s="191">
        <f t="shared" si="38"/>
        <v>-23013.487909866657</v>
      </c>
      <c r="R83" s="191">
        <f t="shared" si="38"/>
        <v>-422230.27835819946</v>
      </c>
      <c r="S83" s="191">
        <f t="shared" si="38"/>
        <v>-19472.958117066664</v>
      </c>
      <c r="T83" s="191">
        <f t="shared" si="38"/>
        <v>-17702.693220666653</v>
      </c>
      <c r="U83" s="191">
        <f t="shared" si="38"/>
        <v>-15932.428324266657</v>
      </c>
      <c r="V83" s="191">
        <f t="shared" si="38"/>
        <v>-15031.203427866625</v>
      </c>
      <c r="W83" s="191">
        <f t="shared" si="38"/>
        <v>-12391.898531466664</v>
      </c>
      <c r="X83" s="191">
        <f t="shared" si="38"/>
        <v>-411608.68897979945</v>
      </c>
      <c r="Y83" s="191">
        <f t="shared" si="38"/>
        <v>-8851.368738666657</v>
      </c>
      <c r="Z83" s="191">
        <f t="shared" si="38"/>
        <v>-7081.1038422666606</v>
      </c>
      <c r="AA83" s="191">
        <f t="shared" si="38"/>
        <v>-5310.8389458666643</v>
      </c>
      <c r="AB83" s="191">
        <f t="shared" si="38"/>
        <v>-3540.5740494666534</v>
      </c>
      <c r="AC83" s="191">
        <f t="shared" si="38"/>
        <v>0</v>
      </c>
      <c r="AD83" s="191">
        <f t="shared" si="38"/>
        <v>-869.03999999996734</v>
      </c>
      <c r="AE83" s="191">
        <f t="shared" si="38"/>
        <v>0</v>
      </c>
    </row>
    <row r="84" spans="1:31" s="195" customFormat="1" ht="12.75" x14ac:dyDescent="0.2">
      <c r="A84" s="262" t="s">
        <v>564</v>
      </c>
      <c r="B84" s="191">
        <f>SUM($B$83:B83)</f>
        <v>-2896800</v>
      </c>
      <c r="C84" s="191">
        <f>SUM($B$83:C83)</f>
        <v>-2939286.4017702667</v>
      </c>
      <c r="D84" s="191">
        <f>SUM($B$83:D83)</f>
        <v>-2981769.9067405337</v>
      </c>
      <c r="E84" s="191">
        <f>SUM($B$83:E83)</f>
        <v>-3024256.3085108004</v>
      </c>
      <c r="F84" s="191">
        <f>SUM($B$83:F83)</f>
        <v>-3066742.7102810671</v>
      </c>
      <c r="G84" s="191">
        <f>SUM($B$83:G83)</f>
        <v>-3107458.847154934</v>
      </c>
      <c r="H84" s="191">
        <f>SUM($B$83:H83)</f>
        <v>-3146404.7191324006</v>
      </c>
      <c r="I84" s="191">
        <f>SUM($B$83:I83)</f>
        <v>-3183580.3262134674</v>
      </c>
      <c r="J84" s="191">
        <f>SUM($B$83:J83)</f>
        <v>-3218985.6683981339</v>
      </c>
      <c r="K84" s="191">
        <f>SUM($B$83:K83)</f>
        <v>-3252620.7456864007</v>
      </c>
      <c r="L84" s="191">
        <f>SUM($B$83:L83)</f>
        <v>-3284775.2380782673</v>
      </c>
      <c r="M84" s="191">
        <f>SUM($B$83:M83)</f>
        <v>-3314869.785573734</v>
      </c>
      <c r="N84" s="191">
        <f>SUM($B$83:N83)</f>
        <v>-3344063.1081728009</v>
      </c>
      <c r="O84" s="191">
        <f>SUM($B$83:O83)</f>
        <v>-3370617.1258754674</v>
      </c>
      <c r="P84" s="191">
        <f>SUM($B$83:P83)</f>
        <v>-3434346.7064025342</v>
      </c>
      <c r="Q84" s="191">
        <f>SUM($B$83:Q83)</f>
        <v>-3457360.1943124007</v>
      </c>
      <c r="R84" s="191">
        <f>SUM($B$83:R83)</f>
        <v>-3879590.4726706003</v>
      </c>
      <c r="S84" s="191">
        <f>SUM($B$83:S83)</f>
        <v>-3899063.4307876672</v>
      </c>
      <c r="T84" s="191">
        <f>SUM($B$83:T83)</f>
        <v>-3916766.1240083338</v>
      </c>
      <c r="U84" s="191">
        <f>SUM($B$83:U83)</f>
        <v>-3932698.5523326006</v>
      </c>
      <c r="V84" s="191">
        <f>SUM($B$83:V83)</f>
        <v>-3947729.7557604671</v>
      </c>
      <c r="W84" s="191">
        <f>SUM($B$83:W83)</f>
        <v>-3960121.6542919339</v>
      </c>
      <c r="X84" s="191">
        <f>SUM($B$83:X83)</f>
        <v>-4371730.3432717333</v>
      </c>
      <c r="Y84" s="191">
        <f>SUM($B$83:Y83)</f>
        <v>-4380581.7120104004</v>
      </c>
      <c r="Z84" s="191">
        <f>SUM($B$83:Z83)</f>
        <v>-4387662.8158526672</v>
      </c>
      <c r="AA84" s="191">
        <f>SUM($B$83:AA83)</f>
        <v>-4392973.6547985338</v>
      </c>
      <c r="AB84" s="191">
        <f>SUM($B$83:AB83)</f>
        <v>-4396514.2288480001</v>
      </c>
      <c r="AC84" s="191">
        <f>SUM($B$83:AC83)</f>
        <v>-4396514.2288480001</v>
      </c>
      <c r="AD84" s="191">
        <f>SUM($B$83:AD83)</f>
        <v>-4397383.2688480001</v>
      </c>
      <c r="AE84" s="191">
        <f>SUM($B$83:AE83)</f>
        <v>-4397383.2688480001</v>
      </c>
    </row>
    <row r="85" spans="1:31" s="195" customFormat="1" ht="27" customHeight="1" x14ac:dyDescent="0.2">
      <c r="A85" s="268" t="s">
        <v>522</v>
      </c>
      <c r="B85" s="269">
        <f t="shared" ref="B85:AE85" si="39">1/POWER((1+$B$43),B73)</f>
        <v>0.9128709291752769</v>
      </c>
      <c r="C85" s="269">
        <f t="shared" si="39"/>
        <v>0.7607257743127307</v>
      </c>
      <c r="D85" s="269">
        <f t="shared" si="39"/>
        <v>0.63393814526060899</v>
      </c>
      <c r="E85" s="269">
        <f t="shared" si="39"/>
        <v>0.52828178771717416</v>
      </c>
      <c r="F85" s="269">
        <f t="shared" si="39"/>
        <v>0.44023482309764517</v>
      </c>
      <c r="G85" s="269">
        <f t="shared" si="39"/>
        <v>0.36686235258137107</v>
      </c>
      <c r="H85" s="269">
        <f t="shared" si="39"/>
        <v>0.30571862715114251</v>
      </c>
      <c r="I85" s="269">
        <f t="shared" si="39"/>
        <v>0.25476552262595203</v>
      </c>
      <c r="J85" s="269">
        <f t="shared" si="39"/>
        <v>0.21230460218829345</v>
      </c>
      <c r="K85" s="269">
        <f t="shared" si="39"/>
        <v>0.17692050182357785</v>
      </c>
      <c r="L85" s="269">
        <f t="shared" si="39"/>
        <v>0.14743375151964822</v>
      </c>
      <c r="M85" s="269">
        <f t="shared" si="39"/>
        <v>0.12286145959970685</v>
      </c>
      <c r="N85" s="269">
        <f t="shared" si="39"/>
        <v>0.10238454966642239</v>
      </c>
      <c r="O85" s="269">
        <f t="shared" si="39"/>
        <v>8.5320458055351975E-2</v>
      </c>
      <c r="P85" s="269">
        <f t="shared" si="39"/>
        <v>7.1100381712793329E-2</v>
      </c>
      <c r="Q85" s="269">
        <f t="shared" si="39"/>
        <v>5.9250318093994447E-2</v>
      </c>
      <c r="R85" s="269">
        <f t="shared" si="39"/>
        <v>4.9375265078328692E-2</v>
      </c>
      <c r="S85" s="269">
        <f t="shared" si="39"/>
        <v>4.1146054231940586E-2</v>
      </c>
      <c r="T85" s="269">
        <f t="shared" si="39"/>
        <v>3.4288378526617161E-2</v>
      </c>
      <c r="U85" s="269">
        <f t="shared" si="39"/>
        <v>2.8573648772180955E-2</v>
      </c>
      <c r="V85" s="269">
        <f t="shared" si="39"/>
        <v>2.3811373976817471E-2</v>
      </c>
      <c r="W85" s="269">
        <f t="shared" si="39"/>
        <v>1.9842811647347896E-2</v>
      </c>
      <c r="X85" s="269">
        <f t="shared" si="39"/>
        <v>1.6535676372789913E-2</v>
      </c>
      <c r="Y85" s="269">
        <f t="shared" si="39"/>
        <v>1.377973031065826E-2</v>
      </c>
      <c r="Z85" s="269">
        <f t="shared" si="39"/>
        <v>1.1483108592215211E-2</v>
      </c>
      <c r="AA85" s="269">
        <f t="shared" si="39"/>
        <v>9.5692571601793501E-3</v>
      </c>
      <c r="AB85" s="269">
        <f t="shared" si="39"/>
        <v>7.9743809668161216E-3</v>
      </c>
      <c r="AC85" s="269">
        <f t="shared" si="39"/>
        <v>6.6453174723467663E-3</v>
      </c>
      <c r="AD85" s="269">
        <f t="shared" si="39"/>
        <v>5.5377645602889755E-3</v>
      </c>
      <c r="AE85" s="269">
        <f t="shared" si="39"/>
        <v>4.6148038002408118E-3</v>
      </c>
    </row>
    <row r="86" spans="1:31" s="195" customFormat="1" ht="12.75" x14ac:dyDescent="0.2">
      <c r="A86" s="267" t="s">
        <v>565</v>
      </c>
      <c r="B86" s="191">
        <f t="shared" ref="B86:AE86" si="40">B83*B85</f>
        <v>-2644404.507634942</v>
      </c>
      <c r="C86" s="191">
        <f t="shared" si="40"/>
        <v>-32320.500884447876</v>
      </c>
      <c r="D86" s="191">
        <f t="shared" si="40"/>
        <v>-26931.914345020752</v>
      </c>
      <c r="E86" s="191">
        <f t="shared" si="40"/>
        <v>-22444.792280866583</v>
      </c>
      <c r="F86" s="191">
        <f t="shared" si="40"/>
        <v>-18703.993567388821</v>
      </c>
      <c r="G86" s="191">
        <f t="shared" si="40"/>
        <v>-14937.217761571836</v>
      </c>
      <c r="H86" s="191">
        <f t="shared" si="40"/>
        <v>-11906.478514155262</v>
      </c>
      <c r="I86" s="191">
        <f t="shared" si="40"/>
        <v>-9471.06296694499</v>
      </c>
      <c r="J86" s="191">
        <f t="shared" si="40"/>
        <v>-7516.7170878560601</v>
      </c>
      <c r="K86" s="191">
        <f t="shared" si="40"/>
        <v>-5950.7347527149641</v>
      </c>
      <c r="L86" s="191">
        <f t="shared" si="40"/>
        <v>-4740.657441542884</v>
      </c>
      <c r="M86" s="191">
        <f t="shared" si="40"/>
        <v>-3697.4600312857374</v>
      </c>
      <c r="N86" s="191">
        <f t="shared" si="40"/>
        <v>-2988.9451875720356</v>
      </c>
      <c r="O86" s="191">
        <f t="shared" si="40"/>
        <v>-2265.6009536014449</v>
      </c>
      <c r="P86" s="191">
        <f t="shared" si="40"/>
        <v>-4531.1975018706371</v>
      </c>
      <c r="Q86" s="191">
        <f t="shared" si="40"/>
        <v>-1363.5564791118948</v>
      </c>
      <c r="R86" s="191">
        <f t="shared" si="40"/>
        <v>-20847.731918032609</v>
      </c>
      <c r="S86" s="191">
        <f t="shared" si="40"/>
        <v>-801.23539074113262</v>
      </c>
      <c r="T86" s="191">
        <f t="shared" si="40"/>
        <v>-606.99664609079764</v>
      </c>
      <c r="U86" s="191">
        <f t="shared" si="40"/>
        <v>-455.24761102554305</v>
      </c>
      <c r="V86" s="191">
        <f t="shared" si="40"/>
        <v>-357.91360614255291</v>
      </c>
      <c r="W86" s="191">
        <f t="shared" si="40"/>
        <v>-245.89010851294</v>
      </c>
      <c r="X86" s="191">
        <f t="shared" si="40"/>
        <v>-6806.2280731983019</v>
      </c>
      <c r="Y86" s="191">
        <f t="shared" si="40"/>
        <v>-121.9694740990179</v>
      </c>
      <c r="Z86" s="191">
        <f t="shared" si="40"/>
        <v>-81.313084373500445</v>
      </c>
      <c r="AA86" s="191">
        <f t="shared" si="40"/>
        <v>-50.820783609293926</v>
      </c>
      <c r="AB86" s="191">
        <f t="shared" si="40"/>
        <v>-28.233886311669963</v>
      </c>
      <c r="AC86" s="191">
        <f t="shared" si="40"/>
        <v>0</v>
      </c>
      <c r="AD86" s="191">
        <f t="shared" si="40"/>
        <v>-4.8125389134733503</v>
      </c>
      <c r="AE86" s="191">
        <f t="shared" si="40"/>
        <v>0</v>
      </c>
    </row>
    <row r="87" spans="1:31" s="195" customFormat="1" ht="12.75" x14ac:dyDescent="0.2">
      <c r="A87" s="267" t="s">
        <v>566</v>
      </c>
      <c r="B87" s="191">
        <f>SUM($B$86:B86)</f>
        <v>-2644404.507634942</v>
      </c>
      <c r="C87" s="191">
        <f>SUM($B$86:C86)</f>
        <v>-2676725.0085193897</v>
      </c>
      <c r="D87" s="191">
        <f>SUM($B$86:D86)</f>
        <v>-2703656.9228644106</v>
      </c>
      <c r="E87" s="191">
        <f>SUM($B$86:E86)</f>
        <v>-2726101.7151452773</v>
      </c>
      <c r="F87" s="191">
        <f>SUM($B$86:F86)</f>
        <v>-2744805.7087126663</v>
      </c>
      <c r="G87" s="191">
        <f>SUM($B$86:G86)</f>
        <v>-2759742.9264742383</v>
      </c>
      <c r="H87" s="191">
        <f>SUM($B$86:H86)</f>
        <v>-2771649.4049883937</v>
      </c>
      <c r="I87" s="191">
        <f>SUM($B$86:I86)</f>
        <v>-2781120.4679553388</v>
      </c>
      <c r="J87" s="191">
        <f>SUM($B$86:J86)</f>
        <v>-2788637.1850431948</v>
      </c>
      <c r="K87" s="191">
        <f>SUM($B$86:K86)</f>
        <v>-2794587.9197959099</v>
      </c>
      <c r="L87" s="191">
        <f>SUM($B$86:L86)</f>
        <v>-2799328.5772374528</v>
      </c>
      <c r="M87" s="191">
        <f>SUM($B$86:M86)</f>
        <v>-2803026.0372687387</v>
      </c>
      <c r="N87" s="191">
        <f>SUM($B$86:N86)</f>
        <v>-2806014.9824563107</v>
      </c>
      <c r="O87" s="191">
        <f>SUM($B$86:O86)</f>
        <v>-2808280.583409912</v>
      </c>
      <c r="P87" s="191">
        <f>SUM($B$86:P86)</f>
        <v>-2812811.7809117828</v>
      </c>
      <c r="Q87" s="191">
        <f>SUM($B$86:Q86)</f>
        <v>-2814175.3373908945</v>
      </c>
      <c r="R87" s="191">
        <f>SUM($B$86:R86)</f>
        <v>-2835023.0693089273</v>
      </c>
      <c r="S87" s="191">
        <f>SUM($B$86:S86)</f>
        <v>-2835824.3046996682</v>
      </c>
      <c r="T87" s="191">
        <f>SUM($B$86:T86)</f>
        <v>-2836431.3013457591</v>
      </c>
      <c r="U87" s="191">
        <f>SUM($B$86:U86)</f>
        <v>-2836886.5489567844</v>
      </c>
      <c r="V87" s="191">
        <f>SUM($B$86:V86)</f>
        <v>-2837244.462562927</v>
      </c>
      <c r="W87" s="191">
        <f>SUM($B$86:W86)</f>
        <v>-2837490.3526714398</v>
      </c>
      <c r="X87" s="191">
        <f>SUM($B$86:X86)</f>
        <v>-2844296.5807446381</v>
      </c>
      <c r="Y87" s="191">
        <f>SUM($B$86:Y86)</f>
        <v>-2844418.5502187372</v>
      </c>
      <c r="Z87" s="191">
        <f>SUM($B$86:Z86)</f>
        <v>-2844499.8633031109</v>
      </c>
      <c r="AA87" s="191">
        <f>SUM($B$86:AA86)</f>
        <v>-2844550.6840867205</v>
      </c>
      <c r="AB87" s="191">
        <f>SUM($B$86:AB86)</f>
        <v>-2844578.9179730322</v>
      </c>
      <c r="AC87" s="191">
        <f>SUM($B$86:AC86)</f>
        <v>-2844578.9179730322</v>
      </c>
      <c r="AD87" s="191">
        <f>SUM($B$86:AD86)</f>
        <v>-2844583.7305119457</v>
      </c>
      <c r="AE87" s="191">
        <f>SUM($B$86:AE86)</f>
        <v>-2844583.7305119457</v>
      </c>
    </row>
    <row r="88" spans="1:31" s="195" customFormat="1" ht="12.75" x14ac:dyDescent="0.2">
      <c r="A88" s="267" t="s">
        <v>567</v>
      </c>
      <c r="B88" s="270">
        <f>IF((ISERR(IRR($B$83:B83))),0,IF(IRR($B$83:B83)&lt;0,0,IRR($B$83:B83)))</f>
        <v>0</v>
      </c>
      <c r="C88" s="270">
        <f>IF((ISERR(IRR($B$83:C83))),0,IF(IRR($B$83:C83)&lt;0,0,IRR($B$83:C83)))</f>
        <v>0</v>
      </c>
      <c r="D88" s="270">
        <f>IF((ISERR(IRR($B$83:D83))),0,IF(IRR($B$83:D83)&lt;0,0,IRR($B$83:D83)))</f>
        <v>0</v>
      </c>
      <c r="E88" s="270">
        <f>IF((ISERR(IRR($B$83:E83))),0,IF(IRR($B$83:E83)&lt;0,0,IRR($B$83:E83)))</f>
        <v>0</v>
      </c>
      <c r="F88" s="270">
        <f>IF((ISERR(IRR($B$83:F83))),0,IF(IRR($B$83:F83)&lt;0,0,IRR($B$83:F83)))</f>
        <v>0</v>
      </c>
      <c r="G88" s="270">
        <f>IF((ISERR(IRR($B$83:G83))),0,IF(IRR($B$83:G83)&lt;0,0,IRR($B$83:G83)))</f>
        <v>0</v>
      </c>
      <c r="H88" s="270">
        <f>IF((ISERR(IRR($B$83:H83))),0,IF(IRR($B$83:H83)&lt;0,0,IRR($B$83:H83)))</f>
        <v>0</v>
      </c>
      <c r="I88" s="270">
        <f>IF((ISERR(IRR($B$83:I83))),0,IF(IRR($B$83:I83)&lt;0,0,IRR($B$83:I83)))</f>
        <v>0</v>
      </c>
      <c r="J88" s="270">
        <f>IF((ISERR(IRR($B$83:J83))),0,IF(IRR($B$83:J83)&lt;0,0,IRR($B$83:J83)))</f>
        <v>0</v>
      </c>
      <c r="K88" s="270">
        <f>IF((ISERR(IRR($B$83:K83))),0,IF(IRR($B$83:K83)&lt;0,0,IRR($B$83:K83)))</f>
        <v>0</v>
      </c>
      <c r="L88" s="270">
        <f>IF((ISERR(IRR($B$83:L83))),0,IF(IRR($B$83:L83)&lt;0,0,IRR($B$83:L83)))</f>
        <v>0</v>
      </c>
      <c r="M88" s="270">
        <f>IF((ISERR(IRR($B$83:M83))),0,IF(IRR($B$83:M83)&lt;0,0,IRR($B$83:M83)))</f>
        <v>0</v>
      </c>
      <c r="N88" s="270">
        <f>IF((ISERR(IRR($B$83:N83))),0,IF(IRR($B$83:N83)&lt;0,0,IRR($B$83:N83)))</f>
        <v>0</v>
      </c>
      <c r="O88" s="270">
        <f>IF((ISERR(IRR($B$83:O83))),0,IF(IRR($B$83:O83)&lt;0,0,IRR($B$83:O83)))</f>
        <v>0</v>
      </c>
      <c r="P88" s="270">
        <f>IF((ISERR(IRR($B$83:P83))),0,IF(IRR($B$83:P83)&lt;0,0,IRR($B$83:P83)))</f>
        <v>0</v>
      </c>
      <c r="Q88" s="270">
        <f>IF((ISERR(IRR($B$83:Q83))),0,IF(IRR($B$83:Q83)&lt;0,0,IRR($B$83:Q83)))</f>
        <v>0</v>
      </c>
      <c r="R88" s="270">
        <f>IF((ISERR(IRR($B$83:R83))),0,IF(IRR($B$83:R83)&lt;0,0,IRR($B$83:R83)))</f>
        <v>0</v>
      </c>
      <c r="S88" s="270">
        <f>IF((ISERR(IRR($B$83:S83))),0,IF(IRR($B$83:S83)&lt;0,0,IRR($B$83:S83)))</f>
        <v>0</v>
      </c>
      <c r="T88" s="270">
        <f>IF((ISERR(IRR($B$83:T83))),0,IF(IRR($B$83:T83)&lt;0,0,IRR($B$83:T83)))</f>
        <v>0</v>
      </c>
      <c r="U88" s="270">
        <f>IF((ISERR(IRR($B$83:U83))),0,IF(IRR($B$83:U83)&lt;0,0,IRR($B$83:U83)))</f>
        <v>0</v>
      </c>
      <c r="V88" s="270">
        <f>IF((ISERR(IRR($B$83:V83))),0,IF(IRR($B$83:V83)&lt;0,0,IRR($B$83:V83)))</f>
        <v>0</v>
      </c>
      <c r="W88" s="270">
        <f>IF((ISERR(IRR($B$83:W83))),0,IF(IRR($B$83:W83)&lt;0,0,IRR($B$83:W83)))</f>
        <v>0</v>
      </c>
      <c r="X88" s="270">
        <f>IF((ISERR(IRR($B$83:X83))),0,IF(IRR($B$83:X83)&lt;0,0,IRR($B$83:X83)))</f>
        <v>0</v>
      </c>
      <c r="Y88" s="270">
        <f>IF((ISERR(IRR($B$83:Y83))),0,IF(IRR($B$83:Y83)&lt;0,0,IRR($B$83:Y83)))</f>
        <v>0</v>
      </c>
      <c r="Z88" s="270">
        <f>IF((ISERR(IRR($B$83:Z83))),0,IF(IRR($B$83:Z83)&lt;0,0,IRR($B$83:Z83)))</f>
        <v>0</v>
      </c>
      <c r="AA88" s="270">
        <f>IF((ISERR(IRR($B$83:AA83))),0,IF(IRR($B$83:AA83)&lt;0,0,IRR($B$83:AA83)))</f>
        <v>0</v>
      </c>
      <c r="AB88" s="270">
        <f>IF((ISERR(IRR($B$83:AB83))),0,IF(IRR($B$83:AB83)&lt;0,0,IRR($B$83:AB83)))</f>
        <v>0</v>
      </c>
      <c r="AC88" s="270">
        <f>IF((ISERR(IRR($B$83:AC83))),0,IF(IRR($B$83:AC83)&lt;0,0,IRR($B$83:AC83)))</f>
        <v>0</v>
      </c>
      <c r="AD88" s="270">
        <f>IF((ISERR(IRR($B$83:AD83))),0,IF(IRR($B$83:AD83)&lt;0,0,IRR($B$83:AD83)))</f>
        <v>0</v>
      </c>
      <c r="AE88" s="270">
        <f>IF((ISERR(IRR($B$83:AE83))),0,IF(IRR($B$83:AE83)&lt;0,0,IRR($B$83:AE83)))</f>
        <v>0</v>
      </c>
    </row>
    <row r="89" spans="1:31" s="195" customFormat="1" ht="12.75" x14ac:dyDescent="0.2">
      <c r="A89" s="267" t="s">
        <v>568</v>
      </c>
      <c r="B89" s="271">
        <f>IF(AND(B84&gt;0,A84&lt;0),(B74-(B84/(B84-A84))),0)</f>
        <v>0</v>
      </c>
      <c r="C89" s="271">
        <f>IF(AND(C84&gt;0,B84&lt;0),(C74-(C84/(C84-B84))),0)</f>
        <v>0</v>
      </c>
      <c r="D89" s="271">
        <f>IF(AND(D84&gt;0,C84&lt;0),(D74-(D84/(D84-C84))),0)</f>
        <v>0</v>
      </c>
      <c r="E89" s="271">
        <f>IF(AND(E84&gt;0,D84&lt;0),(E74-(E84/(E84-D84))),0)</f>
        <v>0</v>
      </c>
      <c r="F89" s="271">
        <f>IF(AND(F84&gt;0,E84&lt;0),(F74-(F84/(F84-E84))),0)</f>
        <v>0</v>
      </c>
      <c r="G89" s="271">
        <f t="shared" ref="G89:AE89" si="41">IF(AND(G84&gt;0,F84&lt;0),(G74-(G84/(G84-F84))),0)</f>
        <v>0</v>
      </c>
      <c r="H89" s="271">
        <f t="shared" si="41"/>
        <v>0</v>
      </c>
      <c r="I89" s="271">
        <f t="shared" si="41"/>
        <v>0</v>
      </c>
      <c r="J89" s="271">
        <f t="shared" si="41"/>
        <v>0</v>
      </c>
      <c r="K89" s="271">
        <f t="shared" si="41"/>
        <v>0</v>
      </c>
      <c r="L89" s="271">
        <f t="shared" si="41"/>
        <v>0</v>
      </c>
      <c r="M89" s="271">
        <f t="shared" si="41"/>
        <v>0</v>
      </c>
      <c r="N89" s="271">
        <f t="shared" si="41"/>
        <v>0</v>
      </c>
      <c r="O89" s="271">
        <f t="shared" si="41"/>
        <v>0</v>
      </c>
      <c r="P89" s="271">
        <f t="shared" si="41"/>
        <v>0</v>
      </c>
      <c r="Q89" s="271">
        <f t="shared" si="41"/>
        <v>0</v>
      </c>
      <c r="R89" s="271">
        <f t="shared" si="41"/>
        <v>0</v>
      </c>
      <c r="S89" s="271">
        <f t="shared" si="41"/>
        <v>0</v>
      </c>
      <c r="T89" s="271">
        <f t="shared" si="41"/>
        <v>0</v>
      </c>
      <c r="U89" s="271">
        <f t="shared" si="41"/>
        <v>0</v>
      </c>
      <c r="V89" s="271">
        <f t="shared" si="41"/>
        <v>0</v>
      </c>
      <c r="W89" s="271">
        <f t="shared" si="41"/>
        <v>0</v>
      </c>
      <c r="X89" s="271">
        <f t="shared" si="41"/>
        <v>0</v>
      </c>
      <c r="Y89" s="271">
        <f t="shared" si="41"/>
        <v>0</v>
      </c>
      <c r="Z89" s="271">
        <f t="shared" si="41"/>
        <v>0</v>
      </c>
      <c r="AA89" s="271">
        <f t="shared" si="41"/>
        <v>0</v>
      </c>
      <c r="AB89" s="271">
        <f t="shared" si="41"/>
        <v>0</v>
      </c>
      <c r="AC89" s="271">
        <f t="shared" si="41"/>
        <v>0</v>
      </c>
      <c r="AD89" s="271">
        <f t="shared" si="41"/>
        <v>0</v>
      </c>
      <c r="AE89" s="271">
        <f t="shared" si="41"/>
        <v>0</v>
      </c>
    </row>
    <row r="90" spans="1:31" s="195" customFormat="1" ht="13.5" thickBot="1" x14ac:dyDescent="0.25">
      <c r="A90" s="272" t="s">
        <v>569</v>
      </c>
      <c r="B90" s="273">
        <f>IF(AND(B87&gt;0,A87&lt;0),(B74-(B87/(B87-A87))),0)</f>
        <v>0</v>
      </c>
      <c r="C90" s="273">
        <f t="shared" ref="C90:AE90" si="42">IF(AND(C87&gt;0,B87&lt;0),(C74-(C87/(C87-B87))),0)</f>
        <v>0</v>
      </c>
      <c r="D90" s="273">
        <f t="shared" si="42"/>
        <v>0</v>
      </c>
      <c r="E90" s="273">
        <f t="shared" si="42"/>
        <v>0</v>
      </c>
      <c r="F90" s="273">
        <f t="shared" si="42"/>
        <v>0</v>
      </c>
      <c r="G90" s="273">
        <f t="shared" si="42"/>
        <v>0</v>
      </c>
      <c r="H90" s="273">
        <f t="shared" si="42"/>
        <v>0</v>
      </c>
      <c r="I90" s="273">
        <f t="shared" si="42"/>
        <v>0</v>
      </c>
      <c r="J90" s="273">
        <f t="shared" si="42"/>
        <v>0</v>
      </c>
      <c r="K90" s="273">
        <f t="shared" si="42"/>
        <v>0</v>
      </c>
      <c r="L90" s="273">
        <f t="shared" si="42"/>
        <v>0</v>
      </c>
      <c r="M90" s="273">
        <f t="shared" si="42"/>
        <v>0</v>
      </c>
      <c r="N90" s="273">
        <f t="shared" si="42"/>
        <v>0</v>
      </c>
      <c r="O90" s="273">
        <f t="shared" si="42"/>
        <v>0</v>
      </c>
      <c r="P90" s="273">
        <f t="shared" si="42"/>
        <v>0</v>
      </c>
      <c r="Q90" s="273">
        <f t="shared" si="42"/>
        <v>0</v>
      </c>
      <c r="R90" s="273">
        <f t="shared" si="42"/>
        <v>0</v>
      </c>
      <c r="S90" s="273">
        <f t="shared" si="42"/>
        <v>0</v>
      </c>
      <c r="T90" s="273">
        <f t="shared" si="42"/>
        <v>0</v>
      </c>
      <c r="U90" s="273">
        <f t="shared" si="42"/>
        <v>0</v>
      </c>
      <c r="V90" s="273">
        <f t="shared" si="42"/>
        <v>0</v>
      </c>
      <c r="W90" s="273">
        <f t="shared" si="42"/>
        <v>0</v>
      </c>
      <c r="X90" s="273">
        <f t="shared" si="42"/>
        <v>0</v>
      </c>
      <c r="Y90" s="273">
        <f t="shared" si="42"/>
        <v>0</v>
      </c>
      <c r="Z90" s="273">
        <f t="shared" si="42"/>
        <v>0</v>
      </c>
      <c r="AA90" s="273">
        <f t="shared" si="42"/>
        <v>0</v>
      </c>
      <c r="AB90" s="273">
        <f t="shared" si="42"/>
        <v>0</v>
      </c>
      <c r="AC90" s="273">
        <f t="shared" si="42"/>
        <v>0</v>
      </c>
      <c r="AD90" s="273">
        <f t="shared" si="42"/>
        <v>0</v>
      </c>
      <c r="AE90" s="273">
        <f t="shared" si="42"/>
        <v>0</v>
      </c>
    </row>
    <row r="91" spans="1:31" s="195" customFormat="1" ht="12.75" x14ac:dyDescent="0.2">
      <c r="A91" s="274"/>
      <c r="B91" s="274">
        <v>2024</v>
      </c>
      <c r="C91" s="274">
        <f t="shared" ref="C91:R92" si="43">B91+1</f>
        <v>2025</v>
      </c>
      <c r="D91" s="274">
        <f t="shared" si="43"/>
        <v>2026</v>
      </c>
      <c r="E91" s="274">
        <f t="shared" si="43"/>
        <v>2027</v>
      </c>
      <c r="F91" s="274">
        <f t="shared" si="43"/>
        <v>2028</v>
      </c>
      <c r="G91" s="274">
        <f t="shared" si="43"/>
        <v>2029</v>
      </c>
      <c r="H91" s="274">
        <f t="shared" si="43"/>
        <v>2030</v>
      </c>
      <c r="I91" s="274">
        <f t="shared" si="43"/>
        <v>2031</v>
      </c>
      <c r="J91" s="274">
        <f t="shared" si="43"/>
        <v>2032</v>
      </c>
      <c r="K91" s="274">
        <f t="shared" si="43"/>
        <v>2033</v>
      </c>
      <c r="L91" s="274">
        <f t="shared" si="43"/>
        <v>2034</v>
      </c>
      <c r="M91" s="274">
        <f t="shared" si="43"/>
        <v>2035</v>
      </c>
      <c r="N91" s="274">
        <f t="shared" si="43"/>
        <v>2036</v>
      </c>
      <c r="O91" s="274">
        <f t="shared" si="43"/>
        <v>2037</v>
      </c>
      <c r="P91" s="274">
        <f t="shared" si="43"/>
        <v>2038</v>
      </c>
      <c r="Q91" s="274">
        <f t="shared" si="43"/>
        <v>2039</v>
      </c>
      <c r="R91" s="274">
        <f t="shared" si="43"/>
        <v>2040</v>
      </c>
      <c r="S91" s="274">
        <f t="shared" ref="S91:AE92" si="44">R91+1</f>
        <v>2041</v>
      </c>
      <c r="T91" s="274">
        <f t="shared" si="44"/>
        <v>2042</v>
      </c>
      <c r="U91" s="274">
        <f t="shared" si="44"/>
        <v>2043</v>
      </c>
      <c r="V91" s="274">
        <f t="shared" si="44"/>
        <v>2044</v>
      </c>
      <c r="W91" s="274">
        <f t="shared" si="44"/>
        <v>2045</v>
      </c>
      <c r="X91" s="274">
        <f t="shared" si="44"/>
        <v>2046</v>
      </c>
      <c r="Y91" s="274">
        <f t="shared" si="44"/>
        <v>2047</v>
      </c>
      <c r="Z91" s="274">
        <f t="shared" si="44"/>
        <v>2048</v>
      </c>
      <c r="AA91" s="274">
        <f t="shared" si="44"/>
        <v>2049</v>
      </c>
      <c r="AB91" s="274">
        <f t="shared" si="44"/>
        <v>2050</v>
      </c>
      <c r="AC91" s="274">
        <f t="shared" si="44"/>
        <v>2051</v>
      </c>
      <c r="AD91" s="274">
        <f t="shared" si="44"/>
        <v>2052</v>
      </c>
      <c r="AE91" s="274">
        <f t="shared" si="44"/>
        <v>2053</v>
      </c>
    </row>
    <row r="92" spans="1:31" s="276" customFormat="1" ht="12.75" x14ac:dyDescent="0.2">
      <c r="A92" s="275"/>
      <c r="B92" s="275">
        <v>1</v>
      </c>
      <c r="C92" s="275">
        <f>B92+1</f>
        <v>2</v>
      </c>
      <c r="D92" s="275">
        <f t="shared" si="43"/>
        <v>3</v>
      </c>
      <c r="E92" s="275">
        <f t="shared" si="43"/>
        <v>4</v>
      </c>
      <c r="F92" s="275">
        <f t="shared" si="43"/>
        <v>5</v>
      </c>
      <c r="G92" s="275">
        <f t="shared" si="43"/>
        <v>6</v>
      </c>
      <c r="H92" s="275">
        <f t="shared" si="43"/>
        <v>7</v>
      </c>
      <c r="I92" s="275">
        <f t="shared" si="43"/>
        <v>8</v>
      </c>
      <c r="J92" s="275">
        <f t="shared" si="43"/>
        <v>9</v>
      </c>
      <c r="K92" s="275">
        <f t="shared" si="43"/>
        <v>10</v>
      </c>
      <c r="L92" s="275">
        <f t="shared" si="43"/>
        <v>11</v>
      </c>
      <c r="M92" s="275">
        <f t="shared" si="43"/>
        <v>12</v>
      </c>
      <c r="N92" s="275">
        <f t="shared" si="43"/>
        <v>13</v>
      </c>
      <c r="O92" s="275">
        <f t="shared" si="43"/>
        <v>14</v>
      </c>
      <c r="P92" s="275">
        <f t="shared" si="43"/>
        <v>15</v>
      </c>
      <c r="Q92" s="275">
        <f t="shared" si="43"/>
        <v>16</v>
      </c>
      <c r="R92" s="275">
        <f t="shared" si="43"/>
        <v>17</v>
      </c>
      <c r="S92" s="275">
        <f t="shared" si="44"/>
        <v>18</v>
      </c>
      <c r="T92" s="275">
        <f t="shared" si="44"/>
        <v>19</v>
      </c>
      <c r="U92" s="275">
        <f t="shared" si="44"/>
        <v>20</v>
      </c>
      <c r="V92" s="275">
        <f t="shared" si="44"/>
        <v>21</v>
      </c>
      <c r="W92" s="275">
        <f t="shared" si="44"/>
        <v>22</v>
      </c>
      <c r="X92" s="275">
        <f t="shared" si="44"/>
        <v>23</v>
      </c>
      <c r="Y92" s="275">
        <f t="shared" si="44"/>
        <v>24</v>
      </c>
      <c r="Z92" s="275">
        <f t="shared" si="44"/>
        <v>25</v>
      </c>
      <c r="AA92" s="275">
        <f t="shared" si="44"/>
        <v>26</v>
      </c>
      <c r="AB92" s="275">
        <f t="shared" si="44"/>
        <v>27</v>
      </c>
      <c r="AC92" s="275">
        <f t="shared" si="44"/>
        <v>28</v>
      </c>
      <c r="AD92" s="275">
        <f t="shared" si="44"/>
        <v>29</v>
      </c>
      <c r="AE92" s="275">
        <f t="shared" si="44"/>
        <v>30</v>
      </c>
    </row>
    <row r="93" spans="1:31" s="195" customFormat="1" ht="12.75" x14ac:dyDescent="0.2">
      <c r="A93" s="392" t="s">
        <v>570</v>
      </c>
      <c r="B93" s="392"/>
      <c r="C93" s="392"/>
      <c r="D93" s="392"/>
      <c r="E93" s="392"/>
      <c r="F93" s="392"/>
      <c r="G93" s="392"/>
      <c r="H93" s="392"/>
      <c r="I93" s="392"/>
      <c r="J93" s="392"/>
      <c r="K93" s="392"/>
      <c r="L93" s="392"/>
      <c r="M93" s="392"/>
      <c r="N93" s="392"/>
      <c r="O93" s="392"/>
      <c r="P93" s="392"/>
      <c r="Q93" s="392"/>
      <c r="R93" s="392"/>
      <c r="S93" s="392"/>
      <c r="T93" s="392"/>
      <c r="U93" s="392"/>
      <c r="V93" s="392"/>
      <c r="W93" s="392"/>
      <c r="X93" s="392"/>
      <c r="Y93" s="392"/>
      <c r="Z93" s="392"/>
      <c r="AA93" s="392"/>
      <c r="AB93" s="392"/>
      <c r="AC93" s="392"/>
    </row>
    <row r="94" spans="1:31" s="195" customFormat="1" ht="12.75" x14ac:dyDescent="0.2">
      <c r="A94" s="392" t="s">
        <v>571</v>
      </c>
      <c r="B94" s="392"/>
      <c r="C94" s="392"/>
      <c r="D94" s="392"/>
      <c r="E94" s="392"/>
      <c r="F94" s="392"/>
      <c r="G94" s="392"/>
      <c r="H94" s="392"/>
      <c r="I94" s="392"/>
      <c r="J94" s="205"/>
      <c r="K94" s="205"/>
      <c r="L94" s="205"/>
      <c r="M94" s="205"/>
      <c r="N94" s="205"/>
      <c r="O94" s="205"/>
      <c r="P94" s="205"/>
      <c r="Q94" s="205"/>
      <c r="R94" s="205"/>
      <c r="S94" s="205"/>
      <c r="T94" s="205"/>
      <c r="U94" s="205"/>
      <c r="V94" s="205"/>
      <c r="W94" s="205"/>
      <c r="X94" s="205"/>
      <c r="Y94" s="205"/>
      <c r="Z94" s="205"/>
      <c r="AA94" s="205"/>
      <c r="AB94" s="205"/>
      <c r="AC94" s="205"/>
    </row>
    <row r="95" spans="1:31" s="195" customFormat="1" ht="12.75" x14ac:dyDescent="0.2">
      <c r="A95" s="205"/>
      <c r="B95" s="205"/>
      <c r="C95" s="277"/>
      <c r="D95" s="205"/>
      <c r="E95" s="205"/>
      <c r="F95" s="205"/>
      <c r="G95" s="205"/>
      <c r="H95" s="205"/>
      <c r="I95" s="205"/>
      <c r="J95" s="205"/>
      <c r="K95" s="205"/>
      <c r="L95" s="205"/>
      <c r="M95" s="205"/>
      <c r="N95" s="205"/>
      <c r="O95" s="205"/>
      <c r="P95" s="205"/>
      <c r="Q95" s="205"/>
      <c r="R95" s="205"/>
      <c r="S95" s="205"/>
      <c r="T95" s="205"/>
      <c r="U95" s="205"/>
      <c r="V95" s="205"/>
      <c r="W95" s="205"/>
      <c r="X95" s="205"/>
      <c r="Y95" s="205"/>
      <c r="Z95" s="205"/>
      <c r="AA95" s="205"/>
      <c r="AB95" s="205"/>
      <c r="AC95" s="205"/>
    </row>
    <row r="96" spans="1:31" s="195" customFormat="1" ht="12.75" x14ac:dyDescent="0.2">
      <c r="A96" s="205"/>
      <c r="B96" s="205"/>
      <c r="C96" s="205"/>
      <c r="D96" s="205"/>
      <c r="E96" s="205"/>
      <c r="F96" s="205"/>
      <c r="G96" s="205"/>
      <c r="H96" s="205"/>
      <c r="I96" s="205"/>
      <c r="J96" s="205"/>
      <c r="K96" s="205"/>
      <c r="L96" s="205"/>
      <c r="M96" s="205"/>
      <c r="N96" s="205"/>
      <c r="O96" s="205"/>
      <c r="P96" s="205"/>
      <c r="Q96" s="205"/>
      <c r="R96" s="205"/>
      <c r="S96" s="205"/>
      <c r="T96" s="205"/>
      <c r="U96" s="205"/>
      <c r="V96" s="205"/>
      <c r="W96" s="205"/>
      <c r="X96" s="205"/>
      <c r="Y96" s="205"/>
      <c r="Z96" s="205"/>
      <c r="AA96" s="205"/>
      <c r="AB96" s="205"/>
      <c r="AC96" s="205"/>
    </row>
    <row r="97" spans="1:71" s="195" customFormat="1" ht="12.75" x14ac:dyDescent="0.2">
      <c r="N97" s="205"/>
    </row>
    <row r="98" spans="1:71" s="195" customFormat="1" ht="12.75" x14ac:dyDescent="0.2">
      <c r="N98" s="205"/>
    </row>
    <row r="99" spans="1:71" s="195" customFormat="1" ht="12.75" x14ac:dyDescent="0.2">
      <c r="N99" s="205"/>
    </row>
    <row r="100" spans="1:71" s="282" customFormat="1" ht="15.75" x14ac:dyDescent="0.2">
      <c r="A100" s="278" t="s">
        <v>572</v>
      </c>
      <c r="B100" s="279" t="e">
        <f>(A99+-A98)/-A98</f>
        <v>#DIV/0!</v>
      </c>
      <c r="C100" s="280"/>
      <c r="D100" s="280"/>
      <c r="E100" s="280"/>
      <c r="F100" s="280"/>
      <c r="G100" s="280"/>
      <c r="H100" s="280"/>
      <c r="I100" s="280"/>
      <c r="J100" s="280"/>
      <c r="K100" s="280"/>
      <c r="L100" s="280"/>
      <c r="M100" s="280"/>
      <c r="N100" s="280"/>
      <c r="O100" s="280"/>
      <c r="P100" s="280"/>
      <c r="Q100" s="280"/>
      <c r="R100" s="280"/>
      <c r="S100" s="280"/>
      <c r="T100" s="280"/>
      <c r="U100" s="280"/>
      <c r="V100" s="280"/>
      <c r="W100" s="280"/>
      <c r="X100" s="280"/>
      <c r="Y100" s="280"/>
      <c r="Z100" s="280"/>
      <c r="AA100" s="280"/>
      <c r="AB100" s="280"/>
      <c r="AC100" s="280"/>
      <c r="AD100" s="280"/>
      <c r="AE100" s="280"/>
      <c r="AF100" s="280"/>
      <c r="AG100" s="280"/>
      <c r="AH100" s="280"/>
      <c r="AI100" s="280"/>
      <c r="AJ100" s="280"/>
      <c r="AK100" s="280"/>
      <c r="AL100" s="280"/>
      <c r="AM100" s="280"/>
      <c r="AN100" s="280"/>
      <c r="AO100" s="280"/>
      <c r="AP100" s="280"/>
      <c r="AQ100" s="281"/>
      <c r="AR100" s="281"/>
      <c r="AS100" s="281"/>
    </row>
    <row r="101" spans="1:71" s="282" customFormat="1" ht="15.75" x14ac:dyDescent="0.2">
      <c r="A101" s="283"/>
      <c r="B101" s="280"/>
      <c r="C101" s="280"/>
      <c r="D101" s="280"/>
      <c r="E101" s="280"/>
      <c r="F101" s="280"/>
      <c r="G101" s="280"/>
      <c r="H101" s="280"/>
      <c r="I101" s="280"/>
      <c r="J101" s="280"/>
      <c r="K101" s="280"/>
      <c r="L101" s="280"/>
      <c r="M101" s="280"/>
      <c r="N101" s="280"/>
      <c r="O101" s="280"/>
      <c r="P101" s="280"/>
      <c r="Q101" s="280"/>
      <c r="R101" s="280"/>
      <c r="S101" s="280"/>
      <c r="T101" s="280"/>
      <c r="U101" s="280"/>
      <c r="V101" s="280"/>
      <c r="W101" s="280"/>
      <c r="X101" s="280"/>
      <c r="Y101" s="280"/>
      <c r="Z101" s="280"/>
      <c r="AA101" s="280"/>
      <c r="AB101" s="280"/>
      <c r="AC101" s="280"/>
      <c r="AD101" s="280"/>
      <c r="AE101" s="280"/>
      <c r="AF101" s="280"/>
      <c r="AG101" s="280"/>
      <c r="AH101" s="280"/>
      <c r="AI101" s="280"/>
      <c r="AJ101" s="280"/>
      <c r="AK101" s="280"/>
      <c r="AL101" s="280"/>
      <c r="AM101" s="280"/>
      <c r="AN101" s="280"/>
      <c r="AO101" s="280"/>
      <c r="AP101" s="280"/>
      <c r="AQ101" s="281"/>
      <c r="AR101" s="281"/>
      <c r="AS101" s="281"/>
    </row>
    <row r="102" spans="1:71" s="285" customFormat="1" ht="12.75" x14ac:dyDescent="0.2">
      <c r="A102" s="284" t="s">
        <v>573</v>
      </c>
      <c r="B102" s="284" t="s">
        <v>574</v>
      </c>
      <c r="C102" s="284" t="s">
        <v>575</v>
      </c>
      <c r="D102" s="284" t="s">
        <v>576</v>
      </c>
      <c r="E102" s="122"/>
      <c r="F102" s="122"/>
      <c r="G102" s="122"/>
      <c r="H102" s="122"/>
      <c r="I102" s="122"/>
      <c r="J102" s="122"/>
      <c r="K102" s="122"/>
      <c r="L102" s="122"/>
      <c r="M102" s="122"/>
      <c r="N102" s="122"/>
      <c r="O102" s="122"/>
      <c r="P102" s="122"/>
      <c r="Q102" s="122"/>
      <c r="R102" s="122"/>
      <c r="S102" s="122"/>
      <c r="T102" s="122"/>
      <c r="U102" s="122"/>
      <c r="V102" s="122"/>
      <c r="W102" s="122"/>
      <c r="X102" s="122"/>
      <c r="Y102" s="122"/>
      <c r="Z102" s="122"/>
      <c r="AA102" s="122"/>
      <c r="AB102" s="122"/>
      <c r="AC102" s="122"/>
      <c r="AD102" s="122"/>
      <c r="AE102" s="122"/>
      <c r="AF102" s="122"/>
      <c r="AG102" s="122"/>
      <c r="AH102" s="122"/>
      <c r="AI102" s="122"/>
      <c r="AJ102" s="122"/>
      <c r="AK102" s="122"/>
      <c r="AL102" s="122"/>
      <c r="AM102" s="122"/>
      <c r="AN102" s="122"/>
      <c r="AO102" s="122"/>
      <c r="AP102" s="122"/>
      <c r="AQ102" s="281"/>
      <c r="AR102" s="281"/>
      <c r="AS102" s="281"/>
      <c r="AT102" s="122"/>
      <c r="AU102" s="122"/>
      <c r="AV102" s="122"/>
      <c r="AW102" s="122"/>
      <c r="AX102" s="122"/>
      <c r="AY102" s="122"/>
      <c r="AZ102" s="122"/>
      <c r="BA102" s="122"/>
      <c r="BB102" s="122"/>
      <c r="BC102" s="122"/>
      <c r="BD102" s="122"/>
      <c r="BE102" s="122"/>
      <c r="BF102" s="122"/>
      <c r="BG102" s="122"/>
      <c r="BH102" s="122"/>
      <c r="BI102" s="122"/>
      <c r="BJ102" s="122"/>
      <c r="BK102" s="122"/>
      <c r="BL102" s="122"/>
      <c r="BM102" s="122"/>
      <c r="BN102" s="122"/>
      <c r="BO102" s="122"/>
      <c r="BP102" s="122"/>
      <c r="BQ102" s="122"/>
      <c r="BR102" s="122"/>
      <c r="BS102" s="122"/>
    </row>
    <row r="103" spans="1:71" s="285" customFormat="1" ht="12.75" x14ac:dyDescent="0.2">
      <c r="A103" s="286" t="e">
        <f>G28/1000/1000</f>
        <v>#VALUE!</v>
      </c>
      <c r="B103" s="287">
        <f>L86</f>
        <v>-4740.657441542884</v>
      </c>
      <c r="C103" s="288">
        <f>G26</f>
        <v>0</v>
      </c>
      <c r="D103" s="288" t="str">
        <f>G27</f>
        <v>не окупается</v>
      </c>
      <c r="E103" s="285" t="s">
        <v>577</v>
      </c>
    </row>
    <row r="104" spans="1:71" s="285" customFormat="1" ht="12.75" x14ac:dyDescent="0.2">
      <c r="A104" s="123"/>
      <c r="B104" s="122"/>
      <c r="C104" s="122"/>
      <c r="D104" s="122"/>
      <c r="E104" s="122"/>
      <c r="F104" s="122"/>
      <c r="G104" s="122"/>
      <c r="H104" s="122"/>
      <c r="I104" s="122"/>
      <c r="J104" s="122"/>
      <c r="K104" s="122"/>
      <c r="L104" s="122"/>
      <c r="M104" s="122"/>
      <c r="N104" s="122"/>
      <c r="O104" s="122"/>
      <c r="P104" s="122"/>
      <c r="Q104" s="122"/>
      <c r="R104" s="122"/>
      <c r="S104" s="122"/>
      <c r="T104" s="122"/>
      <c r="U104" s="122"/>
      <c r="V104" s="122"/>
      <c r="W104" s="122"/>
      <c r="X104" s="122"/>
      <c r="Y104" s="122"/>
      <c r="Z104" s="122"/>
      <c r="AA104" s="122"/>
      <c r="AB104" s="122"/>
      <c r="AC104" s="122"/>
      <c r="AD104" s="122"/>
      <c r="AE104" s="122"/>
      <c r="AF104" s="122"/>
      <c r="AG104" s="122"/>
      <c r="AH104" s="122"/>
      <c r="AI104" s="122"/>
      <c r="AJ104" s="122"/>
      <c r="AK104" s="122"/>
      <c r="AL104" s="122"/>
      <c r="AM104" s="122"/>
      <c r="AN104" s="122"/>
      <c r="AO104" s="122"/>
      <c r="AP104" s="122"/>
      <c r="AQ104" s="281"/>
      <c r="AR104" s="281"/>
      <c r="AS104" s="281"/>
      <c r="AT104" s="122"/>
      <c r="AU104" s="122"/>
      <c r="AV104" s="122"/>
      <c r="AW104" s="122"/>
      <c r="AX104" s="122"/>
      <c r="AY104" s="122"/>
      <c r="AZ104" s="122"/>
      <c r="BA104" s="122"/>
      <c r="BB104" s="122"/>
      <c r="BC104" s="122"/>
      <c r="BD104" s="122"/>
      <c r="BE104" s="122"/>
      <c r="BF104" s="122"/>
      <c r="BG104" s="122"/>
      <c r="BH104" s="122"/>
      <c r="BI104" s="122"/>
      <c r="BJ104" s="122"/>
      <c r="BK104" s="122"/>
      <c r="BL104" s="122"/>
      <c r="BM104" s="122"/>
      <c r="BN104" s="122"/>
      <c r="BO104" s="122"/>
      <c r="BP104" s="122"/>
      <c r="BQ104" s="122"/>
      <c r="BR104" s="122"/>
      <c r="BS104" s="122"/>
    </row>
    <row r="105" spans="1:71" s="285" customFormat="1" ht="12.75" x14ac:dyDescent="0.2">
      <c r="A105" s="289"/>
      <c r="B105" s="290">
        <v>2016</v>
      </c>
      <c r="C105" s="290">
        <v>2017</v>
      </c>
      <c r="D105" s="291">
        <f t="shared" ref="D105:AP105" si="45">C105+1</f>
        <v>2018</v>
      </c>
      <c r="E105" s="291">
        <f t="shared" si="45"/>
        <v>2019</v>
      </c>
      <c r="F105" s="291">
        <f t="shared" si="45"/>
        <v>2020</v>
      </c>
      <c r="G105" s="291">
        <f t="shared" si="45"/>
        <v>2021</v>
      </c>
      <c r="H105" s="291">
        <f t="shared" si="45"/>
        <v>2022</v>
      </c>
      <c r="I105" s="291">
        <f t="shared" si="45"/>
        <v>2023</v>
      </c>
      <c r="J105" s="291">
        <f t="shared" si="45"/>
        <v>2024</v>
      </c>
      <c r="K105" s="291">
        <f t="shared" si="45"/>
        <v>2025</v>
      </c>
      <c r="L105" s="291">
        <f t="shared" si="45"/>
        <v>2026</v>
      </c>
      <c r="M105" s="291">
        <f t="shared" si="45"/>
        <v>2027</v>
      </c>
      <c r="N105" s="291">
        <f t="shared" si="45"/>
        <v>2028</v>
      </c>
      <c r="O105" s="291">
        <f t="shared" si="45"/>
        <v>2029</v>
      </c>
      <c r="P105" s="291">
        <f t="shared" si="45"/>
        <v>2030</v>
      </c>
      <c r="Q105" s="291">
        <f t="shared" si="45"/>
        <v>2031</v>
      </c>
      <c r="R105" s="291">
        <f t="shared" si="45"/>
        <v>2032</v>
      </c>
      <c r="S105" s="291">
        <f t="shared" si="45"/>
        <v>2033</v>
      </c>
      <c r="T105" s="291">
        <f t="shared" si="45"/>
        <v>2034</v>
      </c>
      <c r="U105" s="291">
        <f t="shared" si="45"/>
        <v>2035</v>
      </c>
      <c r="V105" s="291">
        <f t="shared" si="45"/>
        <v>2036</v>
      </c>
      <c r="W105" s="291">
        <f t="shared" si="45"/>
        <v>2037</v>
      </c>
      <c r="X105" s="291">
        <f t="shared" si="45"/>
        <v>2038</v>
      </c>
      <c r="Y105" s="291">
        <f t="shared" si="45"/>
        <v>2039</v>
      </c>
      <c r="Z105" s="291">
        <f t="shared" si="45"/>
        <v>2040</v>
      </c>
      <c r="AA105" s="291">
        <f t="shared" si="45"/>
        <v>2041</v>
      </c>
      <c r="AB105" s="291">
        <f t="shared" si="45"/>
        <v>2042</v>
      </c>
      <c r="AC105" s="291">
        <f t="shared" si="45"/>
        <v>2043</v>
      </c>
      <c r="AD105" s="291">
        <f t="shared" si="45"/>
        <v>2044</v>
      </c>
      <c r="AE105" s="291">
        <f t="shared" si="45"/>
        <v>2045</v>
      </c>
      <c r="AF105" s="291">
        <f t="shared" si="45"/>
        <v>2046</v>
      </c>
      <c r="AG105" s="291">
        <f t="shared" si="45"/>
        <v>2047</v>
      </c>
      <c r="AH105" s="291">
        <f t="shared" si="45"/>
        <v>2048</v>
      </c>
      <c r="AI105" s="291">
        <f t="shared" si="45"/>
        <v>2049</v>
      </c>
      <c r="AJ105" s="291">
        <f t="shared" si="45"/>
        <v>2050</v>
      </c>
      <c r="AK105" s="291">
        <f t="shared" si="45"/>
        <v>2051</v>
      </c>
      <c r="AL105" s="291">
        <f t="shared" si="45"/>
        <v>2052</v>
      </c>
      <c r="AM105" s="291">
        <f t="shared" si="45"/>
        <v>2053</v>
      </c>
      <c r="AN105" s="291">
        <f t="shared" si="45"/>
        <v>2054</v>
      </c>
      <c r="AO105" s="291">
        <f t="shared" si="45"/>
        <v>2055</v>
      </c>
      <c r="AP105" s="291">
        <f t="shared" si="45"/>
        <v>2056</v>
      </c>
      <c r="AQ105" s="281"/>
      <c r="AR105" s="281"/>
      <c r="AS105" s="281"/>
      <c r="AT105" s="282"/>
      <c r="AU105" s="282"/>
      <c r="AV105" s="282"/>
      <c r="AW105" s="282"/>
      <c r="AX105" s="282"/>
      <c r="AY105" s="282"/>
      <c r="AZ105" s="282"/>
      <c r="BA105" s="282"/>
      <c r="BB105" s="282"/>
      <c r="BC105" s="282"/>
      <c r="BD105" s="282"/>
      <c r="BE105" s="282"/>
      <c r="BF105" s="282"/>
      <c r="BG105" s="282"/>
    </row>
    <row r="106" spans="1:71" s="285" customFormat="1" ht="25.5" x14ac:dyDescent="0.2">
      <c r="A106" s="292" t="s">
        <v>578</v>
      </c>
      <c r="B106" s="293"/>
      <c r="C106" s="293">
        <f>C107*$B$111*$B$112*1000</f>
        <v>0</v>
      </c>
      <c r="D106" s="293">
        <f>D107*$B$111*$B$112*1000</f>
        <v>0</v>
      </c>
      <c r="E106" s="293">
        <f>E107*$B$110*$B$109*1000</f>
        <v>0</v>
      </c>
      <c r="F106" s="293">
        <f t="shared" ref="F106:L106" si="46">F107*$B$110*$B$109*1000</f>
        <v>0</v>
      </c>
      <c r="G106" s="293">
        <f t="shared" si="46"/>
        <v>0</v>
      </c>
      <c r="H106" s="293">
        <f t="shared" si="46"/>
        <v>0</v>
      </c>
      <c r="I106" s="293">
        <f t="shared" si="46"/>
        <v>0</v>
      </c>
      <c r="J106" s="293">
        <f>J107*$B$110*$B$109*1000</f>
        <v>0</v>
      </c>
      <c r="K106" s="293">
        <f t="shared" si="46"/>
        <v>0</v>
      </c>
      <c r="L106" s="293">
        <f t="shared" si="46"/>
        <v>0</v>
      </c>
      <c r="M106" s="293">
        <f>M107*$B$110*$B$109*1000</f>
        <v>0</v>
      </c>
      <c r="N106" s="293">
        <f t="shared" ref="N106:AP106" si="47">N107*$B$110*$B$109*1000</f>
        <v>0</v>
      </c>
      <c r="O106" s="293">
        <f t="shared" si="47"/>
        <v>0</v>
      </c>
      <c r="P106" s="293">
        <f t="shared" si="47"/>
        <v>0</v>
      </c>
      <c r="Q106" s="293">
        <f t="shared" si="47"/>
        <v>0</v>
      </c>
      <c r="R106" s="293">
        <f t="shared" si="47"/>
        <v>0</v>
      </c>
      <c r="S106" s="293">
        <f t="shared" si="47"/>
        <v>0</v>
      </c>
      <c r="T106" s="293">
        <f t="shared" si="47"/>
        <v>0</v>
      </c>
      <c r="U106" s="293">
        <f t="shared" si="47"/>
        <v>0</v>
      </c>
      <c r="V106" s="293">
        <f t="shared" si="47"/>
        <v>0</v>
      </c>
      <c r="W106" s="293">
        <f t="shared" si="47"/>
        <v>0</v>
      </c>
      <c r="X106" s="293">
        <f t="shared" si="47"/>
        <v>0</v>
      </c>
      <c r="Y106" s="293">
        <f t="shared" si="47"/>
        <v>0</v>
      </c>
      <c r="Z106" s="293">
        <f t="shared" si="47"/>
        <v>0</v>
      </c>
      <c r="AA106" s="293">
        <f t="shared" si="47"/>
        <v>0</v>
      </c>
      <c r="AB106" s="293">
        <f t="shared" si="47"/>
        <v>0</v>
      </c>
      <c r="AC106" s="293">
        <f t="shared" si="47"/>
        <v>0</v>
      </c>
      <c r="AD106" s="293">
        <f t="shared" si="47"/>
        <v>0</v>
      </c>
      <c r="AE106" s="293">
        <f t="shared" si="47"/>
        <v>0</v>
      </c>
      <c r="AF106" s="293">
        <f t="shared" si="47"/>
        <v>0</v>
      </c>
      <c r="AG106" s="293">
        <f t="shared" si="47"/>
        <v>0</v>
      </c>
      <c r="AH106" s="293">
        <f t="shared" si="47"/>
        <v>0</v>
      </c>
      <c r="AI106" s="293">
        <f t="shared" si="47"/>
        <v>0</v>
      </c>
      <c r="AJ106" s="293">
        <f t="shared" si="47"/>
        <v>0</v>
      </c>
      <c r="AK106" s="293">
        <f t="shared" si="47"/>
        <v>0</v>
      </c>
      <c r="AL106" s="293">
        <f t="shared" si="47"/>
        <v>0</v>
      </c>
      <c r="AM106" s="293">
        <f t="shared" si="47"/>
        <v>0</v>
      </c>
      <c r="AN106" s="293">
        <f t="shared" si="47"/>
        <v>0</v>
      </c>
      <c r="AO106" s="293">
        <f t="shared" si="47"/>
        <v>0</v>
      </c>
      <c r="AP106" s="293">
        <f t="shared" si="47"/>
        <v>0</v>
      </c>
      <c r="AQ106" s="281"/>
      <c r="AR106" s="281"/>
      <c r="AS106" s="281"/>
      <c r="AT106" s="282"/>
      <c r="AU106" s="282"/>
      <c r="AV106" s="282"/>
      <c r="AW106" s="282"/>
      <c r="AX106" s="282"/>
      <c r="AY106" s="282"/>
      <c r="AZ106" s="282"/>
      <c r="BA106" s="282"/>
      <c r="BB106" s="282"/>
      <c r="BC106" s="282"/>
      <c r="BD106" s="282"/>
      <c r="BE106" s="282"/>
      <c r="BF106" s="282"/>
      <c r="BG106" s="282"/>
    </row>
    <row r="107" spans="1:71" s="285" customFormat="1" ht="12.75" x14ac:dyDescent="0.2">
      <c r="A107" s="292" t="s">
        <v>579</v>
      </c>
      <c r="B107" s="291"/>
      <c r="C107" s="291">
        <f t="shared" ref="C107:E107" si="48">B107+$I$120*C111</f>
        <v>0</v>
      </c>
      <c r="D107" s="291">
        <f t="shared" si="48"/>
        <v>0</v>
      </c>
      <c r="E107" s="291">
        <f t="shared" si="48"/>
        <v>0</v>
      </c>
      <c r="F107" s="291">
        <f>E107+$I$118*F111</f>
        <v>0</v>
      </c>
      <c r="G107" s="291">
        <f>F107+$I$118*G111</f>
        <v>0</v>
      </c>
      <c r="H107" s="291">
        <f t="shared" ref="H107:J107" si="49">G107+$I$118*H111</f>
        <v>0</v>
      </c>
      <c r="I107" s="291">
        <f>H107+$I$118*I111</f>
        <v>0</v>
      </c>
      <c r="J107" s="291">
        <f t="shared" si="49"/>
        <v>0</v>
      </c>
      <c r="K107" s="291">
        <f t="shared" ref="K107" si="50">J107+$I$118*K111</f>
        <v>0</v>
      </c>
      <c r="L107" s="291">
        <f t="shared" ref="L107" si="51">K107+$I$118*L111</f>
        <v>0</v>
      </c>
      <c r="M107" s="291">
        <f t="shared" ref="M107" si="52">L107+$I$118*M111</f>
        <v>0</v>
      </c>
      <c r="N107" s="291">
        <f t="shared" ref="N107" si="53">M107+$I$118*N111</f>
        <v>0</v>
      </c>
      <c r="O107" s="291">
        <f t="shared" ref="O107" si="54">N107+$I$118*O111</f>
        <v>0</v>
      </c>
      <c r="P107" s="291">
        <f t="shared" ref="P107" si="55">O107+$I$118*P111</f>
        <v>0</v>
      </c>
      <c r="Q107" s="291">
        <f t="shared" ref="Q107" si="56">P107+$I$118*Q111</f>
        <v>0</v>
      </c>
      <c r="R107" s="291">
        <f t="shared" ref="R107" si="57">Q107+$I$118*R111</f>
        <v>0</v>
      </c>
      <c r="S107" s="291">
        <f t="shared" ref="S107" si="58">R107+$I$118*S111</f>
        <v>0</v>
      </c>
      <c r="T107" s="291">
        <f t="shared" ref="T107" si="59">S107+$I$118*T111</f>
        <v>0</v>
      </c>
      <c r="U107" s="291">
        <f t="shared" ref="U107" si="60">T107+$I$118*U111</f>
        <v>0</v>
      </c>
      <c r="V107" s="291">
        <f t="shared" ref="V107" si="61">U107+$I$118*V111</f>
        <v>0</v>
      </c>
      <c r="W107" s="291">
        <f t="shared" ref="W107" si="62">V107+$I$118*W111</f>
        <v>0</v>
      </c>
      <c r="X107" s="291">
        <f t="shared" ref="X107" si="63">W107+$I$118*X111</f>
        <v>0</v>
      </c>
      <c r="Y107" s="291">
        <f t="shared" ref="Y107" si="64">X107+$I$118*Y111</f>
        <v>0</v>
      </c>
      <c r="Z107" s="291">
        <f t="shared" ref="Z107" si="65">Y107+$I$118*Z111</f>
        <v>0</v>
      </c>
      <c r="AA107" s="291">
        <f t="shared" ref="AA107" si="66">Z107+$I$118*AA111</f>
        <v>0</v>
      </c>
      <c r="AB107" s="291">
        <f t="shared" ref="AB107" si="67">AA107+$I$118*AB111</f>
        <v>0</v>
      </c>
      <c r="AC107" s="291">
        <f t="shared" ref="AC107" si="68">AB107+$I$118*AC111</f>
        <v>0</v>
      </c>
      <c r="AD107" s="291">
        <f t="shared" ref="AD107" si="69">AC107+$I$118*AD111</f>
        <v>0</v>
      </c>
      <c r="AE107" s="291">
        <f t="shared" ref="AE107" si="70">AD107+$I$118*AE111</f>
        <v>0</v>
      </c>
      <c r="AF107" s="291">
        <f t="shared" ref="AF107" si="71">AE107+$I$118*AF111</f>
        <v>0</v>
      </c>
      <c r="AG107" s="291">
        <f t="shared" ref="AG107" si="72">AF107+$I$118*AG111</f>
        <v>0</v>
      </c>
      <c r="AH107" s="291">
        <f t="shared" ref="AH107" si="73">AG107+$I$118*AH111</f>
        <v>0</v>
      </c>
      <c r="AI107" s="291">
        <f t="shared" ref="AI107" si="74">AH107+$I$118*AI111</f>
        <v>0</v>
      </c>
      <c r="AJ107" s="291">
        <f t="shared" ref="AJ107" si="75">AI107+$I$118*AJ111</f>
        <v>0</v>
      </c>
      <c r="AK107" s="291">
        <f t="shared" ref="AK107" si="76">AJ107+$I$118*AK111</f>
        <v>0</v>
      </c>
      <c r="AL107" s="291">
        <f t="shared" ref="AL107" si="77">AK107+$I$118*AL111</f>
        <v>0</v>
      </c>
      <c r="AM107" s="291">
        <f t="shared" ref="AM107" si="78">AL107+$I$118*AM111</f>
        <v>0</v>
      </c>
      <c r="AN107" s="291">
        <f t="shared" ref="AN107" si="79">AM107+$I$118*AN111</f>
        <v>0</v>
      </c>
      <c r="AO107" s="291">
        <f t="shared" ref="AO107" si="80">AN107+$I$118*AO111</f>
        <v>0</v>
      </c>
      <c r="AP107" s="291">
        <f t="shared" ref="AP107" si="81">AO107+$I$118*AP111</f>
        <v>0</v>
      </c>
      <c r="AQ107" s="281"/>
      <c r="AR107" s="281"/>
      <c r="AS107" s="281"/>
      <c r="AT107" s="282"/>
      <c r="AU107" s="282"/>
      <c r="AV107" s="282"/>
      <c r="AW107" s="282"/>
      <c r="AX107" s="282"/>
      <c r="AY107" s="282"/>
      <c r="AZ107" s="282"/>
      <c r="BA107" s="282"/>
      <c r="BB107" s="282"/>
      <c r="BC107" s="282"/>
      <c r="BD107" s="282"/>
      <c r="BE107" s="282"/>
      <c r="BF107" s="282"/>
      <c r="BG107" s="282"/>
    </row>
    <row r="108" spans="1:71" s="285" customFormat="1" ht="12.75" x14ac:dyDescent="0.2">
      <c r="A108" s="292" t="s">
        <v>580</v>
      </c>
      <c r="B108" s="294">
        <v>0.93</v>
      </c>
      <c r="C108" s="291"/>
      <c r="D108" s="291"/>
      <c r="E108" s="291"/>
      <c r="F108" s="291"/>
      <c r="G108" s="291"/>
      <c r="H108" s="291"/>
      <c r="I108" s="291"/>
      <c r="J108" s="291"/>
      <c r="K108" s="291"/>
      <c r="L108" s="291"/>
      <c r="M108" s="291"/>
      <c r="N108" s="291"/>
      <c r="O108" s="291"/>
      <c r="P108" s="291"/>
      <c r="Q108" s="291"/>
      <c r="R108" s="291"/>
      <c r="S108" s="291"/>
      <c r="T108" s="291"/>
      <c r="U108" s="291"/>
      <c r="V108" s="291"/>
      <c r="W108" s="291"/>
      <c r="X108" s="291"/>
      <c r="Y108" s="291"/>
      <c r="Z108" s="291"/>
      <c r="AA108" s="291"/>
      <c r="AB108" s="291"/>
      <c r="AC108" s="291"/>
      <c r="AD108" s="291"/>
      <c r="AE108" s="291"/>
      <c r="AF108" s="291"/>
      <c r="AG108" s="291"/>
      <c r="AH108" s="291"/>
      <c r="AI108" s="291"/>
      <c r="AJ108" s="291"/>
      <c r="AK108" s="291"/>
      <c r="AL108" s="291"/>
      <c r="AM108" s="291"/>
      <c r="AN108" s="291"/>
      <c r="AO108" s="291"/>
      <c r="AP108" s="291"/>
      <c r="AQ108" s="281"/>
      <c r="AR108" s="281"/>
      <c r="AS108" s="281"/>
      <c r="AT108" s="282"/>
      <c r="AU108" s="282"/>
      <c r="AV108" s="282"/>
      <c r="AW108" s="282"/>
      <c r="AX108" s="282"/>
      <c r="AY108" s="282"/>
      <c r="AZ108" s="282"/>
      <c r="BA108" s="282"/>
      <c r="BB108" s="282"/>
      <c r="BC108" s="282"/>
      <c r="BD108" s="282"/>
      <c r="BE108" s="282"/>
      <c r="BF108" s="282"/>
      <c r="BG108" s="282"/>
    </row>
    <row r="109" spans="1:71" s="285" customFormat="1" ht="12.75" x14ac:dyDescent="0.2">
      <c r="A109" s="292" t="s">
        <v>581</v>
      </c>
      <c r="B109" s="294">
        <v>4380</v>
      </c>
      <c r="C109" s="291"/>
      <c r="D109" s="291"/>
      <c r="E109" s="291"/>
      <c r="F109" s="291"/>
      <c r="G109" s="291"/>
      <c r="H109" s="291"/>
      <c r="I109" s="291"/>
      <c r="J109" s="291"/>
      <c r="K109" s="291"/>
      <c r="L109" s="291"/>
      <c r="M109" s="291"/>
      <c r="N109" s="291"/>
      <c r="O109" s="291"/>
      <c r="P109" s="291"/>
      <c r="Q109" s="291"/>
      <c r="R109" s="291"/>
      <c r="S109" s="291"/>
      <c r="T109" s="291"/>
      <c r="U109" s="291"/>
      <c r="V109" s="291"/>
      <c r="W109" s="291"/>
      <c r="X109" s="291"/>
      <c r="Y109" s="291"/>
      <c r="Z109" s="291"/>
      <c r="AA109" s="291"/>
      <c r="AB109" s="291"/>
      <c r="AC109" s="291"/>
      <c r="AD109" s="291"/>
      <c r="AE109" s="291"/>
      <c r="AF109" s="291"/>
      <c r="AG109" s="291"/>
      <c r="AH109" s="291"/>
      <c r="AI109" s="291"/>
      <c r="AJ109" s="291"/>
      <c r="AK109" s="291"/>
      <c r="AL109" s="291"/>
      <c r="AM109" s="291"/>
      <c r="AN109" s="291"/>
      <c r="AO109" s="291"/>
      <c r="AP109" s="291"/>
      <c r="AQ109" s="281"/>
      <c r="AR109" s="281"/>
      <c r="AS109" s="281"/>
      <c r="AT109" s="282"/>
      <c r="AU109" s="282"/>
      <c r="AV109" s="282"/>
      <c r="AW109" s="282"/>
      <c r="AX109" s="282"/>
      <c r="AY109" s="282"/>
      <c r="AZ109" s="282"/>
      <c r="BA109" s="282"/>
      <c r="BB109" s="282"/>
      <c r="BC109" s="282"/>
      <c r="BD109" s="282"/>
      <c r="BE109" s="282"/>
      <c r="BF109" s="282"/>
      <c r="BG109" s="282"/>
    </row>
    <row r="110" spans="1:71" s="285" customFormat="1" ht="12.75" x14ac:dyDescent="0.2">
      <c r="A110" s="292" t="s">
        <v>582</v>
      </c>
      <c r="B110" s="290">
        <f>$B$129</f>
        <v>0.74426999999999999</v>
      </c>
      <c r="C110" s="291"/>
      <c r="D110" s="291"/>
      <c r="E110" s="291"/>
      <c r="F110" s="291"/>
      <c r="G110" s="291"/>
      <c r="H110" s="291"/>
      <c r="I110" s="291"/>
      <c r="J110" s="291"/>
      <c r="K110" s="291"/>
      <c r="L110" s="291"/>
      <c r="M110" s="291"/>
      <c r="N110" s="291"/>
      <c r="O110" s="291"/>
      <c r="P110" s="291"/>
      <c r="Q110" s="291"/>
      <c r="R110" s="291"/>
      <c r="S110" s="291"/>
      <c r="T110" s="291"/>
      <c r="U110" s="291"/>
      <c r="V110" s="291"/>
      <c r="W110" s="291"/>
      <c r="X110" s="291"/>
      <c r="Y110" s="291"/>
      <c r="Z110" s="291"/>
      <c r="AA110" s="291"/>
      <c r="AB110" s="291"/>
      <c r="AC110" s="291"/>
      <c r="AD110" s="291"/>
      <c r="AE110" s="291"/>
      <c r="AF110" s="291"/>
      <c r="AG110" s="291"/>
      <c r="AH110" s="291"/>
      <c r="AI110" s="291"/>
      <c r="AJ110" s="291"/>
      <c r="AK110" s="291"/>
      <c r="AL110" s="291"/>
      <c r="AM110" s="291"/>
      <c r="AN110" s="291"/>
      <c r="AO110" s="291"/>
      <c r="AP110" s="291"/>
      <c r="AQ110" s="281"/>
      <c r="AR110" s="281"/>
      <c r="AS110" s="281"/>
      <c r="AT110" s="282"/>
      <c r="AU110" s="282"/>
      <c r="AV110" s="282"/>
      <c r="AW110" s="282"/>
      <c r="AX110" s="282"/>
      <c r="AY110" s="282"/>
      <c r="AZ110" s="282"/>
      <c r="BA110" s="282"/>
      <c r="BB110" s="282"/>
      <c r="BC110" s="282"/>
      <c r="BD110" s="282"/>
      <c r="BE110" s="282"/>
      <c r="BF110" s="282"/>
      <c r="BG110" s="282"/>
    </row>
    <row r="111" spans="1:71" s="285" customFormat="1" x14ac:dyDescent="0.2">
      <c r="A111" s="295" t="s">
        <v>583</v>
      </c>
      <c r="B111" s="296">
        <v>0</v>
      </c>
      <c r="C111" s="297">
        <v>0</v>
      </c>
      <c r="D111" s="297">
        <v>0</v>
      </c>
      <c r="E111" s="297">
        <v>0</v>
      </c>
      <c r="F111" s="296">
        <v>0</v>
      </c>
      <c r="G111" s="296">
        <v>0</v>
      </c>
      <c r="H111" s="296">
        <v>0</v>
      </c>
      <c r="I111" s="296">
        <v>0</v>
      </c>
      <c r="J111" s="296">
        <v>0</v>
      </c>
      <c r="K111" s="296">
        <v>0</v>
      </c>
      <c r="L111" s="296">
        <v>0</v>
      </c>
      <c r="M111" s="296">
        <v>0</v>
      </c>
      <c r="N111" s="296">
        <v>0</v>
      </c>
      <c r="O111" s="296">
        <v>0</v>
      </c>
      <c r="P111" s="296">
        <v>0</v>
      </c>
      <c r="Q111" s="296">
        <v>0</v>
      </c>
      <c r="R111" s="296">
        <v>0</v>
      </c>
      <c r="S111" s="296">
        <v>0</v>
      </c>
      <c r="T111" s="296">
        <v>0</v>
      </c>
      <c r="U111" s="296">
        <v>0</v>
      </c>
      <c r="V111" s="296">
        <v>0</v>
      </c>
      <c r="W111" s="296">
        <v>0</v>
      </c>
      <c r="X111" s="296">
        <v>0</v>
      </c>
      <c r="Y111" s="296">
        <v>0</v>
      </c>
      <c r="Z111" s="296">
        <v>0</v>
      </c>
      <c r="AA111" s="296">
        <v>0</v>
      </c>
      <c r="AB111" s="296">
        <v>0</v>
      </c>
      <c r="AC111" s="296">
        <v>0</v>
      </c>
      <c r="AD111" s="296">
        <v>0</v>
      </c>
      <c r="AE111" s="296">
        <v>0</v>
      </c>
      <c r="AF111" s="296">
        <v>0</v>
      </c>
      <c r="AG111" s="296">
        <v>0</v>
      </c>
      <c r="AH111" s="296">
        <v>0</v>
      </c>
      <c r="AI111" s="296">
        <v>0</v>
      </c>
      <c r="AJ111" s="296">
        <v>0</v>
      </c>
      <c r="AK111" s="296">
        <v>0</v>
      </c>
      <c r="AL111" s="296">
        <v>0</v>
      </c>
      <c r="AM111" s="296">
        <v>0</v>
      </c>
      <c r="AN111" s="296">
        <v>0</v>
      </c>
      <c r="AO111" s="296">
        <v>0</v>
      </c>
      <c r="AP111" s="296">
        <v>0</v>
      </c>
      <c r="AQ111" s="281"/>
      <c r="AR111" s="281"/>
      <c r="AS111" s="281"/>
      <c r="AT111" s="282"/>
      <c r="AU111" s="282"/>
      <c r="AV111" s="282"/>
      <c r="AW111" s="282"/>
      <c r="AX111" s="282"/>
      <c r="AY111" s="282"/>
      <c r="AZ111" s="282"/>
      <c r="BA111" s="282"/>
      <c r="BB111" s="282"/>
      <c r="BC111" s="282"/>
      <c r="BD111" s="282"/>
      <c r="BE111" s="282"/>
      <c r="BF111" s="282"/>
      <c r="BG111" s="282"/>
    </row>
    <row r="112" spans="1:71" s="285" customFormat="1" ht="12.75" x14ac:dyDescent="0.2">
      <c r="A112" s="123"/>
      <c r="B112" s="122"/>
      <c r="C112" s="122"/>
      <c r="D112" s="122"/>
      <c r="E112" s="122"/>
      <c r="F112" s="122"/>
      <c r="G112" s="122"/>
      <c r="H112" s="122"/>
      <c r="I112" s="122"/>
      <c r="J112" s="122"/>
      <c r="K112" s="122"/>
      <c r="L112" s="122"/>
      <c r="M112" s="122"/>
      <c r="N112" s="122"/>
      <c r="O112" s="122"/>
      <c r="P112" s="122"/>
      <c r="Q112" s="122"/>
      <c r="R112" s="122"/>
      <c r="S112" s="122"/>
      <c r="T112" s="122"/>
      <c r="U112" s="122"/>
      <c r="V112" s="122"/>
      <c r="W112" s="122"/>
      <c r="X112" s="122"/>
      <c r="Y112" s="122"/>
      <c r="Z112" s="122"/>
      <c r="AA112" s="122"/>
      <c r="AB112" s="122"/>
      <c r="AC112" s="122"/>
      <c r="AD112" s="122"/>
      <c r="AE112" s="122"/>
      <c r="AF112" s="122"/>
      <c r="AG112" s="122"/>
      <c r="AH112" s="122"/>
      <c r="AI112" s="122"/>
      <c r="AJ112" s="122"/>
      <c r="AK112" s="122"/>
      <c r="AL112" s="122"/>
      <c r="AM112" s="122"/>
      <c r="AN112" s="122"/>
      <c r="AO112" s="122"/>
      <c r="AP112" s="122"/>
      <c r="AQ112" s="281"/>
      <c r="AR112" s="281"/>
      <c r="AS112" s="281"/>
      <c r="AT112" s="122"/>
      <c r="AU112" s="122"/>
      <c r="AV112" s="122"/>
      <c r="AW112" s="122"/>
      <c r="AX112" s="122"/>
      <c r="AY112" s="122"/>
      <c r="AZ112" s="122"/>
      <c r="BA112" s="122"/>
      <c r="BB112" s="122"/>
      <c r="BC112" s="122"/>
      <c r="BD112" s="122"/>
      <c r="BE112" s="122"/>
      <c r="BF112" s="122"/>
      <c r="BG112" s="122"/>
      <c r="BH112" s="122"/>
      <c r="BI112" s="122"/>
      <c r="BJ112" s="122"/>
      <c r="BK112" s="122"/>
      <c r="BL112" s="122"/>
      <c r="BM112" s="122"/>
      <c r="BN112" s="122"/>
      <c r="BO112" s="122"/>
      <c r="BP112" s="122"/>
      <c r="BQ112" s="122"/>
      <c r="BR112" s="122"/>
      <c r="BS112" s="122"/>
    </row>
    <row r="113" spans="1:71" s="285" customFormat="1" ht="12.75" x14ac:dyDescent="0.2">
      <c r="A113" s="123"/>
      <c r="B113" s="122"/>
      <c r="C113" s="122"/>
      <c r="D113" s="122"/>
      <c r="E113" s="122"/>
      <c r="F113" s="122"/>
      <c r="G113" s="122"/>
      <c r="H113" s="122"/>
      <c r="I113" s="122"/>
      <c r="J113" s="122"/>
      <c r="K113" s="122"/>
      <c r="L113" s="122"/>
      <c r="M113" s="122"/>
      <c r="N113" s="122"/>
      <c r="O113" s="122"/>
      <c r="P113" s="122"/>
      <c r="Q113" s="122"/>
      <c r="R113" s="122"/>
      <c r="S113" s="122"/>
      <c r="T113" s="122"/>
      <c r="U113" s="122"/>
      <c r="V113" s="122"/>
      <c r="W113" s="122"/>
      <c r="X113" s="122"/>
      <c r="Y113" s="122"/>
      <c r="Z113" s="122"/>
      <c r="AA113" s="122"/>
      <c r="AB113" s="122"/>
      <c r="AC113" s="122"/>
      <c r="AD113" s="122"/>
      <c r="AE113" s="122"/>
      <c r="AF113" s="122"/>
      <c r="AG113" s="122"/>
      <c r="AH113" s="122"/>
      <c r="AI113" s="122"/>
      <c r="AJ113" s="122"/>
      <c r="AK113" s="122"/>
      <c r="AL113" s="122"/>
      <c r="AM113" s="122"/>
      <c r="AN113" s="122"/>
      <c r="AO113" s="122"/>
      <c r="AP113" s="122"/>
      <c r="AQ113" s="281"/>
      <c r="AR113" s="281"/>
      <c r="AS113" s="281"/>
      <c r="AT113" s="122"/>
      <c r="AU113" s="122"/>
      <c r="AV113" s="122"/>
      <c r="AW113" s="122"/>
      <c r="AX113" s="122"/>
      <c r="AY113" s="122"/>
      <c r="AZ113" s="122"/>
      <c r="BA113" s="122"/>
      <c r="BB113" s="122"/>
      <c r="BC113" s="122"/>
      <c r="BD113" s="122"/>
      <c r="BE113" s="122"/>
      <c r="BF113" s="122"/>
      <c r="BG113" s="122"/>
      <c r="BH113" s="122"/>
      <c r="BI113" s="122"/>
      <c r="BJ113" s="122"/>
      <c r="BK113" s="122"/>
      <c r="BL113" s="122"/>
      <c r="BM113" s="122"/>
      <c r="BN113" s="122"/>
      <c r="BO113" s="122"/>
      <c r="BP113" s="122"/>
      <c r="BQ113" s="122"/>
      <c r="BR113" s="122"/>
      <c r="BS113" s="122"/>
    </row>
    <row r="114" spans="1:71" s="285" customFormat="1" ht="12.75" x14ac:dyDescent="0.2">
      <c r="A114" s="289"/>
      <c r="B114" s="393" t="s">
        <v>584</v>
      </c>
      <c r="C114" s="394"/>
      <c r="D114" s="393" t="s">
        <v>585</v>
      </c>
      <c r="E114" s="394"/>
      <c r="F114" s="289"/>
      <c r="G114" s="289"/>
      <c r="H114" s="289"/>
      <c r="I114" s="289"/>
      <c r="J114" s="289"/>
      <c r="K114" s="122"/>
      <c r="L114" s="122"/>
      <c r="M114" s="122"/>
      <c r="N114" s="122"/>
      <c r="O114" s="122"/>
      <c r="P114" s="122"/>
      <c r="Q114" s="122"/>
      <c r="R114" s="122"/>
      <c r="S114" s="122"/>
      <c r="T114" s="122"/>
      <c r="U114" s="122"/>
      <c r="V114" s="122"/>
      <c r="W114" s="122"/>
      <c r="X114" s="122"/>
      <c r="Y114" s="122"/>
      <c r="Z114" s="122"/>
      <c r="AA114" s="122"/>
      <c r="AB114" s="122"/>
      <c r="AC114" s="122"/>
      <c r="AD114" s="122"/>
      <c r="AE114" s="122"/>
      <c r="AF114" s="122"/>
      <c r="AG114" s="122"/>
      <c r="AH114" s="122"/>
      <c r="AI114" s="122"/>
      <c r="AJ114" s="122"/>
      <c r="AK114" s="122"/>
      <c r="AL114" s="122"/>
      <c r="AM114" s="122"/>
      <c r="AN114" s="122"/>
      <c r="AO114" s="122"/>
      <c r="AP114" s="122"/>
      <c r="AQ114" s="281"/>
      <c r="AR114" s="281"/>
      <c r="AS114" s="281"/>
      <c r="AT114" s="122"/>
      <c r="AU114" s="122"/>
      <c r="AV114" s="122"/>
      <c r="AW114" s="122"/>
      <c r="AX114" s="122"/>
      <c r="AY114" s="122"/>
      <c r="AZ114" s="122"/>
      <c r="BA114" s="122"/>
      <c r="BB114" s="122"/>
      <c r="BC114" s="122"/>
      <c r="BD114" s="122"/>
      <c r="BE114" s="122"/>
      <c r="BF114" s="122"/>
      <c r="BG114" s="122"/>
      <c r="BH114" s="122"/>
      <c r="BI114" s="122"/>
      <c r="BJ114" s="122"/>
      <c r="BK114" s="122"/>
      <c r="BL114" s="122"/>
      <c r="BM114" s="122"/>
      <c r="BN114" s="122"/>
      <c r="BO114" s="122"/>
      <c r="BP114" s="122"/>
      <c r="BQ114" s="122"/>
      <c r="BR114" s="122"/>
      <c r="BS114" s="122"/>
    </row>
    <row r="115" spans="1:71" s="285" customFormat="1" ht="12.75" x14ac:dyDescent="0.2">
      <c r="A115" s="292" t="s">
        <v>586</v>
      </c>
      <c r="B115" s="298"/>
      <c r="C115" s="289" t="s">
        <v>587</v>
      </c>
      <c r="D115" s="298">
        <v>16</v>
      </c>
      <c r="E115" s="289" t="s">
        <v>587</v>
      </c>
      <c r="F115" s="289"/>
      <c r="G115" s="289"/>
      <c r="H115" s="289"/>
      <c r="I115" s="289"/>
      <c r="J115" s="289"/>
      <c r="K115" s="122"/>
      <c r="L115" s="122"/>
      <c r="M115" s="122"/>
      <c r="N115" s="122"/>
      <c r="O115" s="122"/>
      <c r="P115" s="122"/>
      <c r="Q115" s="122"/>
      <c r="R115" s="122"/>
      <c r="S115" s="122"/>
      <c r="T115" s="122"/>
      <c r="U115" s="122"/>
      <c r="V115" s="122"/>
      <c r="W115" s="122"/>
      <c r="X115" s="122"/>
      <c r="Y115" s="122"/>
      <c r="Z115" s="122"/>
      <c r="AA115" s="122"/>
      <c r="AB115" s="122"/>
      <c r="AC115" s="122"/>
      <c r="AD115" s="122"/>
      <c r="AE115" s="122"/>
      <c r="AF115" s="122"/>
      <c r="AG115" s="122"/>
      <c r="AH115" s="122"/>
      <c r="AI115" s="122"/>
      <c r="AJ115" s="122"/>
      <c r="AK115" s="122"/>
      <c r="AL115" s="122"/>
      <c r="AM115" s="122"/>
      <c r="AN115" s="122"/>
      <c r="AO115" s="122"/>
      <c r="AP115" s="122"/>
      <c r="AQ115" s="281"/>
      <c r="AR115" s="281"/>
      <c r="AS115" s="281"/>
      <c r="AT115" s="122"/>
      <c r="AU115" s="122"/>
      <c r="AV115" s="122"/>
      <c r="AW115" s="122"/>
      <c r="AX115" s="122"/>
      <c r="AY115" s="122"/>
      <c r="AZ115" s="122"/>
      <c r="BA115" s="122"/>
      <c r="BB115" s="122"/>
      <c r="BC115" s="122"/>
      <c r="BD115" s="122"/>
      <c r="BE115" s="122"/>
      <c r="BF115" s="122"/>
      <c r="BG115" s="122"/>
      <c r="BH115" s="122"/>
      <c r="BI115" s="122"/>
      <c r="BJ115" s="122"/>
      <c r="BK115" s="122"/>
      <c r="BL115" s="122"/>
      <c r="BM115" s="122"/>
      <c r="BN115" s="122"/>
      <c r="BO115" s="122"/>
      <c r="BP115" s="122"/>
      <c r="BQ115" s="122"/>
      <c r="BR115" s="122"/>
      <c r="BS115" s="122"/>
    </row>
    <row r="116" spans="1:71" s="285" customFormat="1" ht="38.25" x14ac:dyDescent="0.2">
      <c r="A116" s="292" t="s">
        <v>586</v>
      </c>
      <c r="B116" s="289">
        <f>$B$110*B115</f>
        <v>0</v>
      </c>
      <c r="C116" s="289" t="s">
        <v>125</v>
      </c>
      <c r="D116" s="289">
        <f>D115*B108</f>
        <v>14.88</v>
      </c>
      <c r="E116" s="289" t="s">
        <v>125</v>
      </c>
      <c r="F116" s="292" t="s">
        <v>588</v>
      </c>
      <c r="G116" s="289">
        <f>D115-B115</f>
        <v>16</v>
      </c>
      <c r="H116" s="289" t="s">
        <v>587</v>
      </c>
      <c r="I116" s="289">
        <f>$B$108*G116</f>
        <v>14.88</v>
      </c>
      <c r="J116" s="289" t="s">
        <v>125</v>
      </c>
      <c r="K116" s="122"/>
      <c r="L116" s="122"/>
      <c r="M116" s="122"/>
      <c r="N116" s="122"/>
      <c r="O116" s="122"/>
      <c r="P116" s="122"/>
      <c r="Q116" s="122"/>
      <c r="R116" s="122"/>
      <c r="S116" s="122"/>
      <c r="T116" s="122"/>
      <c r="U116" s="122"/>
      <c r="V116" s="122"/>
      <c r="W116" s="122"/>
      <c r="X116" s="122"/>
      <c r="Y116" s="122"/>
      <c r="Z116" s="122"/>
      <c r="AA116" s="122"/>
      <c r="AB116" s="122"/>
      <c r="AC116" s="122"/>
      <c r="AD116" s="122"/>
      <c r="AE116" s="122"/>
      <c r="AF116" s="122"/>
      <c r="AG116" s="122"/>
      <c r="AH116" s="122"/>
      <c r="AI116" s="122"/>
      <c r="AJ116" s="122"/>
      <c r="AK116" s="122"/>
      <c r="AL116" s="122"/>
      <c r="AM116" s="122"/>
      <c r="AN116" s="122"/>
      <c r="AO116" s="122"/>
      <c r="AP116" s="122"/>
      <c r="AQ116" s="281"/>
      <c r="AR116" s="281"/>
      <c r="AS116" s="281"/>
      <c r="AT116" s="122"/>
      <c r="AU116" s="122"/>
      <c r="AV116" s="122"/>
      <c r="AW116" s="122"/>
      <c r="AX116" s="122"/>
      <c r="AY116" s="122"/>
      <c r="AZ116" s="122"/>
      <c r="BA116" s="122"/>
      <c r="BB116" s="122"/>
      <c r="BC116" s="122"/>
      <c r="BD116" s="122"/>
      <c r="BE116" s="122"/>
      <c r="BF116" s="122"/>
      <c r="BG116" s="122"/>
      <c r="BH116" s="122"/>
      <c r="BI116" s="122"/>
      <c r="BJ116" s="122"/>
      <c r="BK116" s="122"/>
      <c r="BL116" s="122"/>
      <c r="BM116" s="122"/>
      <c r="BN116" s="122"/>
      <c r="BO116" s="122"/>
      <c r="BP116" s="122"/>
      <c r="BQ116" s="122"/>
      <c r="BR116" s="122"/>
      <c r="BS116" s="122"/>
    </row>
    <row r="117" spans="1:71" s="285" customFormat="1" ht="25.5" x14ac:dyDescent="0.2">
      <c r="A117" s="289"/>
      <c r="B117" s="289"/>
      <c r="C117" s="289"/>
      <c r="D117" s="289"/>
      <c r="E117" s="289"/>
      <c r="F117" s="292" t="s">
        <v>589</v>
      </c>
      <c r="G117" s="299">
        <v>9.4623655913978499</v>
      </c>
      <c r="H117" s="289" t="s">
        <v>587</v>
      </c>
      <c r="I117" s="298">
        <v>8.8000000000000007</v>
      </c>
      <c r="J117" s="289" t="s">
        <v>125</v>
      </c>
      <c r="K117" s="122"/>
      <c r="L117" s="122"/>
      <c r="M117" s="122"/>
      <c r="N117" s="122"/>
      <c r="O117" s="122"/>
      <c r="P117" s="122"/>
      <c r="Q117" s="122"/>
      <c r="R117" s="122"/>
      <c r="S117" s="122"/>
      <c r="T117" s="122"/>
      <c r="U117" s="122"/>
      <c r="V117" s="122"/>
      <c r="W117" s="122"/>
      <c r="X117" s="122"/>
      <c r="Y117" s="122"/>
      <c r="Z117" s="122"/>
      <c r="AA117" s="122"/>
      <c r="AB117" s="122"/>
      <c r="AC117" s="122"/>
      <c r="AD117" s="122"/>
      <c r="AE117" s="122"/>
      <c r="AF117" s="122"/>
      <c r="AG117" s="122"/>
      <c r="AH117" s="122"/>
      <c r="AI117" s="122"/>
      <c r="AJ117" s="122"/>
      <c r="AK117" s="122"/>
      <c r="AL117" s="122"/>
      <c r="AM117" s="122"/>
      <c r="AN117" s="122"/>
      <c r="AO117" s="122"/>
      <c r="AP117" s="122"/>
      <c r="AQ117" s="281"/>
      <c r="AR117" s="281"/>
      <c r="AS117" s="281"/>
      <c r="AT117" s="122"/>
      <c r="AU117" s="122"/>
      <c r="AV117" s="122"/>
      <c r="AW117" s="122"/>
      <c r="AX117" s="122"/>
      <c r="AY117" s="122"/>
      <c r="AZ117" s="122"/>
      <c r="BA117" s="122"/>
      <c r="BB117" s="122"/>
      <c r="BC117" s="122"/>
      <c r="BD117" s="122"/>
      <c r="BE117" s="122"/>
      <c r="BF117" s="122"/>
      <c r="BG117" s="122"/>
      <c r="BH117" s="122"/>
      <c r="BI117" s="122"/>
      <c r="BJ117" s="122"/>
      <c r="BK117" s="122"/>
      <c r="BL117" s="122"/>
      <c r="BM117" s="122"/>
      <c r="BN117" s="122"/>
      <c r="BO117" s="122"/>
      <c r="BP117" s="122"/>
      <c r="BQ117" s="122"/>
      <c r="BR117" s="122"/>
      <c r="BS117" s="122"/>
    </row>
    <row r="118" spans="1:71" s="285" customFormat="1" ht="51" x14ac:dyDescent="0.2">
      <c r="A118" s="300"/>
      <c r="B118" s="301"/>
      <c r="C118" s="301"/>
      <c r="D118" s="301"/>
      <c r="E118" s="301"/>
      <c r="F118" s="302" t="s">
        <v>590</v>
      </c>
      <c r="G118" s="289">
        <f>G116</f>
        <v>16</v>
      </c>
      <c r="H118" s="289" t="s">
        <v>587</v>
      </c>
      <c r="I118" s="294">
        <f>I116</f>
        <v>14.88</v>
      </c>
      <c r="J118" s="289" t="s">
        <v>125</v>
      </c>
      <c r="K118" s="122"/>
      <c r="L118" s="122"/>
      <c r="M118" s="122"/>
      <c r="N118" s="122"/>
      <c r="O118" s="122"/>
      <c r="P118" s="122"/>
      <c r="Q118" s="122"/>
      <c r="R118" s="122"/>
      <c r="S118" s="122"/>
      <c r="T118" s="122"/>
      <c r="U118" s="122"/>
      <c r="V118" s="122"/>
      <c r="W118" s="122"/>
      <c r="X118" s="122"/>
      <c r="Y118" s="122"/>
      <c r="Z118" s="122"/>
      <c r="AA118" s="122"/>
      <c r="AB118" s="122"/>
      <c r="AC118" s="122"/>
      <c r="AD118" s="122"/>
      <c r="AE118" s="122"/>
      <c r="AF118" s="122"/>
      <c r="AG118" s="122"/>
      <c r="AH118" s="122"/>
      <c r="AI118" s="122"/>
      <c r="AJ118" s="122"/>
      <c r="AK118" s="122"/>
      <c r="AL118" s="122"/>
      <c r="AM118" s="122"/>
      <c r="AN118" s="122"/>
      <c r="AO118" s="122"/>
      <c r="AP118" s="122"/>
      <c r="AQ118" s="281"/>
      <c r="AR118" s="281"/>
      <c r="AS118" s="281"/>
      <c r="AT118" s="122"/>
      <c r="AU118" s="122"/>
      <c r="AV118" s="122"/>
      <c r="AW118" s="122"/>
      <c r="AX118" s="122"/>
      <c r="AY118" s="122"/>
      <c r="AZ118" s="122"/>
      <c r="BA118" s="122"/>
      <c r="BB118" s="122"/>
      <c r="BC118" s="122"/>
      <c r="BD118" s="122"/>
      <c r="BE118" s="122"/>
      <c r="BF118" s="122"/>
      <c r="BG118" s="122"/>
      <c r="BH118" s="122"/>
      <c r="BI118" s="122"/>
      <c r="BJ118" s="122"/>
      <c r="BK118" s="122"/>
      <c r="BL118" s="122"/>
      <c r="BM118" s="122"/>
      <c r="BN118" s="122"/>
      <c r="BO118" s="122"/>
      <c r="BP118" s="122"/>
      <c r="BQ118" s="122"/>
      <c r="BR118" s="122"/>
      <c r="BS118" s="122"/>
    </row>
    <row r="119" spans="1:71" s="285" customFormat="1" ht="13.5" thickBot="1" x14ac:dyDescent="0.25">
      <c r="A119" s="303"/>
      <c r="C119" s="122"/>
      <c r="D119" s="122"/>
      <c r="E119" s="122"/>
      <c r="F119" s="122"/>
      <c r="G119" s="122"/>
      <c r="H119" s="122"/>
      <c r="I119" s="122"/>
      <c r="J119" s="122"/>
      <c r="K119" s="122"/>
      <c r="L119" s="122"/>
      <c r="M119" s="122"/>
      <c r="N119" s="122"/>
      <c r="O119" s="122"/>
      <c r="P119" s="122"/>
      <c r="Q119" s="122"/>
      <c r="R119" s="122"/>
      <c r="S119" s="122"/>
      <c r="T119" s="122"/>
      <c r="U119" s="122"/>
      <c r="V119" s="122"/>
      <c r="W119" s="122"/>
      <c r="X119" s="122"/>
      <c r="Y119" s="122"/>
      <c r="Z119" s="122"/>
      <c r="AA119" s="122"/>
      <c r="AB119" s="122"/>
      <c r="AC119" s="122"/>
      <c r="AD119" s="122"/>
      <c r="AE119" s="122"/>
      <c r="AF119" s="122"/>
      <c r="AG119" s="122"/>
      <c r="AH119" s="122"/>
      <c r="AI119" s="122"/>
      <c r="AJ119" s="122"/>
      <c r="AK119" s="122"/>
      <c r="AL119" s="122"/>
      <c r="AM119" s="122"/>
      <c r="AN119" s="122"/>
      <c r="AO119" s="122"/>
      <c r="AP119" s="122"/>
      <c r="AQ119" s="281"/>
      <c r="AR119" s="281"/>
      <c r="AS119" s="281"/>
      <c r="AT119" s="122"/>
      <c r="AU119" s="122"/>
      <c r="AV119" s="122"/>
      <c r="AW119" s="122"/>
      <c r="AX119" s="122"/>
      <c r="AY119" s="122"/>
      <c r="AZ119" s="122"/>
      <c r="BA119" s="122"/>
      <c r="BB119" s="122"/>
      <c r="BC119" s="122"/>
      <c r="BD119" s="122"/>
      <c r="BE119" s="122"/>
      <c r="BF119" s="122"/>
      <c r="BG119" s="122"/>
      <c r="BH119" s="122"/>
      <c r="BI119" s="122"/>
      <c r="BJ119" s="122"/>
      <c r="BK119" s="122"/>
      <c r="BL119" s="122"/>
      <c r="BM119" s="122"/>
      <c r="BN119" s="122"/>
      <c r="BO119" s="122"/>
      <c r="BP119" s="122"/>
      <c r="BQ119" s="122"/>
      <c r="BR119" s="122"/>
      <c r="BS119" s="122"/>
    </row>
    <row r="120" spans="1:71" s="285" customFormat="1" ht="15.75" x14ac:dyDescent="0.2">
      <c r="A120" s="304" t="s">
        <v>591</v>
      </c>
      <c r="B120" s="305">
        <f>B124/1000000</f>
        <v>0</v>
      </c>
      <c r="D120" s="384" t="s">
        <v>323</v>
      </c>
      <c r="E120" s="306" t="s">
        <v>592</v>
      </c>
      <c r="F120" s="307">
        <v>35</v>
      </c>
      <c r="G120" s="385"/>
    </row>
    <row r="121" spans="1:71" s="285" customFormat="1" ht="15.75" x14ac:dyDescent="0.2">
      <c r="A121" s="304" t="s">
        <v>323</v>
      </c>
      <c r="B121" s="308">
        <v>30</v>
      </c>
      <c r="D121" s="384"/>
      <c r="E121" s="306" t="s">
        <v>593</v>
      </c>
      <c r="F121" s="307">
        <v>30</v>
      </c>
      <c r="G121" s="385"/>
    </row>
    <row r="122" spans="1:71" s="285" customFormat="1" ht="15.75" x14ac:dyDescent="0.2">
      <c r="A122" s="304" t="s">
        <v>594</v>
      </c>
      <c r="B122" s="308" t="s">
        <v>595</v>
      </c>
      <c r="C122" s="309" t="s">
        <v>596</v>
      </c>
      <c r="D122" s="384"/>
      <c r="E122" s="306" t="s">
        <v>597</v>
      </c>
      <c r="F122" s="307">
        <v>30</v>
      </c>
      <c r="G122" s="385"/>
    </row>
    <row r="123" spans="1:71" s="285" customFormat="1" ht="15.75" x14ac:dyDescent="0.2">
      <c r="A123" s="310"/>
      <c r="B123" s="311"/>
      <c r="C123" s="309"/>
      <c r="D123" s="384"/>
      <c r="E123" s="306" t="s">
        <v>598</v>
      </c>
      <c r="F123" s="307">
        <v>30</v>
      </c>
      <c r="G123" s="385"/>
    </row>
    <row r="124" spans="1:71" s="285" customFormat="1" ht="12.75" x14ac:dyDescent="0.2">
      <c r="A124" s="304" t="s">
        <v>599</v>
      </c>
      <c r="B124" s="312">
        <f>B126*1000000</f>
        <v>0</v>
      </c>
      <c r="C124" s="312"/>
      <c r="D124" s="312"/>
    </row>
    <row r="125" spans="1:71" s="285" customFormat="1" ht="12.75" x14ac:dyDescent="0.2">
      <c r="A125" s="304" t="s">
        <v>600</v>
      </c>
      <c r="B125" s="313">
        <v>1E-3</v>
      </c>
      <c r="C125" s="285">
        <v>2018</v>
      </c>
      <c r="D125" s="285">
        <v>2019</v>
      </c>
      <c r="E125" s="285">
        <v>2020</v>
      </c>
      <c r="F125" s="285">
        <v>2021</v>
      </c>
      <c r="G125" s="285">
        <v>2022</v>
      </c>
      <c r="H125" s="285">
        <v>2023</v>
      </c>
      <c r="I125" s="285">
        <v>2024</v>
      </c>
    </row>
    <row r="126" spans="1:71" s="285" customFormat="1" ht="12.75" x14ac:dyDescent="0.2">
      <c r="A126" s="303"/>
      <c r="B126" s="314">
        <f>SUM(C126:F126)</f>
        <v>0</v>
      </c>
      <c r="C126" s="314">
        <v>0</v>
      </c>
      <c r="D126" s="314">
        <v>0</v>
      </c>
      <c r="E126" s="314" t="s">
        <v>460</v>
      </c>
      <c r="F126" s="314" t="s">
        <v>460</v>
      </c>
    </row>
    <row r="127" spans="1:71" s="285" customFormat="1" ht="25.5" x14ac:dyDescent="0.2">
      <c r="A127" s="304" t="s">
        <v>601</v>
      </c>
      <c r="B127" s="315">
        <v>9.8699999999999996E-2</v>
      </c>
    </row>
    <row r="128" spans="1:71" s="285" customFormat="1" ht="15.75" x14ac:dyDescent="0.2">
      <c r="A128" s="316"/>
      <c r="B128" s="317"/>
    </row>
    <row r="129" spans="1:51" s="285" customFormat="1" ht="25.5" x14ac:dyDescent="0.2">
      <c r="A129" s="318" t="s">
        <v>602</v>
      </c>
      <c r="B129" s="319">
        <v>0.74426999999999999</v>
      </c>
    </row>
    <row r="130" spans="1:51" s="285" customFormat="1" ht="12.75" x14ac:dyDescent="0.2"/>
    <row r="131" spans="1:51" s="285" customFormat="1" ht="12.75" x14ac:dyDescent="0.2">
      <c r="A131" s="303"/>
      <c r="C131" s="285" t="s">
        <v>612</v>
      </c>
    </row>
    <row r="132" spans="1:51" s="285" customFormat="1" ht="15.75" x14ac:dyDescent="0.2">
      <c r="A132" s="304" t="s">
        <v>523</v>
      </c>
      <c r="B132" s="320"/>
      <c r="C132" s="321"/>
    </row>
    <row r="133" spans="1:51" s="285" customFormat="1" ht="12.75" x14ac:dyDescent="0.2">
      <c r="A133" s="304"/>
      <c r="B133" s="322">
        <v>2016</v>
      </c>
      <c r="C133" s="322">
        <f>B133+1</f>
        <v>2017</v>
      </c>
      <c r="D133" s="322">
        <f t="shared" ref="D133:AY133" si="82">C133+1</f>
        <v>2018</v>
      </c>
      <c r="E133" s="322">
        <f t="shared" si="82"/>
        <v>2019</v>
      </c>
      <c r="F133" s="322">
        <f t="shared" si="82"/>
        <v>2020</v>
      </c>
      <c r="G133" s="322">
        <f t="shared" si="82"/>
        <v>2021</v>
      </c>
      <c r="H133" s="322">
        <f t="shared" si="82"/>
        <v>2022</v>
      </c>
      <c r="I133" s="322">
        <f t="shared" si="82"/>
        <v>2023</v>
      </c>
      <c r="J133" s="322">
        <f t="shared" si="82"/>
        <v>2024</v>
      </c>
      <c r="K133" s="322">
        <f t="shared" si="82"/>
        <v>2025</v>
      </c>
      <c r="L133" s="322">
        <f t="shared" si="82"/>
        <v>2026</v>
      </c>
      <c r="M133" s="322">
        <f t="shared" si="82"/>
        <v>2027</v>
      </c>
      <c r="N133" s="322">
        <f t="shared" si="82"/>
        <v>2028</v>
      </c>
      <c r="O133" s="322">
        <f t="shared" si="82"/>
        <v>2029</v>
      </c>
      <c r="P133" s="322">
        <f t="shared" si="82"/>
        <v>2030</v>
      </c>
      <c r="Q133" s="322">
        <f t="shared" si="82"/>
        <v>2031</v>
      </c>
      <c r="R133" s="322">
        <f t="shared" si="82"/>
        <v>2032</v>
      </c>
      <c r="S133" s="322">
        <f t="shared" si="82"/>
        <v>2033</v>
      </c>
      <c r="T133" s="322">
        <f t="shared" si="82"/>
        <v>2034</v>
      </c>
      <c r="U133" s="322">
        <f t="shared" si="82"/>
        <v>2035</v>
      </c>
      <c r="V133" s="322">
        <f t="shared" si="82"/>
        <v>2036</v>
      </c>
      <c r="W133" s="322">
        <f t="shared" si="82"/>
        <v>2037</v>
      </c>
      <c r="X133" s="322">
        <f t="shared" si="82"/>
        <v>2038</v>
      </c>
      <c r="Y133" s="322">
        <f t="shared" si="82"/>
        <v>2039</v>
      </c>
      <c r="Z133" s="322">
        <f t="shared" si="82"/>
        <v>2040</v>
      </c>
      <c r="AA133" s="322">
        <f t="shared" si="82"/>
        <v>2041</v>
      </c>
      <c r="AB133" s="322">
        <f t="shared" si="82"/>
        <v>2042</v>
      </c>
      <c r="AC133" s="322">
        <f t="shared" si="82"/>
        <v>2043</v>
      </c>
      <c r="AD133" s="322">
        <f t="shared" si="82"/>
        <v>2044</v>
      </c>
      <c r="AE133" s="322">
        <f t="shared" si="82"/>
        <v>2045</v>
      </c>
      <c r="AF133" s="322">
        <f t="shared" si="82"/>
        <v>2046</v>
      </c>
      <c r="AG133" s="322">
        <f t="shared" si="82"/>
        <v>2047</v>
      </c>
      <c r="AH133" s="322">
        <f t="shared" si="82"/>
        <v>2048</v>
      </c>
      <c r="AI133" s="322">
        <f t="shared" si="82"/>
        <v>2049</v>
      </c>
      <c r="AJ133" s="322">
        <f t="shared" si="82"/>
        <v>2050</v>
      </c>
      <c r="AK133" s="322">
        <f t="shared" si="82"/>
        <v>2051</v>
      </c>
      <c r="AL133" s="322">
        <f t="shared" si="82"/>
        <v>2052</v>
      </c>
      <c r="AM133" s="322">
        <f t="shared" si="82"/>
        <v>2053</v>
      </c>
      <c r="AN133" s="322">
        <f t="shared" si="82"/>
        <v>2054</v>
      </c>
      <c r="AO133" s="322">
        <f t="shared" si="82"/>
        <v>2055</v>
      </c>
      <c r="AP133" s="322">
        <f t="shared" si="82"/>
        <v>2056</v>
      </c>
      <c r="AQ133" s="322">
        <f t="shared" si="82"/>
        <v>2057</v>
      </c>
      <c r="AR133" s="322">
        <f t="shared" si="82"/>
        <v>2058</v>
      </c>
      <c r="AS133" s="322">
        <f t="shared" si="82"/>
        <v>2059</v>
      </c>
      <c r="AT133" s="322">
        <f t="shared" si="82"/>
        <v>2060</v>
      </c>
      <c r="AU133" s="322">
        <f t="shared" si="82"/>
        <v>2061</v>
      </c>
      <c r="AV133" s="322">
        <f t="shared" si="82"/>
        <v>2062</v>
      </c>
      <c r="AW133" s="322">
        <f t="shared" si="82"/>
        <v>2063</v>
      </c>
      <c r="AX133" s="322">
        <f t="shared" si="82"/>
        <v>2064</v>
      </c>
      <c r="AY133" s="322">
        <f t="shared" si="82"/>
        <v>2065</v>
      </c>
    </row>
    <row r="134" spans="1:51" s="285" customFormat="1" ht="12.75" x14ac:dyDescent="0.2">
      <c r="A134" s="304" t="s">
        <v>524</v>
      </c>
      <c r="B134" s="323"/>
      <c r="C134" s="324"/>
      <c r="D134" s="324">
        <v>0</v>
      </c>
      <c r="E134" s="324">
        <v>0</v>
      </c>
      <c r="F134" s="324">
        <v>0</v>
      </c>
      <c r="G134" s="324">
        <v>0</v>
      </c>
      <c r="H134" s="324">
        <v>0</v>
      </c>
      <c r="I134" s="324">
        <v>0</v>
      </c>
      <c r="J134" s="324">
        <v>5.2726091890100003E-2</v>
      </c>
      <c r="K134" s="324">
        <v>4.7619843182130001E-2</v>
      </c>
      <c r="L134" s="324">
        <v>4.57995653007E-2</v>
      </c>
      <c r="M134" s="324">
        <v>4.57995653007E-2</v>
      </c>
      <c r="N134" s="324">
        <v>4.57995653007E-2</v>
      </c>
      <c r="O134" s="324">
        <v>4.57995653007E-2</v>
      </c>
      <c r="P134" s="324">
        <v>4.57995653007E-2</v>
      </c>
      <c r="Q134" s="324">
        <v>4.57995653007E-2</v>
      </c>
      <c r="R134" s="324">
        <v>4.57995653007E-2</v>
      </c>
      <c r="S134" s="324">
        <v>4.57995653007E-2</v>
      </c>
      <c r="T134" s="324">
        <v>4.57995653007E-2</v>
      </c>
      <c r="U134" s="324">
        <v>4.57995653007E-2</v>
      </c>
      <c r="V134" s="324">
        <v>4.57995653007E-2</v>
      </c>
      <c r="W134" s="324">
        <v>4.57995653007E-2</v>
      </c>
      <c r="X134" s="324">
        <v>4.57995653007E-2</v>
      </c>
      <c r="Y134" s="324">
        <v>4.57995653007E-2</v>
      </c>
      <c r="Z134" s="324">
        <v>4.57995653007E-2</v>
      </c>
      <c r="AA134" s="324">
        <v>4.57995653007E-2</v>
      </c>
      <c r="AB134" s="324">
        <v>4.57995653007E-2</v>
      </c>
      <c r="AC134" s="324">
        <v>4.57995653007E-2</v>
      </c>
      <c r="AD134" s="324">
        <v>4.57995653007E-2</v>
      </c>
      <c r="AE134" s="324">
        <v>4.57995653007E-2</v>
      </c>
      <c r="AF134" s="324">
        <v>4.57995653007E-2</v>
      </c>
      <c r="AG134" s="324">
        <v>4.57995653007E-2</v>
      </c>
      <c r="AH134" s="324">
        <v>4.57995653007E-2</v>
      </c>
      <c r="AI134" s="324">
        <v>4.57995653007E-2</v>
      </c>
      <c r="AJ134" s="324">
        <v>4.57995653007E-2</v>
      </c>
      <c r="AK134" s="324">
        <v>4.57995653007E-2</v>
      </c>
      <c r="AL134" s="324">
        <v>4.57995653007E-2</v>
      </c>
      <c r="AM134" s="324">
        <v>4.57995653007E-2</v>
      </c>
      <c r="AN134" s="324">
        <v>4.57995653007E-2</v>
      </c>
      <c r="AO134" s="324">
        <v>4.57995653007E-2</v>
      </c>
      <c r="AP134" s="324">
        <v>4.57995653007E-2</v>
      </c>
      <c r="AQ134" s="324">
        <v>4.57995653007E-2</v>
      </c>
      <c r="AR134" s="324">
        <v>4.57995653007E-2</v>
      </c>
      <c r="AS134" s="324">
        <v>4.57995653007E-2</v>
      </c>
      <c r="AT134" s="324">
        <v>4.57995653007E-2</v>
      </c>
      <c r="AU134" s="324">
        <v>4.57995653007E-2</v>
      </c>
      <c r="AV134" s="324">
        <v>4.57995653007E-2</v>
      </c>
      <c r="AW134" s="324">
        <v>4.57995653007E-2</v>
      </c>
      <c r="AX134" s="324">
        <v>4.57995653007E-2</v>
      </c>
      <c r="AY134" s="324">
        <v>4.57995653007E-2</v>
      </c>
    </row>
    <row r="135" spans="1:51" s="285" customFormat="1" x14ac:dyDescent="0.2">
      <c r="A135" s="304" t="s">
        <v>525</v>
      </c>
      <c r="B135" s="325"/>
      <c r="C135" s="326">
        <f>(1+B135)*(1+C134)-1</f>
        <v>0</v>
      </c>
      <c r="D135" s="326">
        <f>(1+C135)*(1+D134)-1</f>
        <v>0</v>
      </c>
      <c r="E135" s="326">
        <f>(1+D135)*(1+E134)-1</f>
        <v>0</v>
      </c>
      <c r="F135" s="326">
        <f t="shared" ref="F135:AY135" si="83">(1+E135)*(1+F134)-1</f>
        <v>0</v>
      </c>
      <c r="G135" s="326">
        <f>(1+F135)*(1+G134)-1</f>
        <v>0</v>
      </c>
      <c r="H135" s="326">
        <f t="shared" si="83"/>
        <v>0</v>
      </c>
      <c r="I135" s="326">
        <f t="shared" si="83"/>
        <v>0</v>
      </c>
      <c r="J135" s="326">
        <f t="shared" si="83"/>
        <v>5.2726091890100024E-2</v>
      </c>
      <c r="K135" s="326">
        <f t="shared" si="83"/>
        <v>0.10285674329964323</v>
      </c>
      <c r="L135" s="326">
        <f t="shared" si="83"/>
        <v>0.1533671027317125</v>
      </c>
      <c r="M135" s="326">
        <f t="shared" si="83"/>
        <v>0.20619081466895262</v>
      </c>
      <c r="N135" s="326">
        <f t="shared" si="83"/>
        <v>0.26143382965048789</v>
      </c>
      <c r="O135" s="326">
        <f t="shared" si="83"/>
        <v>0.31920695070407734</v>
      </c>
      <c r="P135" s="326">
        <f t="shared" si="83"/>
        <v>0.37962605558798601</v>
      </c>
      <c r="Q135" s="326">
        <f t="shared" si="83"/>
        <v>0.44281232921143499</v>
      </c>
      <c r="R135" s="326">
        <f t="shared" si="83"/>
        <v>0.50889250669980912</v>
      </c>
      <c r="S135" s="326">
        <f t="shared" si="83"/>
        <v>0.57799912759214389</v>
      </c>
      <c r="T135" s="326">
        <f t="shared" si="83"/>
        <v>0.65027080168074791</v>
      </c>
      <c r="U135" s="326">
        <f t="shared" si="83"/>
        <v>0.72585248702616378</v>
      </c>
      <c r="V135" s="326">
        <f t="shared" si="83"/>
        <v>0.80489578070509404</v>
      </c>
      <c r="W135" s="326">
        <f t="shared" si="83"/>
        <v>0.88755922287445488</v>
      </c>
      <c r="X135" s="326">
        <f t="shared" si="83"/>
        <v>0.97400861476143197</v>
      </c>
      <c r="Y135" s="326">
        <f t="shared" si="83"/>
        <v>1.0644173512173425</v>
      </c>
      <c r="Z135" s="326">
        <f t="shared" si="83"/>
        <v>1.1589667685023191</v>
      </c>
      <c r="AA135" s="326">
        <f t="shared" si="83"/>
        <v>1.2578465079983823</v>
      </c>
      <c r="AB135" s="326">
        <f t="shared" si="83"/>
        <v>1.3612548965804114</v>
      </c>
      <c r="AC135" s="326">
        <f t="shared" si="83"/>
        <v>1.4693993444079436</v>
      </c>
      <c r="AD135" s="326">
        <f t="shared" si="83"/>
        <v>1.5824967609356611</v>
      </c>
      <c r="AE135" s="326">
        <f t="shared" si="83"/>
        <v>1.7007739899769798</v>
      </c>
      <c r="AF135" s="326">
        <f t="shared" si="83"/>
        <v>1.8244682646933623</v>
      </c>
      <c r="AG135" s="326">
        <f t="shared" si="83"/>
        <v>1.9538276834219408</v>
      </c>
      <c r="AH135" s="326">
        <f t="shared" si="83"/>
        <v>2.0891117072958392</v>
      </c>
      <c r="AI135" s="326">
        <f t="shared" si="83"/>
        <v>2.2305916806552917</v>
      </c>
      <c r="AJ135" s="326">
        <f t="shared" si="83"/>
        <v>2.3785513752933616</v>
      </c>
      <c r="AK135" s="326">
        <f t="shared" si="83"/>
        <v>2.5332875596278797</v>
      </c>
      <c r="AL135" s="326">
        <f t="shared" si="83"/>
        <v>2.6951105939412074</v>
      </c>
      <c r="AM135" s="326">
        <f t="shared" si="83"/>
        <v>2.8643450528817258</v>
      </c>
      <c r="AN135" s="326">
        <f t="shared" si="83"/>
        <v>3.041330376475619</v>
      </c>
      <c r="AO135" s="326">
        <f t="shared" si="83"/>
        <v>3.2264215509547167</v>
      </c>
      <c r="AP135" s="326">
        <f t="shared" si="83"/>
        <v>3.4199898207659531</v>
      </c>
      <c r="AQ135" s="326">
        <f t="shared" si="83"/>
        <v>3.6224234331905523</v>
      </c>
      <c r="AR135" s="326">
        <f t="shared" si="83"/>
        <v>3.8341284170664487</v>
      </c>
      <c r="AS135" s="326">
        <f t="shared" si="83"/>
        <v>4.055529397175853</v>
      </c>
      <c r="AT135" s="326">
        <f t="shared" si="83"/>
        <v>4.2870704459314171</v>
      </c>
      <c r="AU135" s="326">
        <f t="shared" si="83"/>
        <v>4.5292159740692535</v>
      </c>
      <c r="AV135" s="326">
        <f t="shared" si="83"/>
        <v>4.7824516621353119</v>
      </c>
      <c r="AW135" s="326">
        <f>(1+AV135)*(1+AW134)-1</f>
        <v>5.0472854346334195</v>
      </c>
      <c r="AX135" s="326">
        <f t="shared" si="83"/>
        <v>5.3242484787888849</v>
      </c>
      <c r="AY135" s="326">
        <f t="shared" si="83"/>
        <v>5.6138963099710288</v>
      </c>
    </row>
    <row r="136" spans="1:51" s="285" customFormat="1" ht="15.75" x14ac:dyDescent="0.2">
      <c r="A136" s="327"/>
      <c r="B136" s="328"/>
      <c r="C136" s="329"/>
      <c r="D136" s="329"/>
      <c r="E136" s="329"/>
      <c r="F136" s="329"/>
      <c r="G136" s="329"/>
      <c r="H136" s="329"/>
      <c r="I136" s="329"/>
      <c r="J136" s="329"/>
      <c r="K136" s="329"/>
      <c r="L136" s="329"/>
      <c r="M136" s="329"/>
      <c r="N136" s="329"/>
      <c r="O136" s="329"/>
      <c r="P136" s="329"/>
      <c r="Q136" s="329"/>
      <c r="R136" s="329"/>
      <c r="S136" s="329"/>
      <c r="T136" s="329"/>
      <c r="U136" s="329"/>
      <c r="V136" s="329"/>
      <c r="W136" s="329"/>
      <c r="X136" s="329"/>
      <c r="Y136" s="329"/>
      <c r="Z136" s="329"/>
      <c r="AA136" s="329"/>
      <c r="AB136" s="329"/>
      <c r="AC136" s="329"/>
      <c r="AD136" s="329"/>
      <c r="AE136" s="329"/>
      <c r="AF136" s="329"/>
      <c r="AG136" s="329"/>
      <c r="AH136" s="329"/>
      <c r="AI136" s="329"/>
      <c r="AJ136" s="329"/>
      <c r="AK136" s="329"/>
      <c r="AL136" s="329"/>
      <c r="AM136" s="329"/>
      <c r="AN136" s="329"/>
      <c r="AO136" s="329"/>
      <c r="AP136" s="329"/>
      <c r="AQ136" s="281"/>
    </row>
    <row r="137" spans="1:51" s="285" customFormat="1" ht="12.75" x14ac:dyDescent="0.2">
      <c r="A137" s="303"/>
      <c r="B137" s="323">
        <v>2016</v>
      </c>
      <c r="C137" s="323">
        <f>B137+1</f>
        <v>2017</v>
      </c>
      <c r="D137" s="323">
        <f t="shared" ref="D137:S138" si="84">C137+1</f>
        <v>2018</v>
      </c>
      <c r="E137" s="323">
        <f t="shared" si="84"/>
        <v>2019</v>
      </c>
      <c r="F137" s="323">
        <f t="shared" si="84"/>
        <v>2020</v>
      </c>
      <c r="G137" s="323">
        <f t="shared" si="84"/>
        <v>2021</v>
      </c>
      <c r="H137" s="323">
        <f t="shared" si="84"/>
        <v>2022</v>
      </c>
      <c r="I137" s="323">
        <f t="shared" si="84"/>
        <v>2023</v>
      </c>
      <c r="J137" s="323">
        <f t="shared" si="84"/>
        <v>2024</v>
      </c>
      <c r="K137" s="323">
        <f t="shared" si="84"/>
        <v>2025</v>
      </c>
      <c r="L137" s="323">
        <f t="shared" si="84"/>
        <v>2026</v>
      </c>
      <c r="M137" s="323">
        <f t="shared" si="84"/>
        <v>2027</v>
      </c>
      <c r="N137" s="323">
        <f t="shared" si="84"/>
        <v>2028</v>
      </c>
      <c r="O137" s="323">
        <f t="shared" si="84"/>
        <v>2029</v>
      </c>
      <c r="P137" s="323">
        <f t="shared" si="84"/>
        <v>2030</v>
      </c>
      <c r="Q137" s="323">
        <f t="shared" si="84"/>
        <v>2031</v>
      </c>
      <c r="R137" s="323">
        <f t="shared" si="84"/>
        <v>2032</v>
      </c>
      <c r="S137" s="323">
        <f t="shared" si="84"/>
        <v>2033</v>
      </c>
      <c r="T137" s="323">
        <f t="shared" ref="T137:AI138" si="85">S137+1</f>
        <v>2034</v>
      </c>
      <c r="U137" s="323">
        <f t="shared" si="85"/>
        <v>2035</v>
      </c>
      <c r="V137" s="323">
        <f t="shared" si="85"/>
        <v>2036</v>
      </c>
      <c r="W137" s="323">
        <f t="shared" si="85"/>
        <v>2037</v>
      </c>
      <c r="X137" s="323">
        <f t="shared" si="85"/>
        <v>2038</v>
      </c>
      <c r="Y137" s="323">
        <f t="shared" si="85"/>
        <v>2039</v>
      </c>
      <c r="Z137" s="323">
        <f t="shared" si="85"/>
        <v>2040</v>
      </c>
      <c r="AA137" s="323">
        <f t="shared" si="85"/>
        <v>2041</v>
      </c>
      <c r="AB137" s="323">
        <f t="shared" si="85"/>
        <v>2042</v>
      </c>
      <c r="AC137" s="323">
        <f t="shared" si="85"/>
        <v>2043</v>
      </c>
      <c r="AD137" s="323">
        <f t="shared" si="85"/>
        <v>2044</v>
      </c>
      <c r="AE137" s="323">
        <f t="shared" si="85"/>
        <v>2045</v>
      </c>
      <c r="AF137" s="323">
        <f t="shared" si="85"/>
        <v>2046</v>
      </c>
      <c r="AG137" s="323">
        <f t="shared" si="85"/>
        <v>2047</v>
      </c>
      <c r="AH137" s="323">
        <f t="shared" si="85"/>
        <v>2048</v>
      </c>
      <c r="AI137" s="323">
        <f t="shared" si="85"/>
        <v>2049</v>
      </c>
      <c r="AJ137" s="323">
        <f t="shared" ref="AJ137:AY138" si="86">AI137+1</f>
        <v>2050</v>
      </c>
      <c r="AK137" s="323">
        <f t="shared" si="86"/>
        <v>2051</v>
      </c>
      <c r="AL137" s="323">
        <f t="shared" si="86"/>
        <v>2052</v>
      </c>
      <c r="AM137" s="323">
        <f t="shared" si="86"/>
        <v>2053</v>
      </c>
      <c r="AN137" s="323">
        <f t="shared" si="86"/>
        <v>2054</v>
      </c>
      <c r="AO137" s="323">
        <f t="shared" si="86"/>
        <v>2055</v>
      </c>
      <c r="AP137" s="323">
        <f t="shared" si="86"/>
        <v>2056</v>
      </c>
      <c r="AQ137" s="323">
        <f t="shared" si="86"/>
        <v>2057</v>
      </c>
      <c r="AR137" s="323">
        <f t="shared" si="86"/>
        <v>2058</v>
      </c>
      <c r="AS137" s="323">
        <f t="shared" si="86"/>
        <v>2059</v>
      </c>
      <c r="AT137" s="323">
        <f t="shared" si="86"/>
        <v>2060</v>
      </c>
      <c r="AU137" s="323">
        <f t="shared" si="86"/>
        <v>2061</v>
      </c>
      <c r="AV137" s="323">
        <f t="shared" si="86"/>
        <v>2062</v>
      </c>
      <c r="AW137" s="323">
        <f t="shared" si="86"/>
        <v>2063</v>
      </c>
      <c r="AX137" s="323">
        <f t="shared" si="86"/>
        <v>2064</v>
      </c>
      <c r="AY137" s="323">
        <f t="shared" si="86"/>
        <v>2065</v>
      </c>
    </row>
    <row r="138" spans="1:51" s="285" customFormat="1" ht="15.75" x14ac:dyDescent="0.2">
      <c r="A138" s="303"/>
      <c r="B138" s="330">
        <v>0</v>
      </c>
      <c r="C138" s="330">
        <v>0</v>
      </c>
      <c r="D138" s="330">
        <v>0</v>
      </c>
      <c r="E138" s="330">
        <v>0</v>
      </c>
      <c r="F138" s="330">
        <v>1</v>
      </c>
      <c r="G138" s="330">
        <f t="shared" si="84"/>
        <v>2</v>
      </c>
      <c r="H138" s="330">
        <f t="shared" si="84"/>
        <v>3</v>
      </c>
      <c r="I138" s="330">
        <f t="shared" si="84"/>
        <v>4</v>
      </c>
      <c r="J138" s="330">
        <f t="shared" si="84"/>
        <v>5</v>
      </c>
      <c r="K138" s="330">
        <f t="shared" si="84"/>
        <v>6</v>
      </c>
      <c r="L138" s="330">
        <f t="shared" si="84"/>
        <v>7</v>
      </c>
      <c r="M138" s="330">
        <f t="shared" si="84"/>
        <v>8</v>
      </c>
      <c r="N138" s="330">
        <f t="shared" si="84"/>
        <v>9</v>
      </c>
      <c r="O138" s="330">
        <f t="shared" si="84"/>
        <v>10</v>
      </c>
      <c r="P138" s="330">
        <f t="shared" si="84"/>
        <v>11</v>
      </c>
      <c r="Q138" s="330">
        <f t="shared" si="84"/>
        <v>12</v>
      </c>
      <c r="R138" s="330">
        <f t="shared" si="84"/>
        <v>13</v>
      </c>
      <c r="S138" s="330">
        <f t="shared" si="84"/>
        <v>14</v>
      </c>
      <c r="T138" s="330">
        <f t="shared" si="85"/>
        <v>15</v>
      </c>
      <c r="U138" s="330">
        <f t="shared" si="85"/>
        <v>16</v>
      </c>
      <c r="V138" s="330">
        <f t="shared" si="85"/>
        <v>17</v>
      </c>
      <c r="W138" s="330">
        <f t="shared" si="85"/>
        <v>18</v>
      </c>
      <c r="X138" s="330">
        <f t="shared" si="85"/>
        <v>19</v>
      </c>
      <c r="Y138" s="330">
        <f t="shared" si="85"/>
        <v>20</v>
      </c>
      <c r="Z138" s="330">
        <f t="shared" si="85"/>
        <v>21</v>
      </c>
      <c r="AA138" s="330">
        <f t="shared" si="85"/>
        <v>22</v>
      </c>
      <c r="AB138" s="330">
        <f t="shared" si="85"/>
        <v>23</v>
      </c>
      <c r="AC138" s="330">
        <f t="shared" si="85"/>
        <v>24</v>
      </c>
      <c r="AD138" s="330">
        <f t="shared" si="85"/>
        <v>25</v>
      </c>
      <c r="AE138" s="330">
        <f t="shared" si="85"/>
        <v>26</v>
      </c>
      <c r="AF138" s="330">
        <f t="shared" si="85"/>
        <v>27</v>
      </c>
      <c r="AG138" s="330">
        <f t="shared" si="85"/>
        <v>28</v>
      </c>
      <c r="AH138" s="330">
        <f t="shared" si="85"/>
        <v>29</v>
      </c>
      <c r="AI138" s="330">
        <f t="shared" si="85"/>
        <v>30</v>
      </c>
      <c r="AJ138" s="330">
        <f t="shared" si="86"/>
        <v>31</v>
      </c>
      <c r="AK138" s="330">
        <f t="shared" si="86"/>
        <v>32</v>
      </c>
      <c r="AL138" s="330">
        <f t="shared" si="86"/>
        <v>33</v>
      </c>
      <c r="AM138" s="330">
        <f t="shared" si="86"/>
        <v>34</v>
      </c>
      <c r="AN138" s="330">
        <f t="shared" si="86"/>
        <v>35</v>
      </c>
      <c r="AO138" s="330">
        <f t="shared" si="86"/>
        <v>36</v>
      </c>
      <c r="AP138" s="330">
        <f>AO138+1</f>
        <v>37</v>
      </c>
      <c r="AQ138" s="330">
        <f t="shared" si="86"/>
        <v>38</v>
      </c>
      <c r="AR138" s="330">
        <f t="shared" si="86"/>
        <v>39</v>
      </c>
      <c r="AS138" s="330">
        <f t="shared" si="86"/>
        <v>40</v>
      </c>
      <c r="AT138" s="330">
        <f t="shared" si="86"/>
        <v>41</v>
      </c>
      <c r="AU138" s="330">
        <f t="shared" si="86"/>
        <v>42</v>
      </c>
      <c r="AV138" s="330">
        <f t="shared" si="86"/>
        <v>43</v>
      </c>
      <c r="AW138" s="330">
        <f t="shared" si="86"/>
        <v>44</v>
      </c>
      <c r="AX138" s="330">
        <f t="shared" si="86"/>
        <v>45</v>
      </c>
      <c r="AY138" s="330">
        <f t="shared" si="86"/>
        <v>46</v>
      </c>
    </row>
    <row r="139" spans="1:51" s="285" customFormat="1" x14ac:dyDescent="0.2">
      <c r="A139" s="303"/>
      <c r="B139" s="331">
        <f>AVERAGE(A138:B138)</f>
        <v>0</v>
      </c>
      <c r="C139" s="331">
        <f>AVERAGE(B138:C138)</f>
        <v>0</v>
      </c>
      <c r="D139" s="331">
        <f>AVERAGE(C138:D138)</f>
        <v>0</v>
      </c>
      <c r="E139" s="331">
        <f>AVERAGE(D138:E138)</f>
        <v>0</v>
      </c>
      <c r="F139" s="331">
        <f t="shared" ref="F139:AO139" si="87">AVERAGE(E138:F138)</f>
        <v>0.5</v>
      </c>
      <c r="G139" s="331">
        <f t="shared" si="87"/>
        <v>1.5</v>
      </c>
      <c r="H139" s="331">
        <f t="shared" si="87"/>
        <v>2.5</v>
      </c>
      <c r="I139" s="331">
        <f t="shared" si="87"/>
        <v>3.5</v>
      </c>
      <c r="J139" s="331">
        <f t="shared" si="87"/>
        <v>4.5</v>
      </c>
      <c r="K139" s="331">
        <f t="shared" si="87"/>
        <v>5.5</v>
      </c>
      <c r="L139" s="331">
        <f t="shared" si="87"/>
        <v>6.5</v>
      </c>
      <c r="M139" s="331">
        <f t="shared" si="87"/>
        <v>7.5</v>
      </c>
      <c r="N139" s="331">
        <f t="shared" si="87"/>
        <v>8.5</v>
      </c>
      <c r="O139" s="331">
        <f t="shared" si="87"/>
        <v>9.5</v>
      </c>
      <c r="P139" s="331">
        <f t="shared" si="87"/>
        <v>10.5</v>
      </c>
      <c r="Q139" s="331">
        <f t="shared" si="87"/>
        <v>11.5</v>
      </c>
      <c r="R139" s="331">
        <f t="shared" si="87"/>
        <v>12.5</v>
      </c>
      <c r="S139" s="331">
        <f t="shared" si="87"/>
        <v>13.5</v>
      </c>
      <c r="T139" s="331">
        <f t="shared" si="87"/>
        <v>14.5</v>
      </c>
      <c r="U139" s="331">
        <f t="shared" si="87"/>
        <v>15.5</v>
      </c>
      <c r="V139" s="331">
        <f t="shared" si="87"/>
        <v>16.5</v>
      </c>
      <c r="W139" s="331">
        <f t="shared" si="87"/>
        <v>17.5</v>
      </c>
      <c r="X139" s="331">
        <f t="shared" si="87"/>
        <v>18.5</v>
      </c>
      <c r="Y139" s="331">
        <f t="shared" si="87"/>
        <v>19.5</v>
      </c>
      <c r="Z139" s="331">
        <f t="shared" si="87"/>
        <v>20.5</v>
      </c>
      <c r="AA139" s="331">
        <f t="shared" si="87"/>
        <v>21.5</v>
      </c>
      <c r="AB139" s="331">
        <f t="shared" si="87"/>
        <v>22.5</v>
      </c>
      <c r="AC139" s="331">
        <f t="shared" si="87"/>
        <v>23.5</v>
      </c>
      <c r="AD139" s="331">
        <f t="shared" si="87"/>
        <v>24.5</v>
      </c>
      <c r="AE139" s="331">
        <f t="shared" si="87"/>
        <v>25.5</v>
      </c>
      <c r="AF139" s="331">
        <f t="shared" si="87"/>
        <v>26.5</v>
      </c>
      <c r="AG139" s="331">
        <f t="shared" si="87"/>
        <v>27.5</v>
      </c>
      <c r="AH139" s="331">
        <f t="shared" si="87"/>
        <v>28.5</v>
      </c>
      <c r="AI139" s="331">
        <f t="shared" si="87"/>
        <v>29.5</v>
      </c>
      <c r="AJ139" s="331">
        <f t="shared" si="87"/>
        <v>30.5</v>
      </c>
      <c r="AK139" s="331">
        <f t="shared" si="87"/>
        <v>31.5</v>
      </c>
      <c r="AL139" s="331">
        <f t="shared" si="87"/>
        <v>32.5</v>
      </c>
      <c r="AM139" s="331">
        <f t="shared" si="87"/>
        <v>33.5</v>
      </c>
      <c r="AN139" s="331">
        <f t="shared" si="87"/>
        <v>34.5</v>
      </c>
      <c r="AO139" s="331">
        <f t="shared" si="87"/>
        <v>35.5</v>
      </c>
      <c r="AP139" s="331">
        <f>AVERAGE(AO138:AP138)</f>
        <v>36.5</v>
      </c>
      <c r="AQ139" s="331">
        <f t="shared" ref="AQ139:AY139" si="88">AVERAGE(AP138:AQ138)</f>
        <v>37.5</v>
      </c>
      <c r="AR139" s="331">
        <f t="shared" si="88"/>
        <v>38.5</v>
      </c>
      <c r="AS139" s="331">
        <f t="shared" si="88"/>
        <v>39.5</v>
      </c>
      <c r="AT139" s="331">
        <f t="shared" si="88"/>
        <v>40.5</v>
      </c>
      <c r="AU139" s="331">
        <f t="shared" si="88"/>
        <v>41.5</v>
      </c>
      <c r="AV139" s="331">
        <f t="shared" si="88"/>
        <v>42.5</v>
      </c>
      <c r="AW139" s="331">
        <f t="shared" si="88"/>
        <v>43.5</v>
      </c>
      <c r="AX139" s="331">
        <f t="shared" si="88"/>
        <v>44.5</v>
      </c>
      <c r="AY139" s="331">
        <f t="shared" si="88"/>
        <v>45.5</v>
      </c>
    </row>
    <row r="140" spans="1:51" s="285" customFormat="1" ht="12.75" x14ac:dyDescent="0.2">
      <c r="A140" s="303"/>
      <c r="AQ140" s="281"/>
    </row>
    <row r="141" spans="1:51" s="285" customFormat="1" ht="12.75" x14ac:dyDescent="0.2">
      <c r="A141" s="303"/>
    </row>
    <row r="142" spans="1:51" s="285" customFormat="1" ht="12.75" customHeight="1" x14ac:dyDescent="0.2">
      <c r="A142" s="383" t="s">
        <v>612</v>
      </c>
      <c r="B142" s="383"/>
      <c r="C142" s="383"/>
      <c r="D142" s="383"/>
      <c r="E142" s="383"/>
      <c r="F142" s="383"/>
      <c r="G142" s="383"/>
      <c r="H142" s="383"/>
    </row>
    <row r="143" spans="1:51" s="285" customFormat="1" ht="15.75" x14ac:dyDescent="0.2">
      <c r="A143" s="333">
        <v>2022</v>
      </c>
      <c r="B143" s="333">
        <v>2023</v>
      </c>
      <c r="C143" s="333">
        <v>2024</v>
      </c>
      <c r="D143" s="333">
        <v>2025</v>
      </c>
      <c r="E143" s="333">
        <v>2026</v>
      </c>
      <c r="F143" s="333">
        <v>2027</v>
      </c>
      <c r="G143" s="333">
        <v>2028</v>
      </c>
      <c r="H143" s="333">
        <v>2029</v>
      </c>
    </row>
    <row r="144" spans="1:51" s="285" customFormat="1" x14ac:dyDescent="0.2">
      <c r="A144" s="334">
        <v>114.63142733059399</v>
      </c>
      <c r="B144" s="334">
        <v>106.968874824043</v>
      </c>
      <c r="C144" s="334">
        <v>105.27260918901</v>
      </c>
      <c r="D144" s="334">
        <v>104.761984318213</v>
      </c>
      <c r="E144" s="334">
        <v>104.57995653007001</v>
      </c>
      <c r="F144" s="334">
        <v>104.57995653007001</v>
      </c>
      <c r="G144" s="334">
        <v>104.57995653006968</v>
      </c>
      <c r="H144" s="334">
        <v>104.57995653006968</v>
      </c>
    </row>
    <row r="145" spans="1:71" s="285" customFormat="1" ht="12.75" x14ac:dyDescent="0.2">
      <c r="A145" s="303"/>
    </row>
    <row r="146" spans="1:71" s="285" customFormat="1" ht="12.75" x14ac:dyDescent="0.2">
      <c r="A146" s="303"/>
    </row>
    <row r="147" spans="1:71" s="285" customFormat="1" ht="12.75" x14ac:dyDescent="0.2">
      <c r="A147" s="303"/>
    </row>
    <row r="148" spans="1:71" s="285" customFormat="1" ht="12.75" x14ac:dyDescent="0.2">
      <c r="A148" s="303"/>
    </row>
    <row r="149" spans="1:71" s="285" customFormat="1" ht="12.75" x14ac:dyDescent="0.2">
      <c r="A149" s="303"/>
    </row>
    <row r="150" spans="1:71" s="285" customFormat="1" ht="12.75" x14ac:dyDescent="0.2">
      <c r="A150" s="303"/>
    </row>
    <row r="151" spans="1:71" s="285" customFormat="1" ht="12.75" x14ac:dyDescent="0.2">
      <c r="A151" s="303"/>
    </row>
    <row r="152" spans="1:71" s="285" customFormat="1" ht="12.75" x14ac:dyDescent="0.2">
      <c r="A152" s="303"/>
    </row>
    <row r="153" spans="1:71" s="285" customFormat="1" ht="12.75" x14ac:dyDescent="0.2">
      <c r="A153" s="303"/>
    </row>
    <row r="154" spans="1:71" s="285" customFormat="1" ht="12.75" x14ac:dyDescent="0.2">
      <c r="A154" s="123"/>
      <c r="B154" s="122"/>
      <c r="C154" s="122"/>
      <c r="D154" s="122"/>
      <c r="E154" s="122"/>
      <c r="F154" s="122"/>
      <c r="G154" s="122"/>
      <c r="H154" s="122"/>
      <c r="I154" s="122"/>
      <c r="J154" s="122"/>
      <c r="K154" s="122"/>
      <c r="L154" s="122"/>
      <c r="M154" s="122"/>
      <c r="N154" s="122"/>
      <c r="O154" s="122"/>
      <c r="P154" s="122"/>
      <c r="Q154" s="122"/>
      <c r="R154" s="122"/>
      <c r="S154" s="122"/>
      <c r="T154" s="122"/>
      <c r="U154" s="122"/>
      <c r="V154" s="122"/>
      <c r="W154" s="122"/>
      <c r="X154" s="122"/>
      <c r="Y154" s="122"/>
      <c r="Z154" s="122"/>
      <c r="AA154" s="122"/>
      <c r="AB154" s="122"/>
      <c r="AC154" s="122"/>
      <c r="AD154" s="122"/>
      <c r="AE154" s="122"/>
      <c r="AF154" s="122"/>
      <c r="AG154" s="122"/>
      <c r="AH154" s="122"/>
      <c r="AI154" s="122"/>
      <c r="AJ154" s="122"/>
      <c r="AK154" s="122"/>
      <c r="AL154" s="122"/>
      <c r="AM154" s="122"/>
      <c r="AN154" s="122"/>
      <c r="AO154" s="122"/>
      <c r="AP154" s="122"/>
      <c r="AQ154" s="281"/>
      <c r="AR154" s="281"/>
      <c r="AS154" s="281"/>
      <c r="AT154" s="122"/>
      <c r="AU154" s="122"/>
      <c r="AV154" s="122"/>
      <c r="AW154" s="122"/>
      <c r="AX154" s="122"/>
      <c r="AY154" s="122"/>
      <c r="AZ154" s="122"/>
      <c r="BA154" s="122"/>
      <c r="BB154" s="122"/>
      <c r="BC154" s="122"/>
      <c r="BD154" s="122"/>
      <c r="BE154" s="122"/>
      <c r="BF154" s="122"/>
      <c r="BG154" s="122"/>
      <c r="BH154" s="122"/>
      <c r="BI154" s="122"/>
      <c r="BJ154" s="122"/>
      <c r="BK154" s="122"/>
      <c r="BL154" s="122"/>
      <c r="BM154" s="122"/>
      <c r="BN154" s="122"/>
      <c r="BO154" s="122"/>
      <c r="BP154" s="122"/>
      <c r="BQ154" s="122"/>
      <c r="BR154" s="122"/>
      <c r="BS154" s="122"/>
    </row>
    <row r="155" spans="1:71" s="285" customFormat="1" ht="12.75" x14ac:dyDescent="0.2">
      <c r="A155" s="123"/>
      <c r="B155" s="122"/>
      <c r="C155" s="122"/>
      <c r="D155" s="122"/>
      <c r="E155" s="122"/>
      <c r="F155" s="122"/>
      <c r="G155" s="122"/>
      <c r="H155" s="122"/>
      <c r="I155" s="122"/>
      <c r="J155" s="122"/>
      <c r="K155" s="122"/>
      <c r="L155" s="122"/>
      <c r="M155" s="122"/>
      <c r="N155" s="122"/>
      <c r="O155" s="122"/>
      <c r="P155" s="122"/>
      <c r="Q155" s="122"/>
      <c r="R155" s="122"/>
      <c r="S155" s="122"/>
      <c r="T155" s="122"/>
      <c r="U155" s="122"/>
      <c r="V155" s="122"/>
      <c r="W155" s="122"/>
      <c r="X155" s="122"/>
      <c r="Y155" s="122"/>
      <c r="Z155" s="122"/>
      <c r="AA155" s="122"/>
      <c r="AB155" s="122"/>
      <c r="AC155" s="122"/>
      <c r="AD155" s="122"/>
      <c r="AE155" s="122"/>
      <c r="AF155" s="122"/>
      <c r="AG155" s="122"/>
      <c r="AH155" s="122"/>
      <c r="AI155" s="122"/>
      <c r="AJ155" s="122"/>
      <c r="AK155" s="122"/>
      <c r="AL155" s="122"/>
      <c r="AM155" s="122"/>
      <c r="AN155" s="122"/>
      <c r="AO155" s="122"/>
      <c r="AP155" s="122"/>
      <c r="AQ155" s="281"/>
      <c r="AR155" s="281"/>
      <c r="AS155" s="281"/>
      <c r="AT155" s="122"/>
      <c r="AU155" s="122"/>
      <c r="AV155" s="122"/>
      <c r="AW155" s="122"/>
      <c r="AX155" s="122"/>
      <c r="AY155" s="122"/>
      <c r="AZ155" s="122"/>
      <c r="BA155" s="122"/>
      <c r="BB155" s="122"/>
      <c r="BC155" s="122"/>
      <c r="BD155" s="122"/>
      <c r="BE155" s="122"/>
      <c r="BF155" s="122"/>
      <c r="BG155" s="122"/>
      <c r="BH155" s="122"/>
      <c r="BI155" s="122"/>
      <c r="BJ155" s="122"/>
      <c r="BK155" s="122"/>
      <c r="BL155" s="122"/>
      <c r="BM155" s="122"/>
      <c r="BN155" s="122"/>
      <c r="BO155" s="122"/>
      <c r="BP155" s="122"/>
      <c r="BQ155" s="122"/>
      <c r="BR155" s="122"/>
      <c r="BS155" s="122"/>
    </row>
    <row r="156" spans="1:71" s="285" customFormat="1" ht="12.75" x14ac:dyDescent="0.2">
      <c r="A156" s="123"/>
      <c r="B156" s="122"/>
      <c r="C156" s="122"/>
      <c r="D156" s="122"/>
      <c r="E156" s="122"/>
      <c r="F156" s="122"/>
      <c r="G156" s="122"/>
      <c r="H156" s="122"/>
      <c r="I156" s="122"/>
      <c r="J156" s="122"/>
      <c r="K156" s="122"/>
      <c r="L156" s="122"/>
      <c r="M156" s="122"/>
      <c r="N156" s="122"/>
      <c r="O156" s="122"/>
      <c r="P156" s="122"/>
      <c r="Q156" s="122"/>
      <c r="R156" s="122"/>
      <c r="S156" s="122"/>
      <c r="T156" s="122"/>
      <c r="U156" s="122"/>
      <c r="V156" s="122"/>
      <c r="W156" s="122"/>
      <c r="X156" s="122"/>
      <c r="Y156" s="122"/>
      <c r="Z156" s="122"/>
      <c r="AA156" s="122"/>
      <c r="AB156" s="122"/>
      <c r="AC156" s="122"/>
      <c r="AD156" s="122"/>
      <c r="AE156" s="122"/>
      <c r="AF156" s="122"/>
      <c r="AG156" s="122"/>
      <c r="AH156" s="122"/>
      <c r="AI156" s="122"/>
      <c r="AJ156" s="122"/>
      <c r="AK156" s="122"/>
      <c r="AL156" s="122"/>
      <c r="AM156" s="122"/>
      <c r="AN156" s="122"/>
      <c r="AO156" s="122"/>
      <c r="AP156" s="122"/>
      <c r="AQ156" s="281"/>
      <c r="AR156" s="281"/>
      <c r="AS156" s="281"/>
      <c r="AT156" s="122"/>
      <c r="AU156" s="122"/>
      <c r="AV156" s="122"/>
      <c r="AW156" s="122"/>
      <c r="AX156" s="122"/>
      <c r="AY156" s="122"/>
      <c r="AZ156" s="122"/>
      <c r="BA156" s="122"/>
      <c r="BB156" s="122"/>
      <c r="BC156" s="122"/>
      <c r="BD156" s="122"/>
      <c r="BE156" s="122"/>
      <c r="BF156" s="122"/>
      <c r="BG156" s="122"/>
      <c r="BH156" s="122"/>
      <c r="BI156" s="122"/>
      <c r="BJ156" s="122"/>
      <c r="BK156" s="122"/>
      <c r="BL156" s="122"/>
      <c r="BM156" s="122"/>
      <c r="BN156" s="122"/>
      <c r="BO156" s="122"/>
      <c r="BP156" s="122"/>
      <c r="BQ156" s="122"/>
      <c r="BR156" s="122"/>
      <c r="BS156" s="122"/>
    </row>
    <row r="157" spans="1:71" s="285" customFormat="1" ht="12.75" x14ac:dyDescent="0.2">
      <c r="A157" s="123"/>
      <c r="B157" s="122"/>
      <c r="C157" s="122"/>
      <c r="D157" s="122"/>
      <c r="E157" s="122"/>
      <c r="F157" s="122"/>
      <c r="G157" s="122"/>
      <c r="H157" s="122"/>
      <c r="I157" s="122"/>
      <c r="J157" s="122"/>
      <c r="K157" s="122"/>
      <c r="L157" s="122"/>
      <c r="M157" s="122"/>
      <c r="N157" s="122"/>
      <c r="O157" s="122"/>
      <c r="P157" s="122"/>
      <c r="Q157" s="122"/>
      <c r="R157" s="122"/>
      <c r="S157" s="122"/>
      <c r="T157" s="122"/>
      <c r="U157" s="122"/>
      <c r="V157" s="122"/>
      <c r="W157" s="122"/>
      <c r="X157" s="122"/>
      <c r="Y157" s="122"/>
      <c r="Z157" s="122"/>
      <c r="AA157" s="122"/>
      <c r="AB157" s="122"/>
      <c r="AC157" s="122"/>
      <c r="AD157" s="122"/>
      <c r="AE157" s="122"/>
      <c r="AF157" s="122"/>
      <c r="AG157" s="122"/>
      <c r="AH157" s="122"/>
      <c r="AI157" s="122"/>
      <c r="AJ157" s="122"/>
      <c r="AK157" s="122"/>
      <c r="AL157" s="122"/>
      <c r="AM157" s="122"/>
      <c r="AN157" s="122"/>
      <c r="AO157" s="122"/>
      <c r="AP157" s="122"/>
      <c r="AQ157" s="281"/>
      <c r="AR157" s="281"/>
      <c r="AS157" s="281"/>
      <c r="AT157" s="122"/>
      <c r="AU157" s="122"/>
      <c r="AV157" s="122"/>
      <c r="AW157" s="122"/>
      <c r="AX157" s="122"/>
      <c r="AY157" s="122"/>
      <c r="AZ157" s="122"/>
      <c r="BA157" s="122"/>
      <c r="BB157" s="122"/>
      <c r="BC157" s="122"/>
      <c r="BD157" s="122"/>
      <c r="BE157" s="122"/>
      <c r="BF157" s="122"/>
      <c r="BG157" s="122"/>
      <c r="BH157" s="122"/>
      <c r="BI157" s="122"/>
      <c r="BJ157" s="122"/>
      <c r="BK157" s="122"/>
      <c r="BL157" s="122"/>
      <c r="BM157" s="122"/>
      <c r="BN157" s="122"/>
      <c r="BO157" s="122"/>
      <c r="BP157" s="122"/>
      <c r="BQ157" s="122"/>
      <c r="BR157" s="122"/>
      <c r="BS157" s="122"/>
    </row>
    <row r="158" spans="1:71" s="285" customFormat="1" ht="12.75" x14ac:dyDescent="0.2">
      <c r="A158" s="123"/>
      <c r="B158" s="122"/>
      <c r="C158" s="122"/>
      <c r="D158" s="122"/>
      <c r="E158" s="122"/>
      <c r="F158" s="122"/>
      <c r="G158" s="122"/>
      <c r="H158" s="122"/>
      <c r="I158" s="122"/>
      <c r="J158" s="122"/>
      <c r="K158" s="122"/>
      <c r="L158" s="122"/>
      <c r="M158" s="122"/>
      <c r="N158" s="122"/>
      <c r="O158" s="122"/>
      <c r="P158" s="122"/>
      <c r="Q158" s="122"/>
      <c r="R158" s="122"/>
      <c r="S158" s="122"/>
      <c r="T158" s="122"/>
      <c r="U158" s="122"/>
      <c r="V158" s="122"/>
      <c r="W158" s="122"/>
      <c r="X158" s="122"/>
      <c r="Y158" s="122"/>
      <c r="Z158" s="122"/>
      <c r="AA158" s="122"/>
      <c r="AB158" s="122"/>
      <c r="AC158" s="122"/>
      <c r="AD158" s="122"/>
      <c r="AE158" s="122"/>
      <c r="AF158" s="122"/>
      <c r="AG158" s="122"/>
      <c r="AH158" s="122"/>
      <c r="AI158" s="122"/>
      <c r="AJ158" s="122"/>
      <c r="AK158" s="122"/>
      <c r="AL158" s="122"/>
      <c r="AM158" s="122"/>
      <c r="AN158" s="122"/>
      <c r="AO158" s="122"/>
      <c r="AP158" s="122"/>
      <c r="AQ158" s="281"/>
      <c r="AR158" s="281"/>
      <c r="AS158" s="281"/>
      <c r="AT158" s="122"/>
      <c r="AU158" s="122"/>
      <c r="AV158" s="122"/>
      <c r="AW158" s="122"/>
      <c r="AX158" s="122"/>
      <c r="AY158" s="122"/>
      <c r="AZ158" s="122"/>
      <c r="BA158" s="122"/>
      <c r="BB158" s="122"/>
      <c r="BC158" s="122"/>
      <c r="BD158" s="122"/>
      <c r="BE158" s="122"/>
      <c r="BF158" s="122"/>
      <c r="BG158" s="122"/>
      <c r="BH158" s="122"/>
      <c r="BI158" s="122"/>
      <c r="BJ158" s="122"/>
      <c r="BK158" s="122"/>
      <c r="BL158" s="122"/>
      <c r="BM158" s="122"/>
      <c r="BN158" s="122"/>
      <c r="BO158" s="122"/>
      <c r="BP158" s="122"/>
      <c r="BQ158" s="122"/>
      <c r="BR158" s="122"/>
      <c r="BS158" s="122"/>
    </row>
    <row r="159" spans="1:71" s="285" customFormat="1" ht="12.75" x14ac:dyDescent="0.2">
      <c r="A159" s="123"/>
      <c r="B159" s="122"/>
      <c r="C159" s="122"/>
      <c r="D159" s="122"/>
      <c r="E159" s="122"/>
      <c r="F159" s="122"/>
      <c r="G159" s="122"/>
      <c r="H159" s="122"/>
      <c r="I159" s="122"/>
      <c r="J159" s="122"/>
      <c r="K159" s="122"/>
      <c r="L159" s="122"/>
      <c r="M159" s="122"/>
      <c r="N159" s="122"/>
      <c r="O159" s="122"/>
      <c r="P159" s="122"/>
      <c r="Q159" s="122"/>
      <c r="R159" s="122"/>
      <c r="S159" s="122"/>
      <c r="T159" s="122"/>
      <c r="U159" s="122"/>
      <c r="V159" s="122"/>
      <c r="W159" s="122"/>
      <c r="X159" s="122"/>
      <c r="Y159" s="122"/>
      <c r="Z159" s="122"/>
      <c r="AA159" s="122"/>
      <c r="AB159" s="122"/>
      <c r="AC159" s="122"/>
      <c r="AD159" s="122"/>
      <c r="AE159" s="122"/>
      <c r="AF159" s="122"/>
      <c r="AG159" s="122"/>
      <c r="AH159" s="122"/>
      <c r="AI159" s="122"/>
      <c r="AJ159" s="122"/>
      <c r="AK159" s="122"/>
      <c r="AL159" s="122"/>
      <c r="AM159" s="122"/>
      <c r="AN159" s="122"/>
      <c r="AO159" s="122"/>
      <c r="AP159" s="122"/>
      <c r="AQ159" s="281"/>
      <c r="AR159" s="281"/>
      <c r="AS159" s="281"/>
      <c r="AT159" s="122"/>
      <c r="AU159" s="122"/>
      <c r="AV159" s="122"/>
      <c r="AW159" s="122"/>
      <c r="AX159" s="122"/>
      <c r="AY159" s="122"/>
      <c r="AZ159" s="122"/>
      <c r="BA159" s="122"/>
      <c r="BB159" s="122"/>
      <c r="BC159" s="122"/>
      <c r="BD159" s="122"/>
      <c r="BE159" s="122"/>
      <c r="BF159" s="122"/>
      <c r="BG159" s="122"/>
      <c r="BH159" s="122"/>
      <c r="BI159" s="122"/>
      <c r="BJ159" s="122"/>
      <c r="BK159" s="122"/>
      <c r="BL159" s="122"/>
      <c r="BM159" s="122"/>
      <c r="BN159" s="122"/>
      <c r="BO159" s="122"/>
      <c r="BP159" s="122"/>
      <c r="BQ159" s="122"/>
      <c r="BR159" s="122"/>
      <c r="BS159" s="122"/>
    </row>
    <row r="160" spans="1:71" s="285" customFormat="1" ht="12.75" x14ac:dyDescent="0.2">
      <c r="A160" s="123"/>
      <c r="B160" s="122"/>
      <c r="C160" s="122"/>
      <c r="D160" s="122"/>
      <c r="E160" s="122"/>
      <c r="F160" s="122"/>
      <c r="G160" s="122"/>
      <c r="H160" s="122"/>
      <c r="I160" s="122"/>
      <c r="J160" s="122"/>
      <c r="K160" s="122"/>
      <c r="L160" s="122"/>
      <c r="M160" s="122"/>
      <c r="N160" s="122"/>
      <c r="O160" s="122"/>
      <c r="P160" s="122"/>
      <c r="Q160" s="122"/>
      <c r="R160" s="122"/>
      <c r="S160" s="122"/>
      <c r="T160" s="122"/>
      <c r="U160" s="122"/>
      <c r="V160" s="122"/>
      <c r="W160" s="122"/>
      <c r="X160" s="122"/>
      <c r="Y160" s="122"/>
      <c r="Z160" s="122"/>
      <c r="AA160" s="122"/>
      <c r="AB160" s="122"/>
      <c r="AC160" s="122"/>
      <c r="AD160" s="122"/>
      <c r="AE160" s="122"/>
      <c r="AF160" s="122"/>
      <c r="AG160" s="122"/>
      <c r="AH160" s="122"/>
      <c r="AI160" s="122"/>
      <c r="AJ160" s="122"/>
      <c r="AK160" s="122"/>
      <c r="AL160" s="122"/>
      <c r="AM160" s="122"/>
      <c r="AN160" s="122"/>
      <c r="AO160" s="122"/>
      <c r="AP160" s="122"/>
      <c r="AQ160" s="281"/>
      <c r="AR160" s="281"/>
      <c r="AS160" s="281"/>
      <c r="AT160" s="122"/>
      <c r="AU160" s="122"/>
      <c r="AV160" s="122"/>
      <c r="AW160" s="122"/>
      <c r="AX160" s="122"/>
      <c r="AY160" s="122"/>
      <c r="AZ160" s="122"/>
      <c r="BA160" s="122"/>
      <c r="BB160" s="122"/>
      <c r="BC160" s="122"/>
      <c r="BD160" s="122"/>
      <c r="BE160" s="122"/>
      <c r="BF160" s="122"/>
      <c r="BG160" s="122"/>
      <c r="BH160" s="122"/>
      <c r="BI160" s="122"/>
      <c r="BJ160" s="122"/>
      <c r="BK160" s="122"/>
      <c r="BL160" s="122"/>
      <c r="BM160" s="122"/>
      <c r="BN160" s="122"/>
      <c r="BO160" s="122"/>
      <c r="BP160" s="122"/>
      <c r="BQ160" s="122"/>
      <c r="BR160" s="122"/>
      <c r="BS160" s="122"/>
    </row>
    <row r="161" spans="1:71" s="285" customFormat="1" ht="12.75" x14ac:dyDescent="0.2">
      <c r="A161" s="123"/>
      <c r="B161" s="122"/>
      <c r="C161" s="122"/>
      <c r="D161" s="122"/>
      <c r="E161" s="122"/>
      <c r="F161" s="122"/>
      <c r="G161" s="122"/>
      <c r="H161" s="122"/>
      <c r="I161" s="122"/>
      <c r="J161" s="122"/>
      <c r="K161" s="122"/>
      <c r="L161" s="122"/>
      <c r="M161" s="122"/>
      <c r="N161" s="122"/>
      <c r="O161" s="122"/>
      <c r="P161" s="122"/>
      <c r="Q161" s="122"/>
      <c r="R161" s="122"/>
      <c r="S161" s="122"/>
      <c r="T161" s="122"/>
      <c r="U161" s="122"/>
      <c r="V161" s="122"/>
      <c r="W161" s="122"/>
      <c r="X161" s="122"/>
      <c r="Y161" s="122"/>
      <c r="Z161" s="122"/>
      <c r="AA161" s="122"/>
      <c r="AB161" s="122"/>
      <c r="AC161" s="122"/>
      <c r="AD161" s="122"/>
      <c r="AE161" s="122"/>
      <c r="AF161" s="122"/>
      <c r="AG161" s="122"/>
      <c r="AH161" s="122"/>
      <c r="AI161" s="122"/>
      <c r="AJ161" s="122"/>
      <c r="AK161" s="122"/>
      <c r="AL161" s="122"/>
      <c r="AM161" s="122"/>
      <c r="AN161" s="122"/>
      <c r="AO161" s="122"/>
      <c r="AP161" s="122"/>
      <c r="AQ161" s="281"/>
      <c r="AR161" s="281"/>
      <c r="AS161" s="281"/>
      <c r="AT161" s="122"/>
      <c r="AU161" s="122"/>
      <c r="AV161" s="122"/>
      <c r="AW161" s="122"/>
      <c r="AX161" s="122"/>
      <c r="AY161" s="122"/>
      <c r="AZ161" s="122"/>
      <c r="BA161" s="122"/>
      <c r="BB161" s="122"/>
      <c r="BC161" s="122"/>
      <c r="BD161" s="122"/>
      <c r="BE161" s="122"/>
      <c r="BF161" s="122"/>
      <c r="BG161" s="122"/>
      <c r="BH161" s="122"/>
      <c r="BI161" s="122"/>
      <c r="BJ161" s="122"/>
      <c r="BK161" s="122"/>
      <c r="BL161" s="122"/>
      <c r="BM161" s="122"/>
      <c r="BN161" s="122"/>
      <c r="BO161" s="122"/>
      <c r="BP161" s="122"/>
      <c r="BQ161" s="122"/>
      <c r="BR161" s="122"/>
      <c r="BS161" s="122"/>
    </row>
    <row r="162" spans="1:71" s="285" customFormat="1" ht="12.75" x14ac:dyDescent="0.2">
      <c r="A162" s="123"/>
      <c r="B162" s="122"/>
      <c r="C162" s="122"/>
      <c r="D162" s="122"/>
      <c r="E162" s="122"/>
      <c r="F162" s="122"/>
      <c r="G162" s="122"/>
      <c r="H162" s="122"/>
      <c r="I162" s="122"/>
      <c r="J162" s="122"/>
      <c r="K162" s="122"/>
      <c r="L162" s="122"/>
      <c r="M162" s="122"/>
      <c r="N162" s="122"/>
      <c r="O162" s="122"/>
      <c r="P162" s="122"/>
      <c r="Q162" s="122"/>
      <c r="R162" s="122"/>
      <c r="S162" s="122"/>
      <c r="T162" s="122"/>
      <c r="U162" s="122"/>
      <c r="V162" s="122"/>
      <c r="W162" s="122"/>
      <c r="X162" s="122"/>
      <c r="Y162" s="122"/>
      <c r="Z162" s="122"/>
      <c r="AA162" s="122"/>
      <c r="AB162" s="122"/>
      <c r="AC162" s="122"/>
      <c r="AD162" s="122"/>
      <c r="AE162" s="122"/>
      <c r="AF162" s="122"/>
      <c r="AG162" s="122"/>
      <c r="AH162" s="122"/>
      <c r="AI162" s="122"/>
      <c r="AJ162" s="122"/>
      <c r="AK162" s="122"/>
      <c r="AL162" s="122"/>
      <c r="AM162" s="122"/>
      <c r="AN162" s="122"/>
      <c r="AO162" s="122"/>
      <c r="AP162" s="122"/>
      <c r="AQ162" s="281"/>
      <c r="AR162" s="281"/>
      <c r="AS162" s="281"/>
      <c r="AT162" s="122"/>
      <c r="AU162" s="122"/>
      <c r="AV162" s="122"/>
      <c r="AW162" s="122"/>
      <c r="AX162" s="122"/>
      <c r="AY162" s="122"/>
      <c r="AZ162" s="122"/>
      <c r="BA162" s="122"/>
      <c r="BB162" s="122"/>
      <c r="BC162" s="122"/>
      <c r="BD162" s="122"/>
      <c r="BE162" s="122"/>
      <c r="BF162" s="122"/>
      <c r="BG162" s="122"/>
      <c r="BH162" s="122"/>
      <c r="BI162" s="122"/>
      <c r="BJ162" s="122"/>
      <c r="BK162" s="122"/>
      <c r="BL162" s="122"/>
      <c r="BM162" s="122"/>
      <c r="BN162" s="122"/>
      <c r="BO162" s="122"/>
      <c r="BP162" s="122"/>
      <c r="BQ162" s="122"/>
      <c r="BR162" s="122"/>
      <c r="BS162" s="122"/>
    </row>
    <row r="163" spans="1:71" s="285" customFormat="1" ht="12.75" x14ac:dyDescent="0.2">
      <c r="A163" s="123"/>
      <c r="B163" s="122"/>
      <c r="C163" s="122"/>
      <c r="D163" s="122"/>
      <c r="E163" s="122"/>
      <c r="F163" s="122"/>
      <c r="G163" s="122"/>
      <c r="H163" s="122"/>
      <c r="I163" s="122"/>
      <c r="J163" s="122"/>
      <c r="K163" s="122"/>
      <c r="L163" s="122"/>
      <c r="M163" s="122"/>
      <c r="N163" s="122"/>
      <c r="O163" s="122"/>
      <c r="P163" s="122"/>
      <c r="Q163" s="122"/>
      <c r="R163" s="122"/>
      <c r="S163" s="122"/>
      <c r="T163" s="122"/>
      <c r="U163" s="122"/>
      <c r="V163" s="122"/>
      <c r="W163" s="122"/>
      <c r="X163" s="122"/>
      <c r="Y163" s="122"/>
      <c r="Z163" s="122"/>
      <c r="AA163" s="122"/>
      <c r="AB163" s="122"/>
      <c r="AC163" s="122"/>
      <c r="AD163" s="122"/>
      <c r="AE163" s="122"/>
      <c r="AF163" s="122"/>
      <c r="AG163" s="122"/>
      <c r="AH163" s="122"/>
      <c r="AI163" s="122"/>
      <c r="AJ163" s="122"/>
      <c r="AK163" s="122"/>
      <c r="AL163" s="122"/>
      <c r="AM163" s="122"/>
      <c r="AN163" s="122"/>
      <c r="AO163" s="122"/>
      <c r="AP163" s="122"/>
      <c r="AQ163" s="281"/>
      <c r="AR163" s="281"/>
      <c r="AS163" s="281"/>
      <c r="AT163" s="122"/>
      <c r="AU163" s="122"/>
      <c r="AV163" s="122"/>
      <c r="AW163" s="122"/>
      <c r="AX163" s="122"/>
      <c r="AY163" s="122"/>
      <c r="AZ163" s="122"/>
      <c r="BA163" s="122"/>
      <c r="BB163" s="122"/>
      <c r="BC163" s="122"/>
      <c r="BD163" s="122"/>
      <c r="BE163" s="122"/>
      <c r="BF163" s="122"/>
      <c r="BG163" s="122"/>
      <c r="BH163" s="122"/>
      <c r="BI163" s="122"/>
      <c r="BJ163" s="122"/>
      <c r="BK163" s="122"/>
      <c r="BL163" s="122"/>
      <c r="BM163" s="122"/>
      <c r="BN163" s="122"/>
      <c r="BO163" s="122"/>
      <c r="BP163" s="122"/>
      <c r="BQ163" s="122"/>
      <c r="BR163" s="122"/>
      <c r="BS163" s="122"/>
    </row>
    <row r="164" spans="1:71" s="285" customFormat="1" ht="12.75" x14ac:dyDescent="0.2">
      <c r="A164" s="123"/>
      <c r="B164" s="122"/>
      <c r="C164" s="122"/>
      <c r="D164" s="122"/>
      <c r="E164" s="122"/>
      <c r="F164" s="122"/>
      <c r="G164" s="122"/>
      <c r="H164" s="122"/>
      <c r="I164" s="122"/>
      <c r="J164" s="122"/>
      <c r="K164" s="122"/>
      <c r="L164" s="122"/>
      <c r="M164" s="122"/>
      <c r="N164" s="122"/>
      <c r="O164" s="122"/>
      <c r="P164" s="122"/>
      <c r="Q164" s="122"/>
      <c r="R164" s="122"/>
      <c r="S164" s="122"/>
      <c r="T164" s="122"/>
      <c r="U164" s="122"/>
      <c r="V164" s="122"/>
      <c r="W164" s="122"/>
      <c r="X164" s="122"/>
      <c r="Y164" s="122"/>
      <c r="Z164" s="122"/>
      <c r="AA164" s="122"/>
      <c r="AB164" s="122"/>
      <c r="AC164" s="122"/>
      <c r="AD164" s="122"/>
      <c r="AE164" s="122"/>
      <c r="AF164" s="122"/>
      <c r="AG164" s="122"/>
      <c r="AH164" s="122"/>
      <c r="AI164" s="122"/>
      <c r="AJ164" s="122"/>
      <c r="AK164" s="122"/>
      <c r="AL164" s="122"/>
      <c r="AM164" s="122"/>
      <c r="AN164" s="122"/>
      <c r="AO164" s="122"/>
      <c r="AP164" s="122"/>
      <c r="AQ164" s="281"/>
      <c r="AR164" s="281"/>
      <c r="AS164" s="281"/>
      <c r="AT164" s="122"/>
      <c r="AU164" s="122"/>
      <c r="AV164" s="122"/>
      <c r="AW164" s="122"/>
      <c r="AX164" s="122"/>
      <c r="AY164" s="122"/>
      <c r="AZ164" s="122"/>
      <c r="BA164" s="122"/>
      <c r="BB164" s="122"/>
      <c r="BC164" s="122"/>
      <c r="BD164" s="122"/>
      <c r="BE164" s="122"/>
      <c r="BF164" s="122"/>
      <c r="BG164" s="122"/>
      <c r="BH164" s="122"/>
      <c r="BI164" s="122"/>
      <c r="BJ164" s="122"/>
      <c r="BK164" s="122"/>
      <c r="BL164" s="122"/>
      <c r="BM164" s="122"/>
      <c r="BN164" s="122"/>
      <c r="BO164" s="122"/>
      <c r="BP164" s="122"/>
      <c r="BQ164" s="122"/>
      <c r="BR164" s="122"/>
      <c r="BS164" s="122"/>
    </row>
    <row r="165" spans="1:71" s="285" customFormat="1" ht="12.75" x14ac:dyDescent="0.2">
      <c r="A165" s="123"/>
      <c r="B165" s="122"/>
      <c r="C165" s="122"/>
      <c r="D165" s="122"/>
      <c r="E165" s="122"/>
      <c r="F165" s="122"/>
      <c r="G165" s="122"/>
      <c r="H165" s="122"/>
      <c r="I165" s="122"/>
      <c r="J165" s="122"/>
      <c r="K165" s="122"/>
      <c r="L165" s="122"/>
      <c r="M165" s="122"/>
      <c r="N165" s="122"/>
      <c r="O165" s="122"/>
      <c r="P165" s="122"/>
      <c r="Q165" s="122"/>
      <c r="R165" s="122"/>
      <c r="S165" s="122"/>
      <c r="T165" s="122"/>
      <c r="U165" s="122"/>
      <c r="V165" s="122"/>
      <c r="W165" s="122"/>
      <c r="X165" s="122"/>
      <c r="Y165" s="122"/>
      <c r="Z165" s="122"/>
      <c r="AA165" s="122"/>
      <c r="AB165" s="122"/>
      <c r="AC165" s="122"/>
      <c r="AD165" s="122"/>
      <c r="AE165" s="122"/>
      <c r="AF165" s="122"/>
      <c r="AG165" s="122"/>
      <c r="AH165" s="122"/>
      <c r="AI165" s="122"/>
      <c r="AJ165" s="122"/>
      <c r="AK165" s="122"/>
      <c r="AL165" s="122"/>
      <c r="AM165" s="122"/>
      <c r="AN165" s="122"/>
      <c r="AO165" s="122"/>
      <c r="AP165" s="122"/>
      <c r="AQ165" s="281"/>
      <c r="AR165" s="281"/>
      <c r="AS165" s="281"/>
      <c r="AT165" s="122"/>
      <c r="AU165" s="122"/>
      <c r="AV165" s="122"/>
      <c r="AW165" s="122"/>
      <c r="AX165" s="122"/>
      <c r="AY165" s="122"/>
      <c r="AZ165" s="122"/>
      <c r="BA165" s="122"/>
      <c r="BB165" s="122"/>
      <c r="BC165" s="122"/>
      <c r="BD165" s="122"/>
      <c r="BE165" s="122"/>
      <c r="BF165" s="122"/>
      <c r="BG165" s="122"/>
      <c r="BH165" s="122"/>
      <c r="BI165" s="122"/>
      <c r="BJ165" s="122"/>
      <c r="BK165" s="122"/>
      <c r="BL165" s="122"/>
      <c r="BM165" s="122"/>
      <c r="BN165" s="122"/>
      <c r="BO165" s="122"/>
      <c r="BP165" s="122"/>
      <c r="BQ165" s="122"/>
      <c r="BR165" s="122"/>
      <c r="BS165" s="122"/>
    </row>
    <row r="166" spans="1:71" s="285" customFormat="1" ht="12.75" x14ac:dyDescent="0.2">
      <c r="A166" s="123"/>
      <c r="B166" s="122"/>
      <c r="C166" s="122"/>
      <c r="D166" s="122"/>
      <c r="E166" s="122"/>
      <c r="F166" s="122"/>
      <c r="G166" s="122"/>
      <c r="H166" s="122"/>
      <c r="I166" s="122"/>
      <c r="J166" s="122"/>
      <c r="K166" s="122"/>
      <c r="L166" s="122"/>
      <c r="M166" s="122"/>
      <c r="N166" s="122"/>
      <c r="O166" s="122"/>
      <c r="P166" s="122"/>
      <c r="Q166" s="122"/>
      <c r="R166" s="122"/>
      <c r="S166" s="122"/>
      <c r="T166" s="122"/>
      <c r="U166" s="122"/>
      <c r="V166" s="122"/>
      <c r="W166" s="122"/>
      <c r="X166" s="122"/>
      <c r="Y166" s="122"/>
      <c r="Z166" s="122"/>
      <c r="AA166" s="122"/>
      <c r="AB166" s="122"/>
      <c r="AC166" s="122"/>
      <c r="AD166" s="122"/>
      <c r="AE166" s="122"/>
      <c r="AF166" s="122"/>
      <c r="AG166" s="122"/>
      <c r="AH166" s="122"/>
      <c r="AI166" s="122"/>
      <c r="AJ166" s="122"/>
      <c r="AK166" s="122"/>
      <c r="AL166" s="122"/>
      <c r="AM166" s="122"/>
      <c r="AN166" s="122"/>
      <c r="AO166" s="122"/>
      <c r="AP166" s="122"/>
      <c r="AQ166" s="281"/>
      <c r="AR166" s="281"/>
      <c r="AS166" s="281"/>
      <c r="AT166" s="122"/>
      <c r="AU166" s="122"/>
      <c r="AV166" s="122"/>
      <c r="AW166" s="122"/>
      <c r="AX166" s="122"/>
      <c r="AY166" s="122"/>
      <c r="AZ166" s="122"/>
      <c r="BA166" s="122"/>
      <c r="BB166" s="122"/>
      <c r="BC166" s="122"/>
      <c r="BD166" s="122"/>
      <c r="BE166" s="122"/>
      <c r="BF166" s="122"/>
      <c r="BG166" s="122"/>
      <c r="BH166" s="122"/>
      <c r="BI166" s="122"/>
      <c r="BJ166" s="122"/>
      <c r="BK166" s="122"/>
      <c r="BL166" s="122"/>
      <c r="BM166" s="122"/>
      <c r="BN166" s="122"/>
      <c r="BO166" s="122"/>
      <c r="BP166" s="122"/>
      <c r="BQ166" s="122"/>
      <c r="BR166" s="122"/>
      <c r="BS166" s="122"/>
    </row>
    <row r="167" spans="1:71" s="285" customFormat="1" ht="12.75" x14ac:dyDescent="0.2">
      <c r="A167" s="123"/>
      <c r="B167" s="122"/>
      <c r="C167" s="122"/>
      <c r="D167" s="122"/>
      <c r="E167" s="122"/>
      <c r="F167" s="122"/>
      <c r="G167" s="122"/>
      <c r="H167" s="122"/>
      <c r="I167" s="122"/>
      <c r="J167" s="122"/>
      <c r="K167" s="122"/>
      <c r="L167" s="122"/>
      <c r="M167" s="122"/>
      <c r="N167" s="122"/>
      <c r="O167" s="122"/>
      <c r="P167" s="122"/>
      <c r="Q167" s="122"/>
      <c r="R167" s="122"/>
      <c r="S167" s="122"/>
      <c r="T167" s="122"/>
      <c r="U167" s="122"/>
      <c r="V167" s="122"/>
      <c r="W167" s="122"/>
      <c r="X167" s="122"/>
      <c r="Y167" s="122"/>
      <c r="Z167" s="122"/>
      <c r="AA167" s="122"/>
      <c r="AB167" s="122"/>
      <c r="AC167" s="122"/>
      <c r="AD167" s="122"/>
      <c r="AE167" s="122"/>
      <c r="AF167" s="122"/>
      <c r="AG167" s="122"/>
      <c r="AH167" s="122"/>
      <c r="AI167" s="122"/>
      <c r="AJ167" s="122"/>
      <c r="AK167" s="122"/>
      <c r="AL167" s="122"/>
      <c r="AM167" s="122"/>
      <c r="AN167" s="122"/>
      <c r="AO167" s="122"/>
      <c r="AP167" s="122"/>
      <c r="AQ167" s="281"/>
      <c r="AR167" s="281"/>
      <c r="AS167" s="281"/>
      <c r="AT167" s="122"/>
      <c r="AU167" s="122"/>
      <c r="AV167" s="122"/>
      <c r="AW167" s="122"/>
      <c r="AX167" s="122"/>
      <c r="AY167" s="122"/>
      <c r="AZ167" s="122"/>
      <c r="BA167" s="122"/>
      <c r="BB167" s="122"/>
      <c r="BC167" s="122"/>
      <c r="BD167" s="122"/>
      <c r="BE167" s="122"/>
      <c r="BF167" s="122"/>
      <c r="BG167" s="122"/>
      <c r="BH167" s="122"/>
      <c r="BI167" s="122"/>
      <c r="BJ167" s="122"/>
      <c r="BK167" s="122"/>
      <c r="BL167" s="122"/>
      <c r="BM167" s="122"/>
      <c r="BN167" s="122"/>
      <c r="BO167" s="122"/>
      <c r="BP167" s="122"/>
      <c r="BQ167" s="122"/>
      <c r="BR167" s="122"/>
      <c r="BS167" s="122"/>
    </row>
    <row r="168" spans="1:71" s="285" customFormat="1" ht="12.75" x14ac:dyDescent="0.2">
      <c r="A168" s="123"/>
      <c r="B168" s="122"/>
      <c r="C168" s="122"/>
      <c r="D168" s="122"/>
      <c r="E168" s="122"/>
      <c r="F168" s="122"/>
      <c r="G168" s="122"/>
      <c r="H168" s="122"/>
      <c r="I168" s="122"/>
      <c r="J168" s="122"/>
      <c r="K168" s="122"/>
      <c r="L168" s="122"/>
      <c r="M168" s="122"/>
      <c r="N168" s="122"/>
      <c r="O168" s="122"/>
      <c r="P168" s="122"/>
      <c r="Q168" s="122"/>
      <c r="R168" s="122"/>
      <c r="S168" s="122"/>
      <c r="T168" s="122"/>
      <c r="U168" s="122"/>
      <c r="V168" s="122"/>
      <c r="W168" s="122"/>
      <c r="X168" s="122"/>
      <c r="Y168" s="122"/>
      <c r="Z168" s="122"/>
      <c r="AA168" s="122"/>
      <c r="AB168" s="122"/>
      <c r="AC168" s="122"/>
      <c r="AD168" s="122"/>
      <c r="AE168" s="122"/>
      <c r="AF168" s="122"/>
      <c r="AG168" s="122"/>
      <c r="AH168" s="122"/>
      <c r="AI168" s="122"/>
      <c r="AJ168" s="122"/>
      <c r="AK168" s="122"/>
      <c r="AL168" s="122"/>
      <c r="AM168" s="122"/>
      <c r="AN168" s="122"/>
      <c r="AO168" s="122"/>
      <c r="AP168" s="122"/>
      <c r="AQ168" s="281"/>
      <c r="AR168" s="281"/>
      <c r="AS168" s="281"/>
      <c r="AT168" s="122"/>
      <c r="AU168" s="122"/>
      <c r="AV168" s="122"/>
      <c r="AW168" s="122"/>
      <c r="AX168" s="122"/>
      <c r="AY168" s="122"/>
      <c r="AZ168" s="122"/>
      <c r="BA168" s="122"/>
      <c r="BB168" s="122"/>
      <c r="BC168" s="122"/>
      <c r="BD168" s="122"/>
      <c r="BE168" s="122"/>
      <c r="BF168" s="122"/>
      <c r="BG168" s="122"/>
      <c r="BH168" s="122"/>
      <c r="BI168" s="122"/>
      <c r="BJ168" s="122"/>
      <c r="BK168" s="122"/>
      <c r="BL168" s="122"/>
      <c r="BM168" s="122"/>
      <c r="BN168" s="122"/>
      <c r="BO168" s="122"/>
      <c r="BP168" s="122"/>
      <c r="BQ168" s="122"/>
      <c r="BR168" s="122"/>
      <c r="BS168" s="122"/>
    </row>
    <row r="169" spans="1:71" s="285" customFormat="1" ht="12.75" x14ac:dyDescent="0.2">
      <c r="A169" s="123"/>
      <c r="B169" s="122"/>
      <c r="C169" s="122"/>
      <c r="D169" s="122"/>
      <c r="E169" s="122"/>
      <c r="F169" s="122"/>
      <c r="G169" s="122"/>
      <c r="H169" s="122"/>
      <c r="I169" s="122"/>
      <c r="J169" s="122"/>
      <c r="K169" s="122"/>
      <c r="L169" s="122"/>
      <c r="M169" s="122"/>
      <c r="N169" s="122"/>
      <c r="O169" s="122"/>
      <c r="P169" s="122"/>
      <c r="Q169" s="122"/>
      <c r="R169" s="122"/>
      <c r="S169" s="122"/>
      <c r="T169" s="122"/>
      <c r="U169" s="122"/>
      <c r="V169" s="122"/>
      <c r="W169" s="122"/>
      <c r="X169" s="122"/>
      <c r="Y169" s="122"/>
      <c r="Z169" s="122"/>
      <c r="AA169" s="122"/>
      <c r="AB169" s="122"/>
      <c r="AC169" s="122"/>
      <c r="AD169" s="122"/>
      <c r="AE169" s="122"/>
      <c r="AF169" s="122"/>
      <c r="AG169" s="122"/>
      <c r="AH169" s="122"/>
      <c r="AI169" s="122"/>
      <c r="AJ169" s="122"/>
      <c r="AK169" s="122"/>
      <c r="AL169" s="122"/>
      <c r="AM169" s="122"/>
      <c r="AN169" s="122"/>
      <c r="AO169" s="122"/>
      <c r="AP169" s="122"/>
      <c r="AQ169" s="281"/>
      <c r="AR169" s="281"/>
      <c r="AS169" s="281"/>
      <c r="AT169" s="122"/>
      <c r="AU169" s="122"/>
      <c r="AV169" s="122"/>
      <c r="AW169" s="122"/>
      <c r="AX169" s="122"/>
      <c r="AY169" s="122"/>
      <c r="AZ169" s="122"/>
      <c r="BA169" s="122"/>
      <c r="BB169" s="122"/>
      <c r="BC169" s="122"/>
      <c r="BD169" s="122"/>
      <c r="BE169" s="122"/>
      <c r="BF169" s="122"/>
      <c r="BG169" s="122"/>
      <c r="BH169" s="122"/>
      <c r="BI169" s="122"/>
      <c r="BJ169" s="122"/>
      <c r="BK169" s="122"/>
      <c r="BL169" s="122"/>
      <c r="BM169" s="122"/>
      <c r="BN169" s="122"/>
      <c r="BO169" s="122"/>
      <c r="BP169" s="122"/>
      <c r="BQ169" s="122"/>
      <c r="BR169" s="122"/>
      <c r="BS169" s="122"/>
    </row>
    <row r="170" spans="1:71" s="285" customFormat="1" ht="12.75" x14ac:dyDescent="0.2">
      <c r="A170" s="123"/>
      <c r="B170" s="122"/>
      <c r="C170" s="122"/>
      <c r="D170" s="122"/>
      <c r="E170" s="122"/>
      <c r="F170" s="122"/>
      <c r="G170" s="122"/>
      <c r="H170" s="122"/>
      <c r="I170" s="122"/>
      <c r="J170" s="122"/>
      <c r="K170" s="122"/>
      <c r="L170" s="122"/>
      <c r="M170" s="122"/>
      <c r="N170" s="122"/>
      <c r="O170" s="122"/>
      <c r="P170" s="122"/>
      <c r="Q170" s="122"/>
      <c r="R170" s="122"/>
      <c r="S170" s="122"/>
      <c r="T170" s="122"/>
      <c r="U170" s="122"/>
      <c r="V170" s="122"/>
      <c r="W170" s="122"/>
      <c r="X170" s="122"/>
      <c r="Y170" s="122"/>
      <c r="Z170" s="122"/>
      <c r="AA170" s="122"/>
      <c r="AB170" s="122"/>
      <c r="AC170" s="122"/>
      <c r="AD170" s="122"/>
      <c r="AE170" s="122"/>
      <c r="AF170" s="122"/>
      <c r="AG170" s="122"/>
      <c r="AH170" s="122"/>
      <c r="AI170" s="122"/>
      <c r="AJ170" s="122"/>
      <c r="AK170" s="122"/>
      <c r="AL170" s="122"/>
      <c r="AM170" s="122"/>
      <c r="AN170" s="122"/>
      <c r="AO170" s="122"/>
      <c r="AP170" s="122"/>
      <c r="AQ170" s="281"/>
      <c r="AR170" s="281"/>
      <c r="AS170" s="281"/>
      <c r="AT170" s="122"/>
      <c r="AU170" s="122"/>
      <c r="AV170" s="122"/>
      <c r="AW170" s="122"/>
      <c r="AX170" s="122"/>
      <c r="AY170" s="122"/>
      <c r="AZ170" s="122"/>
      <c r="BA170" s="122"/>
      <c r="BB170" s="122"/>
      <c r="BC170" s="122"/>
      <c r="BD170" s="122"/>
      <c r="BE170" s="122"/>
      <c r="BF170" s="122"/>
      <c r="BG170" s="122"/>
      <c r="BH170" s="122"/>
      <c r="BI170" s="122"/>
      <c r="BJ170" s="122"/>
      <c r="BK170" s="122"/>
      <c r="BL170" s="122"/>
      <c r="BM170" s="122"/>
      <c r="BN170" s="122"/>
      <c r="BO170" s="122"/>
      <c r="BP170" s="122"/>
      <c r="BQ170" s="122"/>
      <c r="BR170" s="122"/>
      <c r="BS170" s="122"/>
    </row>
    <row r="171" spans="1:71" s="285" customFormat="1" ht="12.75" x14ac:dyDescent="0.2">
      <c r="A171" s="123"/>
      <c r="B171" s="122"/>
      <c r="C171" s="122"/>
      <c r="D171" s="122"/>
      <c r="E171" s="122"/>
      <c r="F171" s="122"/>
      <c r="G171" s="122"/>
      <c r="H171" s="122"/>
      <c r="I171" s="122"/>
      <c r="J171" s="122"/>
      <c r="K171" s="122"/>
      <c r="L171" s="122"/>
      <c r="M171" s="122"/>
      <c r="N171" s="122"/>
      <c r="O171" s="122"/>
      <c r="P171" s="122"/>
      <c r="Q171" s="122"/>
      <c r="R171" s="122"/>
      <c r="S171" s="122"/>
      <c r="T171" s="122"/>
      <c r="U171" s="122"/>
      <c r="V171" s="122"/>
      <c r="W171" s="122"/>
      <c r="X171" s="122"/>
      <c r="Y171" s="122"/>
      <c r="Z171" s="122"/>
      <c r="AA171" s="122"/>
      <c r="AB171" s="122"/>
      <c r="AC171" s="122"/>
      <c r="AD171" s="122"/>
      <c r="AE171" s="122"/>
      <c r="AF171" s="122"/>
      <c r="AG171" s="122"/>
      <c r="AH171" s="122"/>
      <c r="AI171" s="122"/>
      <c r="AJ171" s="122"/>
      <c r="AK171" s="122"/>
      <c r="AL171" s="122"/>
      <c r="AM171" s="122"/>
      <c r="AN171" s="122"/>
      <c r="AO171" s="122"/>
      <c r="AP171" s="122"/>
      <c r="AQ171" s="281"/>
      <c r="AR171" s="281"/>
      <c r="AS171" s="281"/>
      <c r="AT171" s="122"/>
      <c r="AU171" s="122"/>
      <c r="AV171" s="122"/>
      <c r="AW171" s="122"/>
      <c r="AX171" s="122"/>
      <c r="AY171" s="122"/>
      <c r="AZ171" s="122"/>
      <c r="BA171" s="122"/>
      <c r="BB171" s="122"/>
      <c r="BC171" s="122"/>
      <c r="BD171" s="122"/>
      <c r="BE171" s="122"/>
      <c r="BF171" s="122"/>
      <c r="BG171" s="122"/>
      <c r="BH171" s="122"/>
      <c r="BI171" s="122"/>
      <c r="BJ171" s="122"/>
      <c r="BK171" s="122"/>
      <c r="BL171" s="122"/>
      <c r="BM171" s="122"/>
      <c r="BN171" s="122"/>
      <c r="BO171" s="122"/>
      <c r="BP171" s="122"/>
      <c r="BQ171" s="122"/>
      <c r="BR171" s="122"/>
      <c r="BS171" s="122"/>
    </row>
    <row r="172" spans="1:71" s="285" customFormat="1" ht="12.75" x14ac:dyDescent="0.2">
      <c r="A172" s="123"/>
      <c r="B172" s="122"/>
      <c r="C172" s="122"/>
      <c r="D172" s="122"/>
      <c r="E172" s="122"/>
      <c r="F172" s="122"/>
      <c r="G172" s="122"/>
      <c r="H172" s="122"/>
      <c r="I172" s="122"/>
      <c r="J172" s="122"/>
      <c r="K172" s="122"/>
      <c r="L172" s="122"/>
      <c r="M172" s="122"/>
      <c r="N172" s="122"/>
      <c r="O172" s="122"/>
      <c r="P172" s="122"/>
      <c r="Q172" s="122"/>
      <c r="R172" s="122"/>
      <c r="S172" s="122"/>
      <c r="T172" s="122"/>
      <c r="U172" s="122"/>
      <c r="V172" s="122"/>
      <c r="W172" s="122"/>
      <c r="X172" s="122"/>
      <c r="Y172" s="122"/>
      <c r="Z172" s="122"/>
      <c r="AA172" s="122"/>
      <c r="AB172" s="122"/>
      <c r="AC172" s="122"/>
      <c r="AD172" s="122"/>
      <c r="AE172" s="122"/>
      <c r="AF172" s="122"/>
      <c r="AG172" s="122"/>
      <c r="AH172" s="122"/>
      <c r="AI172" s="122"/>
      <c r="AJ172" s="122"/>
      <c r="AK172" s="122"/>
      <c r="AL172" s="122"/>
      <c r="AM172" s="122"/>
      <c r="AN172" s="122"/>
      <c r="AO172" s="122"/>
      <c r="AP172" s="122"/>
      <c r="AQ172" s="281"/>
      <c r="AR172" s="281"/>
      <c r="AS172" s="281"/>
      <c r="AT172" s="122"/>
      <c r="AU172" s="122"/>
      <c r="AV172" s="122"/>
      <c r="AW172" s="122"/>
      <c r="AX172" s="122"/>
      <c r="AY172" s="122"/>
      <c r="AZ172" s="122"/>
      <c r="BA172" s="122"/>
      <c r="BB172" s="122"/>
      <c r="BC172" s="122"/>
      <c r="BD172" s="122"/>
      <c r="BE172" s="122"/>
      <c r="BF172" s="122"/>
      <c r="BG172" s="122"/>
      <c r="BH172" s="122"/>
      <c r="BI172" s="122"/>
      <c r="BJ172" s="122"/>
      <c r="BK172" s="122"/>
      <c r="BL172" s="122"/>
      <c r="BM172" s="122"/>
      <c r="BN172" s="122"/>
      <c r="BO172" s="122"/>
      <c r="BP172" s="122"/>
      <c r="BQ172" s="122"/>
      <c r="BR172" s="122"/>
      <c r="BS172" s="122"/>
    </row>
    <row r="173" spans="1:71" s="285" customFormat="1" ht="12.75" x14ac:dyDescent="0.2">
      <c r="A173" s="123"/>
      <c r="B173" s="122"/>
      <c r="C173" s="122"/>
      <c r="D173" s="122"/>
      <c r="E173" s="122"/>
      <c r="F173" s="122"/>
      <c r="G173" s="122"/>
      <c r="H173" s="122"/>
      <c r="I173" s="122"/>
      <c r="J173" s="122"/>
      <c r="K173" s="122"/>
      <c r="L173" s="122"/>
      <c r="M173" s="122"/>
      <c r="N173" s="122"/>
      <c r="O173" s="122"/>
      <c r="P173" s="122"/>
      <c r="Q173" s="122"/>
      <c r="R173" s="122"/>
      <c r="S173" s="122"/>
      <c r="T173" s="122"/>
      <c r="U173" s="122"/>
      <c r="V173" s="122"/>
      <c r="W173" s="122"/>
      <c r="X173" s="122"/>
      <c r="Y173" s="122"/>
      <c r="Z173" s="122"/>
      <c r="AA173" s="122"/>
      <c r="AB173" s="122"/>
      <c r="AC173" s="122"/>
      <c r="AD173" s="122"/>
      <c r="AE173" s="122"/>
      <c r="AF173" s="122"/>
      <c r="AG173" s="122"/>
      <c r="AH173" s="122"/>
      <c r="AI173" s="122"/>
      <c r="AJ173" s="122"/>
      <c r="AK173" s="122"/>
      <c r="AL173" s="122"/>
      <c r="AM173" s="122"/>
      <c r="AN173" s="122"/>
      <c r="AO173" s="122"/>
      <c r="AP173" s="122"/>
      <c r="AQ173" s="281"/>
      <c r="AR173" s="281"/>
      <c r="AS173" s="281"/>
      <c r="AT173" s="122"/>
      <c r="AU173" s="122"/>
      <c r="AV173" s="122"/>
      <c r="AW173" s="122"/>
      <c r="AX173" s="122"/>
      <c r="AY173" s="122"/>
      <c r="AZ173" s="122"/>
      <c r="BA173" s="122"/>
      <c r="BB173" s="122"/>
      <c r="BC173" s="122"/>
      <c r="BD173" s="122"/>
      <c r="BE173" s="122"/>
      <c r="BF173" s="122"/>
      <c r="BG173" s="122"/>
      <c r="BH173" s="122"/>
      <c r="BI173" s="122"/>
      <c r="BJ173" s="122"/>
      <c r="BK173" s="122"/>
      <c r="BL173" s="122"/>
      <c r="BM173" s="122"/>
      <c r="BN173" s="122"/>
      <c r="BO173" s="122"/>
      <c r="BP173" s="122"/>
      <c r="BQ173" s="122"/>
      <c r="BR173" s="122"/>
      <c r="BS173" s="122"/>
    </row>
    <row r="174" spans="1:71" s="285" customFormat="1" ht="12.75" x14ac:dyDescent="0.2">
      <c r="A174" s="123"/>
      <c r="B174" s="122"/>
      <c r="C174" s="122"/>
      <c r="D174" s="122"/>
      <c r="E174" s="122"/>
      <c r="F174" s="122"/>
      <c r="G174" s="122"/>
      <c r="H174" s="122"/>
      <c r="I174" s="122"/>
      <c r="J174" s="122"/>
      <c r="K174" s="122"/>
      <c r="L174" s="122"/>
      <c r="M174" s="122"/>
      <c r="N174" s="122"/>
      <c r="O174" s="122"/>
      <c r="P174" s="122"/>
      <c r="Q174" s="122"/>
      <c r="R174" s="122"/>
      <c r="S174" s="122"/>
      <c r="T174" s="122"/>
      <c r="U174" s="122"/>
      <c r="V174" s="122"/>
      <c r="W174" s="122"/>
      <c r="X174" s="122"/>
      <c r="Y174" s="122"/>
      <c r="Z174" s="122"/>
      <c r="AA174" s="122"/>
      <c r="AB174" s="122"/>
      <c r="AC174" s="122"/>
      <c r="AD174" s="122"/>
      <c r="AE174" s="122"/>
      <c r="AF174" s="122"/>
      <c r="AG174" s="122"/>
      <c r="AH174" s="122"/>
      <c r="AI174" s="122"/>
      <c r="AJ174" s="122"/>
      <c r="AK174" s="122"/>
      <c r="AL174" s="122"/>
      <c r="AM174" s="122"/>
      <c r="AN174" s="122"/>
      <c r="AO174" s="122"/>
      <c r="AP174" s="122"/>
      <c r="AQ174" s="281"/>
      <c r="AR174" s="281"/>
      <c r="AS174" s="281"/>
      <c r="AT174" s="122"/>
      <c r="AU174" s="122"/>
      <c r="AV174" s="122"/>
      <c r="AW174" s="122"/>
      <c r="AX174" s="122"/>
      <c r="AY174" s="122"/>
      <c r="AZ174" s="122"/>
      <c r="BA174" s="122"/>
      <c r="BB174" s="122"/>
      <c r="BC174" s="122"/>
      <c r="BD174" s="122"/>
      <c r="BE174" s="122"/>
      <c r="BF174" s="122"/>
      <c r="BG174" s="122"/>
      <c r="BH174" s="122"/>
      <c r="BI174" s="122"/>
      <c r="BJ174" s="122"/>
      <c r="BK174" s="122"/>
      <c r="BL174" s="122"/>
      <c r="BM174" s="122"/>
      <c r="BN174" s="122"/>
      <c r="BO174" s="122"/>
      <c r="BP174" s="122"/>
      <c r="BQ174" s="122"/>
      <c r="BR174" s="122"/>
      <c r="BS174" s="122"/>
    </row>
    <row r="175" spans="1:71" s="285" customFormat="1" ht="12.75" x14ac:dyDescent="0.2">
      <c r="A175" s="123"/>
      <c r="B175" s="122"/>
      <c r="C175" s="122"/>
      <c r="D175" s="122"/>
      <c r="E175" s="122"/>
      <c r="F175" s="122"/>
      <c r="G175" s="122"/>
      <c r="H175" s="122"/>
      <c r="I175" s="122"/>
      <c r="J175" s="122"/>
      <c r="K175" s="122"/>
      <c r="L175" s="122"/>
      <c r="M175" s="122"/>
      <c r="N175" s="122"/>
      <c r="O175" s="122"/>
      <c r="P175" s="122"/>
      <c r="Q175" s="122"/>
      <c r="R175" s="122"/>
      <c r="S175" s="122"/>
      <c r="T175" s="122"/>
      <c r="U175" s="122"/>
      <c r="V175" s="122"/>
      <c r="W175" s="122"/>
      <c r="X175" s="122"/>
      <c r="Y175" s="122"/>
      <c r="Z175" s="122"/>
      <c r="AA175" s="122"/>
      <c r="AB175" s="122"/>
      <c r="AC175" s="122"/>
      <c r="AD175" s="122"/>
      <c r="AE175" s="122"/>
      <c r="AF175" s="122"/>
      <c r="AG175" s="122"/>
      <c r="AH175" s="122"/>
      <c r="AI175" s="122"/>
      <c r="AJ175" s="122"/>
      <c r="AK175" s="122"/>
      <c r="AL175" s="122"/>
      <c r="AM175" s="122"/>
      <c r="AN175" s="122"/>
      <c r="AO175" s="122"/>
      <c r="AP175" s="122"/>
      <c r="AQ175" s="281"/>
      <c r="AR175" s="281"/>
      <c r="AS175" s="281"/>
      <c r="AT175" s="122"/>
      <c r="AU175" s="122"/>
      <c r="AV175" s="122"/>
      <c r="AW175" s="122"/>
      <c r="AX175" s="122"/>
      <c r="AY175" s="122"/>
      <c r="AZ175" s="122"/>
      <c r="BA175" s="122"/>
      <c r="BB175" s="122"/>
      <c r="BC175" s="122"/>
      <c r="BD175" s="122"/>
      <c r="BE175" s="122"/>
      <c r="BF175" s="122"/>
      <c r="BG175" s="122"/>
      <c r="BH175" s="122"/>
      <c r="BI175" s="122"/>
      <c r="BJ175" s="122"/>
      <c r="BK175" s="122"/>
      <c r="BL175" s="122"/>
      <c r="BM175" s="122"/>
      <c r="BN175" s="122"/>
      <c r="BO175" s="122"/>
      <c r="BP175" s="122"/>
      <c r="BQ175" s="122"/>
      <c r="BR175" s="122"/>
      <c r="BS175" s="122"/>
    </row>
    <row r="176" spans="1:71" s="285" customFormat="1" ht="12.75" x14ac:dyDescent="0.2">
      <c r="A176" s="123"/>
      <c r="B176" s="122"/>
      <c r="C176" s="122"/>
      <c r="D176" s="122"/>
      <c r="E176" s="122"/>
      <c r="F176" s="122"/>
      <c r="G176" s="122"/>
      <c r="H176" s="122"/>
      <c r="I176" s="122"/>
      <c r="J176" s="122"/>
      <c r="K176" s="122"/>
      <c r="L176" s="122"/>
      <c r="M176" s="122"/>
      <c r="N176" s="122"/>
      <c r="O176" s="122"/>
      <c r="P176" s="122"/>
      <c r="Q176" s="122"/>
      <c r="R176" s="122"/>
      <c r="S176" s="122"/>
      <c r="T176" s="122"/>
      <c r="U176" s="122"/>
      <c r="V176" s="122"/>
      <c r="W176" s="122"/>
      <c r="X176" s="122"/>
      <c r="Y176" s="122"/>
      <c r="Z176" s="122"/>
      <c r="AA176" s="122"/>
      <c r="AB176" s="122"/>
      <c r="AC176" s="122"/>
      <c r="AD176" s="122"/>
      <c r="AE176" s="122"/>
      <c r="AF176" s="122"/>
      <c r="AG176" s="122"/>
      <c r="AH176" s="122"/>
      <c r="AI176" s="122"/>
      <c r="AJ176" s="122"/>
      <c r="AK176" s="122"/>
      <c r="AL176" s="122"/>
      <c r="AM176" s="122"/>
      <c r="AN176" s="122"/>
      <c r="AO176" s="122"/>
      <c r="AP176" s="122"/>
      <c r="AQ176" s="281"/>
      <c r="AR176" s="281"/>
      <c r="AS176" s="281"/>
      <c r="AT176" s="122"/>
      <c r="AU176" s="122"/>
      <c r="AV176" s="122"/>
      <c r="AW176" s="122"/>
      <c r="AX176" s="122"/>
      <c r="AY176" s="122"/>
      <c r="AZ176" s="122"/>
      <c r="BA176" s="122"/>
      <c r="BB176" s="122"/>
      <c r="BC176" s="122"/>
      <c r="BD176" s="122"/>
      <c r="BE176" s="122"/>
      <c r="BF176" s="122"/>
      <c r="BG176" s="122"/>
      <c r="BH176" s="122"/>
      <c r="BI176" s="122"/>
      <c r="BJ176" s="122"/>
      <c r="BK176" s="122"/>
      <c r="BL176" s="122"/>
      <c r="BM176" s="122"/>
      <c r="BN176" s="122"/>
      <c r="BO176" s="122"/>
      <c r="BP176" s="122"/>
      <c r="BQ176" s="122"/>
      <c r="BR176" s="122"/>
      <c r="BS176" s="122"/>
    </row>
    <row r="177" spans="1:71" s="285" customFormat="1" ht="12.75" x14ac:dyDescent="0.2">
      <c r="A177" s="123"/>
      <c r="B177" s="122"/>
      <c r="C177" s="122"/>
      <c r="D177" s="122"/>
      <c r="E177" s="122"/>
      <c r="F177" s="122"/>
      <c r="G177" s="122"/>
      <c r="H177" s="122"/>
      <c r="I177" s="122"/>
      <c r="J177" s="122"/>
      <c r="K177" s="122"/>
      <c r="L177" s="122"/>
      <c r="M177" s="122"/>
      <c r="N177" s="122"/>
      <c r="O177" s="122"/>
      <c r="P177" s="122"/>
      <c r="Q177" s="122"/>
      <c r="R177" s="122"/>
      <c r="S177" s="122"/>
      <c r="T177" s="122"/>
      <c r="U177" s="122"/>
      <c r="V177" s="122"/>
      <c r="W177" s="122"/>
      <c r="X177" s="122"/>
      <c r="Y177" s="122"/>
      <c r="Z177" s="122"/>
      <c r="AA177" s="122"/>
      <c r="AB177" s="122"/>
      <c r="AC177" s="122"/>
      <c r="AD177" s="122"/>
      <c r="AE177" s="122"/>
      <c r="AF177" s="122"/>
      <c r="AG177" s="122"/>
      <c r="AH177" s="122"/>
      <c r="AI177" s="122"/>
      <c r="AJ177" s="122"/>
      <c r="AK177" s="122"/>
      <c r="AL177" s="122"/>
      <c r="AM177" s="122"/>
      <c r="AN177" s="122"/>
      <c r="AO177" s="122"/>
      <c r="AP177" s="122"/>
      <c r="AQ177" s="281"/>
      <c r="AR177" s="281"/>
      <c r="AS177" s="281"/>
      <c r="AT177" s="122"/>
      <c r="AU177" s="122"/>
      <c r="AV177" s="122"/>
      <c r="AW177" s="122"/>
      <c r="AX177" s="122"/>
      <c r="AY177" s="122"/>
      <c r="AZ177" s="122"/>
      <c r="BA177" s="122"/>
      <c r="BB177" s="122"/>
      <c r="BC177" s="122"/>
      <c r="BD177" s="122"/>
      <c r="BE177" s="122"/>
      <c r="BF177" s="122"/>
      <c r="BG177" s="122"/>
      <c r="BH177" s="122"/>
      <c r="BI177" s="122"/>
      <c r="BJ177" s="122"/>
      <c r="BK177" s="122"/>
      <c r="BL177" s="122"/>
      <c r="BM177" s="122"/>
      <c r="BN177" s="122"/>
      <c r="BO177" s="122"/>
      <c r="BP177" s="122"/>
      <c r="BQ177" s="122"/>
      <c r="BR177" s="122"/>
      <c r="BS177" s="122"/>
    </row>
    <row r="178" spans="1:71" s="285" customFormat="1" ht="12.75" x14ac:dyDescent="0.2">
      <c r="A178" s="123"/>
      <c r="B178" s="122"/>
      <c r="C178" s="122"/>
      <c r="D178" s="122"/>
      <c r="E178" s="122"/>
      <c r="F178" s="122"/>
      <c r="G178" s="122"/>
      <c r="H178" s="122"/>
      <c r="I178" s="122"/>
      <c r="J178" s="122"/>
      <c r="K178" s="122"/>
      <c r="L178" s="122"/>
      <c r="M178" s="122"/>
      <c r="N178" s="122"/>
      <c r="O178" s="122"/>
      <c r="P178" s="122"/>
      <c r="Q178" s="122"/>
      <c r="R178" s="122"/>
      <c r="S178" s="122"/>
      <c r="T178" s="122"/>
      <c r="U178" s="122"/>
      <c r="V178" s="122"/>
      <c r="W178" s="122"/>
      <c r="X178" s="122"/>
      <c r="Y178" s="122"/>
      <c r="Z178" s="122"/>
      <c r="AA178" s="122"/>
      <c r="AB178" s="122"/>
      <c r="AC178" s="122"/>
      <c r="AD178" s="122"/>
      <c r="AE178" s="122"/>
      <c r="AF178" s="122"/>
      <c r="AG178" s="122"/>
      <c r="AH178" s="122"/>
      <c r="AI178" s="122"/>
      <c r="AJ178" s="122"/>
      <c r="AK178" s="122"/>
      <c r="AL178" s="122"/>
      <c r="AM178" s="122"/>
      <c r="AN178" s="122"/>
      <c r="AO178" s="122"/>
      <c r="AP178" s="122"/>
      <c r="AQ178" s="281"/>
      <c r="AR178" s="281"/>
      <c r="AS178" s="281"/>
      <c r="AT178" s="122"/>
      <c r="AU178" s="122"/>
      <c r="AV178" s="122"/>
      <c r="AW178" s="122"/>
      <c r="AX178" s="122"/>
      <c r="AY178" s="122"/>
      <c r="AZ178" s="122"/>
      <c r="BA178" s="122"/>
      <c r="BB178" s="122"/>
      <c r="BC178" s="122"/>
      <c r="BD178" s="122"/>
      <c r="BE178" s="122"/>
      <c r="BF178" s="122"/>
      <c r="BG178" s="122"/>
      <c r="BH178" s="122"/>
      <c r="BI178" s="122"/>
      <c r="BJ178" s="122"/>
      <c r="BK178" s="122"/>
      <c r="BL178" s="122"/>
      <c r="BM178" s="122"/>
      <c r="BN178" s="122"/>
      <c r="BO178" s="122"/>
      <c r="BP178" s="122"/>
      <c r="BQ178" s="122"/>
      <c r="BR178" s="122"/>
      <c r="BS178" s="122"/>
    </row>
    <row r="179" spans="1:71" s="285" customFormat="1" ht="12.75" x14ac:dyDescent="0.2">
      <c r="A179" s="123"/>
      <c r="B179" s="122">
        <v>1</v>
      </c>
      <c r="C179" s="122">
        <v>2</v>
      </c>
      <c r="D179" s="122">
        <f>C179+1</f>
        <v>3</v>
      </c>
      <c r="E179" s="122">
        <f t="shared" ref="E179:M179" si="89">D179+1</f>
        <v>4</v>
      </c>
      <c r="F179" s="122">
        <f t="shared" si="89"/>
        <v>5</v>
      </c>
      <c r="G179" s="122">
        <f t="shared" si="89"/>
        <v>6</v>
      </c>
      <c r="H179" s="122">
        <f t="shared" si="89"/>
        <v>7</v>
      </c>
      <c r="I179" s="122">
        <f t="shared" si="89"/>
        <v>8</v>
      </c>
      <c r="J179" s="122">
        <f t="shared" si="89"/>
        <v>9</v>
      </c>
      <c r="K179" s="122">
        <f t="shared" si="89"/>
        <v>10</v>
      </c>
      <c r="L179" s="122">
        <f t="shared" si="89"/>
        <v>11</v>
      </c>
      <c r="M179" s="122">
        <f t="shared" si="89"/>
        <v>12</v>
      </c>
      <c r="N179" s="122"/>
      <c r="O179" s="122"/>
      <c r="P179" s="122"/>
      <c r="Q179" s="122"/>
      <c r="R179" s="122"/>
      <c r="S179" s="122"/>
      <c r="T179" s="122"/>
      <c r="U179" s="122"/>
      <c r="V179" s="122"/>
      <c r="W179" s="122"/>
      <c r="X179" s="122"/>
      <c r="Y179" s="122"/>
      <c r="Z179" s="122"/>
      <c r="AA179" s="122"/>
      <c r="AB179" s="122"/>
      <c r="AC179" s="122"/>
      <c r="AD179" s="122"/>
      <c r="AE179" s="122"/>
      <c r="AF179" s="122"/>
      <c r="AG179" s="122"/>
      <c r="AH179" s="122"/>
      <c r="AI179" s="122"/>
      <c r="AJ179" s="122"/>
      <c r="AK179" s="122"/>
      <c r="AL179" s="122"/>
      <c r="AM179" s="122"/>
      <c r="AN179" s="122"/>
      <c r="AO179" s="122"/>
      <c r="AP179" s="122"/>
      <c r="AQ179" s="281"/>
      <c r="AR179" s="281"/>
      <c r="AS179" s="281"/>
      <c r="AT179" s="122"/>
      <c r="AU179" s="122"/>
      <c r="AV179" s="122"/>
      <c r="AW179" s="122"/>
      <c r="AX179" s="122"/>
      <c r="AY179" s="122"/>
      <c r="AZ179" s="122"/>
      <c r="BA179" s="122"/>
      <c r="BB179" s="122"/>
      <c r="BC179" s="122"/>
      <c r="BD179" s="122"/>
      <c r="BE179" s="122"/>
      <c r="BF179" s="122"/>
      <c r="BG179" s="122"/>
      <c r="BH179" s="122"/>
      <c r="BI179" s="122"/>
      <c r="BJ179" s="122"/>
      <c r="BK179" s="122"/>
      <c r="BL179" s="122"/>
      <c r="BM179" s="122"/>
      <c r="BN179" s="122"/>
      <c r="BO179" s="122"/>
      <c r="BP179" s="122"/>
      <c r="BQ179" s="122"/>
      <c r="BR179" s="122"/>
      <c r="BS179" s="122"/>
    </row>
    <row r="180" spans="1:71" s="285" customFormat="1" ht="12.75" x14ac:dyDescent="0.2">
      <c r="A180" s="123"/>
      <c r="B180" s="122"/>
      <c r="C180" s="122"/>
      <c r="D180" s="122"/>
      <c r="E180" s="122"/>
      <c r="F180" s="122"/>
      <c r="G180" s="122"/>
      <c r="H180" s="122"/>
      <c r="I180" s="122"/>
      <c r="J180" s="122"/>
      <c r="K180" s="122"/>
      <c r="L180" s="122"/>
      <c r="M180" s="122"/>
      <c r="N180" s="122"/>
      <c r="O180" s="122"/>
      <c r="P180" s="122"/>
      <c r="Q180" s="122"/>
      <c r="R180" s="122"/>
      <c r="S180" s="122"/>
      <c r="T180" s="122"/>
      <c r="U180" s="122"/>
      <c r="V180" s="122"/>
      <c r="W180" s="122"/>
      <c r="X180" s="122"/>
      <c r="Y180" s="122"/>
      <c r="Z180" s="122"/>
      <c r="AA180" s="122"/>
      <c r="AB180" s="122"/>
      <c r="AC180" s="122"/>
      <c r="AD180" s="122"/>
      <c r="AE180" s="122"/>
      <c r="AF180" s="122"/>
      <c r="AG180" s="122"/>
      <c r="AH180" s="122"/>
      <c r="AI180" s="122"/>
      <c r="AJ180" s="122"/>
      <c r="AK180" s="122"/>
      <c r="AL180" s="122"/>
      <c r="AM180" s="122"/>
      <c r="AN180" s="122"/>
      <c r="AO180" s="122"/>
      <c r="AP180" s="122"/>
      <c r="AQ180" s="281"/>
      <c r="AR180" s="281"/>
      <c r="AS180" s="281"/>
      <c r="AT180" s="122"/>
      <c r="AU180" s="122"/>
      <c r="AV180" s="122"/>
      <c r="AW180" s="122"/>
      <c r="AX180" s="122"/>
      <c r="AY180" s="122"/>
      <c r="AZ180" s="122"/>
      <c r="BA180" s="122"/>
      <c r="BB180" s="122"/>
      <c r="BC180" s="122"/>
      <c r="BD180" s="122"/>
      <c r="BE180" s="122"/>
      <c r="BF180" s="122"/>
      <c r="BG180" s="122"/>
      <c r="BH180" s="122"/>
      <c r="BI180" s="122"/>
      <c r="BJ180" s="122"/>
      <c r="BK180" s="122"/>
      <c r="BL180" s="122"/>
      <c r="BM180" s="122"/>
      <c r="BN180" s="122"/>
      <c r="BO180" s="122"/>
      <c r="BP180" s="122"/>
      <c r="BQ180" s="122"/>
      <c r="BR180" s="122"/>
      <c r="BS180" s="122"/>
    </row>
    <row r="181" spans="1:71" s="285" customFormat="1" ht="12.75" x14ac:dyDescent="0.2">
      <c r="A181" s="123"/>
      <c r="B181" s="122"/>
      <c r="C181" s="122"/>
      <c r="D181" s="122"/>
      <c r="E181" s="122"/>
      <c r="F181" s="122"/>
      <c r="G181" s="122"/>
      <c r="H181" s="122"/>
      <c r="I181" s="122"/>
      <c r="J181" s="122"/>
      <c r="K181" s="122"/>
      <c r="L181" s="122"/>
      <c r="M181" s="122"/>
      <c r="N181" s="122"/>
      <c r="O181" s="122"/>
      <c r="P181" s="122"/>
      <c r="Q181" s="122"/>
      <c r="R181" s="122"/>
      <c r="S181" s="122"/>
      <c r="T181" s="122"/>
      <c r="U181" s="122"/>
      <c r="V181" s="122"/>
      <c r="W181" s="122"/>
      <c r="X181" s="122"/>
      <c r="Y181" s="122"/>
      <c r="Z181" s="122"/>
      <c r="AA181" s="122"/>
      <c r="AB181" s="122"/>
      <c r="AC181" s="122"/>
      <c r="AD181" s="122"/>
      <c r="AE181" s="122"/>
      <c r="AF181" s="122"/>
      <c r="AG181" s="122"/>
      <c r="AH181" s="122"/>
      <c r="AI181" s="122"/>
      <c r="AJ181" s="122"/>
      <c r="AK181" s="122"/>
      <c r="AL181" s="122"/>
      <c r="AM181" s="122"/>
      <c r="AN181" s="122"/>
      <c r="AO181" s="122"/>
      <c r="AP181" s="122"/>
      <c r="AQ181" s="281"/>
      <c r="AR181" s="281"/>
      <c r="AS181" s="281"/>
      <c r="AT181" s="122"/>
      <c r="AU181" s="122"/>
      <c r="AV181" s="122"/>
      <c r="AW181" s="122"/>
      <c r="AX181" s="122"/>
      <c r="AY181" s="122"/>
      <c r="AZ181" s="122"/>
      <c r="BA181" s="122"/>
      <c r="BB181" s="122"/>
      <c r="BC181" s="122"/>
      <c r="BD181" s="122"/>
      <c r="BE181" s="122"/>
      <c r="BF181" s="122"/>
      <c r="BG181" s="122"/>
      <c r="BH181" s="122"/>
      <c r="BI181" s="122"/>
      <c r="BJ181" s="122"/>
      <c r="BK181" s="122"/>
      <c r="BL181" s="122"/>
      <c r="BM181" s="122"/>
      <c r="BN181" s="122"/>
      <c r="BO181" s="122"/>
      <c r="BP181" s="122"/>
      <c r="BQ181" s="122"/>
      <c r="BR181" s="122"/>
      <c r="BS181" s="122"/>
    </row>
    <row r="182" spans="1:71" s="285" customFormat="1" ht="12.75" x14ac:dyDescent="0.2">
      <c r="A182" s="123"/>
      <c r="B182" s="122"/>
      <c r="C182" s="122"/>
      <c r="D182" s="122"/>
      <c r="E182" s="122"/>
      <c r="F182" s="122"/>
      <c r="G182" s="122"/>
      <c r="H182" s="122"/>
      <c r="I182" s="122"/>
      <c r="J182" s="122"/>
      <c r="K182" s="122"/>
      <c r="L182" s="122"/>
      <c r="M182" s="122"/>
      <c r="N182" s="122"/>
      <c r="O182" s="122"/>
      <c r="P182" s="122"/>
      <c r="Q182" s="122"/>
      <c r="R182" s="122"/>
      <c r="S182" s="122"/>
      <c r="T182" s="122"/>
      <c r="U182" s="122"/>
      <c r="V182" s="122"/>
      <c r="W182" s="122"/>
      <c r="X182" s="122"/>
      <c r="Y182" s="122"/>
      <c r="Z182" s="122"/>
      <c r="AA182" s="122"/>
      <c r="AB182" s="122"/>
      <c r="AC182" s="122"/>
      <c r="AD182" s="122"/>
      <c r="AE182" s="122"/>
      <c r="AF182" s="122"/>
      <c r="AG182" s="122"/>
      <c r="AH182" s="122"/>
      <c r="AI182" s="122"/>
      <c r="AJ182" s="122"/>
      <c r="AK182" s="122"/>
      <c r="AL182" s="122"/>
      <c r="AM182" s="122"/>
      <c r="AN182" s="122"/>
      <c r="AO182" s="122"/>
      <c r="AP182" s="122"/>
      <c r="AQ182" s="281"/>
      <c r="AR182" s="281"/>
      <c r="AS182" s="281"/>
      <c r="AT182" s="122"/>
      <c r="AU182" s="122"/>
      <c r="AV182" s="122"/>
      <c r="AW182" s="122"/>
      <c r="AX182" s="122"/>
      <c r="AY182" s="122"/>
      <c r="AZ182" s="122"/>
      <c r="BA182" s="122"/>
      <c r="BB182" s="122"/>
      <c r="BC182" s="122"/>
      <c r="BD182" s="122"/>
      <c r="BE182" s="122"/>
      <c r="BF182" s="122"/>
      <c r="BG182" s="122"/>
      <c r="BH182" s="122"/>
      <c r="BI182" s="122"/>
      <c r="BJ182" s="122"/>
      <c r="BK182" s="122"/>
      <c r="BL182" s="122"/>
      <c r="BM182" s="122"/>
      <c r="BN182" s="122"/>
      <c r="BO182" s="122"/>
      <c r="BP182" s="122"/>
      <c r="BQ182" s="122"/>
      <c r="BR182" s="122"/>
      <c r="BS182" s="122"/>
    </row>
  </sheetData>
  <mergeCells count="20">
    <mergeCell ref="A142:H142"/>
    <mergeCell ref="D120:D123"/>
    <mergeCell ref="G120:G123"/>
    <mergeCell ref="A15:P15"/>
    <mergeCell ref="A16:P16"/>
    <mergeCell ref="A18:P18"/>
    <mergeCell ref="D27:F27"/>
    <mergeCell ref="D28:F28"/>
    <mergeCell ref="D29:F29"/>
    <mergeCell ref="D30:F30"/>
    <mergeCell ref="A93:AC93"/>
    <mergeCell ref="A94:I94"/>
    <mergeCell ref="B114:C114"/>
    <mergeCell ref="D114:E114"/>
    <mergeCell ref="A13:P13"/>
    <mergeCell ref="A5:P5"/>
    <mergeCell ref="A7:P7"/>
    <mergeCell ref="A9:P9"/>
    <mergeCell ref="A10:P10"/>
    <mergeCell ref="A12:P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50" zoomScale="70" zoomScaleSheetLayoutView="70" workbookViewId="0">
      <selection activeCell="G25" sqref="G25:H54"/>
    </sheetView>
  </sheetViews>
  <sheetFormatPr defaultRowHeight="15.75" x14ac:dyDescent="0.25"/>
  <cols>
    <col min="1" max="1" width="9.140625" style="45"/>
    <col min="2" max="2" width="37.7109375" style="45" customWidth="1"/>
    <col min="3" max="4" width="18.7109375" style="45" customWidth="1"/>
    <col min="5" max="6" width="18.7109375" style="45" hidden="1" customWidth="1"/>
    <col min="7" max="9" width="18.7109375" style="45" customWidth="1"/>
    <col min="10" max="10" width="18.28515625" style="45" customWidth="1"/>
    <col min="11" max="11" width="64.85546875" style="45" customWidth="1"/>
    <col min="12" max="12" width="32.28515625" style="45" customWidth="1"/>
    <col min="13" max="252" width="9.140625" style="45"/>
    <col min="253" max="253" width="37.7109375" style="45" customWidth="1"/>
    <col min="254" max="254" width="9.140625" style="45"/>
    <col min="255" max="255" width="12.85546875" style="45" customWidth="1"/>
    <col min="256" max="257" width="0" style="45" hidden="1" customWidth="1"/>
    <col min="258" max="258" width="18.28515625" style="45" customWidth="1"/>
    <col min="259" max="259" width="64.85546875" style="45" customWidth="1"/>
    <col min="260" max="263" width="9.140625" style="45"/>
    <col min="264" max="264" width="14.85546875" style="45" customWidth="1"/>
    <col min="265" max="508" width="9.140625" style="45"/>
    <col min="509" max="509" width="37.7109375" style="45" customWidth="1"/>
    <col min="510" max="510" width="9.140625" style="45"/>
    <col min="511" max="511" width="12.85546875" style="45" customWidth="1"/>
    <col min="512" max="513" width="0" style="45" hidden="1" customWidth="1"/>
    <col min="514" max="514" width="18.28515625" style="45" customWidth="1"/>
    <col min="515" max="515" width="64.85546875" style="45" customWidth="1"/>
    <col min="516" max="519" width="9.140625" style="45"/>
    <col min="520" max="520" width="14.85546875" style="45" customWidth="1"/>
    <col min="521" max="764" width="9.140625" style="45"/>
    <col min="765" max="765" width="37.7109375" style="45" customWidth="1"/>
    <col min="766" max="766" width="9.140625" style="45"/>
    <col min="767" max="767" width="12.85546875" style="45" customWidth="1"/>
    <col min="768" max="769" width="0" style="45" hidden="1" customWidth="1"/>
    <col min="770" max="770" width="18.28515625" style="45" customWidth="1"/>
    <col min="771" max="771" width="64.85546875" style="45" customWidth="1"/>
    <col min="772" max="775" width="9.140625" style="45"/>
    <col min="776" max="776" width="14.85546875" style="45" customWidth="1"/>
    <col min="777" max="1020" width="9.140625" style="45"/>
    <col min="1021" max="1021" width="37.7109375" style="45" customWidth="1"/>
    <col min="1022" max="1022" width="9.140625" style="45"/>
    <col min="1023" max="1023" width="12.85546875" style="45" customWidth="1"/>
    <col min="1024" max="1025" width="0" style="45" hidden="1" customWidth="1"/>
    <col min="1026" max="1026" width="18.28515625" style="45" customWidth="1"/>
    <col min="1027" max="1027" width="64.85546875" style="45" customWidth="1"/>
    <col min="1028" max="1031" width="9.140625" style="45"/>
    <col min="1032" max="1032" width="14.85546875" style="45" customWidth="1"/>
    <col min="1033" max="1276" width="9.140625" style="45"/>
    <col min="1277" max="1277" width="37.7109375" style="45" customWidth="1"/>
    <col min="1278" max="1278" width="9.140625" style="45"/>
    <col min="1279" max="1279" width="12.85546875" style="45" customWidth="1"/>
    <col min="1280" max="1281" width="0" style="45" hidden="1" customWidth="1"/>
    <col min="1282" max="1282" width="18.28515625" style="45" customWidth="1"/>
    <col min="1283" max="1283" width="64.85546875" style="45" customWidth="1"/>
    <col min="1284" max="1287" width="9.140625" style="45"/>
    <col min="1288" max="1288" width="14.85546875" style="45" customWidth="1"/>
    <col min="1289" max="1532" width="9.140625" style="45"/>
    <col min="1533" max="1533" width="37.7109375" style="45" customWidth="1"/>
    <col min="1534" max="1534" width="9.140625" style="45"/>
    <col min="1535" max="1535" width="12.85546875" style="45" customWidth="1"/>
    <col min="1536" max="1537" width="0" style="45" hidden="1" customWidth="1"/>
    <col min="1538" max="1538" width="18.28515625" style="45" customWidth="1"/>
    <col min="1539" max="1539" width="64.85546875" style="45" customWidth="1"/>
    <col min="1540" max="1543" width="9.140625" style="45"/>
    <col min="1544" max="1544" width="14.85546875" style="45" customWidth="1"/>
    <col min="1545" max="1788" width="9.140625" style="45"/>
    <col min="1789" max="1789" width="37.7109375" style="45" customWidth="1"/>
    <col min="1790" max="1790" width="9.140625" style="45"/>
    <col min="1791" max="1791" width="12.85546875" style="45" customWidth="1"/>
    <col min="1792" max="1793" width="0" style="45" hidden="1" customWidth="1"/>
    <col min="1794" max="1794" width="18.28515625" style="45" customWidth="1"/>
    <col min="1795" max="1795" width="64.85546875" style="45" customWidth="1"/>
    <col min="1796" max="1799" width="9.140625" style="45"/>
    <col min="1800" max="1800" width="14.85546875" style="45" customWidth="1"/>
    <col min="1801" max="2044" width="9.140625" style="45"/>
    <col min="2045" max="2045" width="37.7109375" style="45" customWidth="1"/>
    <col min="2046" max="2046" width="9.140625" style="45"/>
    <col min="2047" max="2047" width="12.85546875" style="45" customWidth="1"/>
    <col min="2048" max="2049" width="0" style="45" hidden="1" customWidth="1"/>
    <col min="2050" max="2050" width="18.28515625" style="45" customWidth="1"/>
    <col min="2051" max="2051" width="64.85546875" style="45" customWidth="1"/>
    <col min="2052" max="2055" width="9.140625" style="45"/>
    <col min="2056" max="2056" width="14.85546875" style="45" customWidth="1"/>
    <col min="2057" max="2300" width="9.140625" style="45"/>
    <col min="2301" max="2301" width="37.7109375" style="45" customWidth="1"/>
    <col min="2302" max="2302" width="9.140625" style="45"/>
    <col min="2303" max="2303" width="12.85546875" style="45" customWidth="1"/>
    <col min="2304" max="2305" width="0" style="45" hidden="1" customWidth="1"/>
    <col min="2306" max="2306" width="18.28515625" style="45" customWidth="1"/>
    <col min="2307" max="2307" width="64.85546875" style="45" customWidth="1"/>
    <col min="2308" max="2311" width="9.140625" style="45"/>
    <col min="2312" max="2312" width="14.85546875" style="45" customWidth="1"/>
    <col min="2313" max="2556" width="9.140625" style="45"/>
    <col min="2557" max="2557" width="37.7109375" style="45" customWidth="1"/>
    <col min="2558" max="2558" width="9.140625" style="45"/>
    <col min="2559" max="2559" width="12.85546875" style="45" customWidth="1"/>
    <col min="2560" max="2561" width="0" style="45" hidden="1" customWidth="1"/>
    <col min="2562" max="2562" width="18.28515625" style="45" customWidth="1"/>
    <col min="2563" max="2563" width="64.85546875" style="45" customWidth="1"/>
    <col min="2564" max="2567" width="9.140625" style="45"/>
    <col min="2568" max="2568" width="14.85546875" style="45" customWidth="1"/>
    <col min="2569" max="2812" width="9.140625" style="45"/>
    <col min="2813" max="2813" width="37.7109375" style="45" customWidth="1"/>
    <col min="2814" max="2814" width="9.140625" style="45"/>
    <col min="2815" max="2815" width="12.85546875" style="45" customWidth="1"/>
    <col min="2816" max="2817" width="0" style="45" hidden="1" customWidth="1"/>
    <col min="2818" max="2818" width="18.28515625" style="45" customWidth="1"/>
    <col min="2819" max="2819" width="64.85546875" style="45" customWidth="1"/>
    <col min="2820" max="2823" width="9.140625" style="45"/>
    <col min="2824" max="2824" width="14.85546875" style="45" customWidth="1"/>
    <col min="2825" max="3068" width="9.140625" style="45"/>
    <col min="3069" max="3069" width="37.7109375" style="45" customWidth="1"/>
    <col min="3070" max="3070" width="9.140625" style="45"/>
    <col min="3071" max="3071" width="12.85546875" style="45" customWidth="1"/>
    <col min="3072" max="3073" width="0" style="45" hidden="1" customWidth="1"/>
    <col min="3074" max="3074" width="18.28515625" style="45" customWidth="1"/>
    <col min="3075" max="3075" width="64.85546875" style="45" customWidth="1"/>
    <col min="3076" max="3079" width="9.140625" style="45"/>
    <col min="3080" max="3080" width="14.85546875" style="45" customWidth="1"/>
    <col min="3081" max="3324" width="9.140625" style="45"/>
    <col min="3325" max="3325" width="37.7109375" style="45" customWidth="1"/>
    <col min="3326" max="3326" width="9.140625" style="45"/>
    <col min="3327" max="3327" width="12.85546875" style="45" customWidth="1"/>
    <col min="3328" max="3329" width="0" style="45" hidden="1" customWidth="1"/>
    <col min="3330" max="3330" width="18.28515625" style="45" customWidth="1"/>
    <col min="3331" max="3331" width="64.85546875" style="45" customWidth="1"/>
    <col min="3332" max="3335" width="9.140625" style="45"/>
    <col min="3336" max="3336" width="14.85546875" style="45" customWidth="1"/>
    <col min="3337" max="3580" width="9.140625" style="45"/>
    <col min="3581" max="3581" width="37.7109375" style="45" customWidth="1"/>
    <col min="3582" max="3582" width="9.140625" style="45"/>
    <col min="3583" max="3583" width="12.85546875" style="45" customWidth="1"/>
    <col min="3584" max="3585" width="0" style="45" hidden="1" customWidth="1"/>
    <col min="3586" max="3586" width="18.28515625" style="45" customWidth="1"/>
    <col min="3587" max="3587" width="64.85546875" style="45" customWidth="1"/>
    <col min="3588" max="3591" width="9.140625" style="45"/>
    <col min="3592" max="3592" width="14.85546875" style="45" customWidth="1"/>
    <col min="3593" max="3836" width="9.140625" style="45"/>
    <col min="3837" max="3837" width="37.7109375" style="45" customWidth="1"/>
    <col min="3838" max="3838" width="9.140625" style="45"/>
    <col min="3839" max="3839" width="12.85546875" style="45" customWidth="1"/>
    <col min="3840" max="3841" width="0" style="45" hidden="1" customWidth="1"/>
    <col min="3842" max="3842" width="18.28515625" style="45" customWidth="1"/>
    <col min="3843" max="3843" width="64.85546875" style="45" customWidth="1"/>
    <col min="3844" max="3847" width="9.140625" style="45"/>
    <col min="3848" max="3848" width="14.85546875" style="45" customWidth="1"/>
    <col min="3849" max="4092" width="9.140625" style="45"/>
    <col min="4093" max="4093" width="37.7109375" style="45" customWidth="1"/>
    <col min="4094" max="4094" width="9.140625" style="45"/>
    <col min="4095" max="4095" width="12.85546875" style="45" customWidth="1"/>
    <col min="4096" max="4097" width="0" style="45" hidden="1" customWidth="1"/>
    <col min="4098" max="4098" width="18.28515625" style="45" customWidth="1"/>
    <col min="4099" max="4099" width="64.85546875" style="45" customWidth="1"/>
    <col min="4100" max="4103" width="9.140625" style="45"/>
    <col min="4104" max="4104" width="14.85546875" style="45" customWidth="1"/>
    <col min="4105" max="4348" width="9.140625" style="45"/>
    <col min="4349" max="4349" width="37.7109375" style="45" customWidth="1"/>
    <col min="4350" max="4350" width="9.140625" style="45"/>
    <col min="4351" max="4351" width="12.85546875" style="45" customWidth="1"/>
    <col min="4352" max="4353" width="0" style="45" hidden="1" customWidth="1"/>
    <col min="4354" max="4354" width="18.28515625" style="45" customWidth="1"/>
    <col min="4355" max="4355" width="64.85546875" style="45" customWidth="1"/>
    <col min="4356" max="4359" width="9.140625" style="45"/>
    <col min="4360" max="4360" width="14.85546875" style="45" customWidth="1"/>
    <col min="4361" max="4604" width="9.140625" style="45"/>
    <col min="4605" max="4605" width="37.7109375" style="45" customWidth="1"/>
    <col min="4606" max="4606" width="9.140625" style="45"/>
    <col min="4607" max="4607" width="12.85546875" style="45" customWidth="1"/>
    <col min="4608" max="4609" width="0" style="45" hidden="1" customWidth="1"/>
    <col min="4610" max="4610" width="18.28515625" style="45" customWidth="1"/>
    <col min="4611" max="4611" width="64.85546875" style="45" customWidth="1"/>
    <col min="4612" max="4615" width="9.140625" style="45"/>
    <col min="4616" max="4616" width="14.85546875" style="45" customWidth="1"/>
    <col min="4617" max="4860" width="9.140625" style="45"/>
    <col min="4861" max="4861" width="37.7109375" style="45" customWidth="1"/>
    <col min="4862" max="4862" width="9.140625" style="45"/>
    <col min="4863" max="4863" width="12.85546875" style="45" customWidth="1"/>
    <col min="4864" max="4865" width="0" style="45" hidden="1" customWidth="1"/>
    <col min="4866" max="4866" width="18.28515625" style="45" customWidth="1"/>
    <col min="4867" max="4867" width="64.85546875" style="45" customWidth="1"/>
    <col min="4868" max="4871" width="9.140625" style="45"/>
    <col min="4872" max="4872" width="14.85546875" style="45" customWidth="1"/>
    <col min="4873" max="5116" width="9.140625" style="45"/>
    <col min="5117" max="5117" width="37.7109375" style="45" customWidth="1"/>
    <col min="5118" max="5118" width="9.140625" style="45"/>
    <col min="5119" max="5119" width="12.85546875" style="45" customWidth="1"/>
    <col min="5120" max="5121" width="0" style="45" hidden="1" customWidth="1"/>
    <col min="5122" max="5122" width="18.28515625" style="45" customWidth="1"/>
    <col min="5123" max="5123" width="64.85546875" style="45" customWidth="1"/>
    <col min="5124" max="5127" width="9.140625" style="45"/>
    <col min="5128" max="5128" width="14.85546875" style="45" customWidth="1"/>
    <col min="5129" max="5372" width="9.140625" style="45"/>
    <col min="5373" max="5373" width="37.7109375" style="45" customWidth="1"/>
    <col min="5374" max="5374" width="9.140625" style="45"/>
    <col min="5375" max="5375" width="12.85546875" style="45" customWidth="1"/>
    <col min="5376" max="5377" width="0" style="45" hidden="1" customWidth="1"/>
    <col min="5378" max="5378" width="18.28515625" style="45" customWidth="1"/>
    <col min="5379" max="5379" width="64.85546875" style="45" customWidth="1"/>
    <col min="5380" max="5383" width="9.140625" style="45"/>
    <col min="5384" max="5384" width="14.85546875" style="45" customWidth="1"/>
    <col min="5385" max="5628" width="9.140625" style="45"/>
    <col min="5629" max="5629" width="37.7109375" style="45" customWidth="1"/>
    <col min="5630" max="5630" width="9.140625" style="45"/>
    <col min="5631" max="5631" width="12.85546875" style="45" customWidth="1"/>
    <col min="5632" max="5633" width="0" style="45" hidden="1" customWidth="1"/>
    <col min="5634" max="5634" width="18.28515625" style="45" customWidth="1"/>
    <col min="5635" max="5635" width="64.85546875" style="45" customWidth="1"/>
    <col min="5636" max="5639" width="9.140625" style="45"/>
    <col min="5640" max="5640" width="14.85546875" style="45" customWidth="1"/>
    <col min="5641" max="5884" width="9.140625" style="45"/>
    <col min="5885" max="5885" width="37.7109375" style="45" customWidth="1"/>
    <col min="5886" max="5886" width="9.140625" style="45"/>
    <col min="5887" max="5887" width="12.85546875" style="45" customWidth="1"/>
    <col min="5888" max="5889" width="0" style="45" hidden="1" customWidth="1"/>
    <col min="5890" max="5890" width="18.28515625" style="45" customWidth="1"/>
    <col min="5891" max="5891" width="64.85546875" style="45" customWidth="1"/>
    <col min="5892" max="5895" width="9.140625" style="45"/>
    <col min="5896" max="5896" width="14.85546875" style="45" customWidth="1"/>
    <col min="5897" max="6140" width="9.140625" style="45"/>
    <col min="6141" max="6141" width="37.7109375" style="45" customWidth="1"/>
    <col min="6142" max="6142" width="9.140625" style="45"/>
    <col min="6143" max="6143" width="12.85546875" style="45" customWidth="1"/>
    <col min="6144" max="6145" width="0" style="45" hidden="1" customWidth="1"/>
    <col min="6146" max="6146" width="18.28515625" style="45" customWidth="1"/>
    <col min="6147" max="6147" width="64.85546875" style="45" customWidth="1"/>
    <col min="6148" max="6151" width="9.140625" style="45"/>
    <col min="6152" max="6152" width="14.85546875" style="45" customWidth="1"/>
    <col min="6153" max="6396" width="9.140625" style="45"/>
    <col min="6397" max="6397" width="37.7109375" style="45" customWidth="1"/>
    <col min="6398" max="6398" width="9.140625" style="45"/>
    <col min="6399" max="6399" width="12.85546875" style="45" customWidth="1"/>
    <col min="6400" max="6401" width="0" style="45" hidden="1" customWidth="1"/>
    <col min="6402" max="6402" width="18.28515625" style="45" customWidth="1"/>
    <col min="6403" max="6403" width="64.85546875" style="45" customWidth="1"/>
    <col min="6404" max="6407" width="9.140625" style="45"/>
    <col min="6408" max="6408" width="14.85546875" style="45" customWidth="1"/>
    <col min="6409" max="6652" width="9.140625" style="45"/>
    <col min="6653" max="6653" width="37.7109375" style="45" customWidth="1"/>
    <col min="6654" max="6654" width="9.140625" style="45"/>
    <col min="6655" max="6655" width="12.85546875" style="45" customWidth="1"/>
    <col min="6656" max="6657" width="0" style="45" hidden="1" customWidth="1"/>
    <col min="6658" max="6658" width="18.28515625" style="45" customWidth="1"/>
    <col min="6659" max="6659" width="64.85546875" style="45" customWidth="1"/>
    <col min="6660" max="6663" width="9.140625" style="45"/>
    <col min="6664" max="6664" width="14.85546875" style="45" customWidth="1"/>
    <col min="6665" max="6908" width="9.140625" style="45"/>
    <col min="6909" max="6909" width="37.7109375" style="45" customWidth="1"/>
    <col min="6910" max="6910" width="9.140625" style="45"/>
    <col min="6911" max="6911" width="12.85546875" style="45" customWidth="1"/>
    <col min="6912" max="6913" width="0" style="45" hidden="1" customWidth="1"/>
    <col min="6914" max="6914" width="18.28515625" style="45" customWidth="1"/>
    <col min="6915" max="6915" width="64.85546875" style="45" customWidth="1"/>
    <col min="6916" max="6919" width="9.140625" style="45"/>
    <col min="6920" max="6920" width="14.85546875" style="45" customWidth="1"/>
    <col min="6921" max="7164" width="9.140625" style="45"/>
    <col min="7165" max="7165" width="37.7109375" style="45" customWidth="1"/>
    <col min="7166" max="7166" width="9.140625" style="45"/>
    <col min="7167" max="7167" width="12.85546875" style="45" customWidth="1"/>
    <col min="7168" max="7169" width="0" style="45" hidden="1" customWidth="1"/>
    <col min="7170" max="7170" width="18.28515625" style="45" customWidth="1"/>
    <col min="7171" max="7171" width="64.85546875" style="45" customWidth="1"/>
    <col min="7172" max="7175" width="9.140625" style="45"/>
    <col min="7176" max="7176" width="14.85546875" style="45" customWidth="1"/>
    <col min="7177" max="7420" width="9.140625" style="45"/>
    <col min="7421" max="7421" width="37.7109375" style="45" customWidth="1"/>
    <col min="7422" max="7422" width="9.140625" style="45"/>
    <col min="7423" max="7423" width="12.85546875" style="45" customWidth="1"/>
    <col min="7424" max="7425" width="0" style="45" hidden="1" customWidth="1"/>
    <col min="7426" max="7426" width="18.28515625" style="45" customWidth="1"/>
    <col min="7427" max="7427" width="64.85546875" style="45" customWidth="1"/>
    <col min="7428" max="7431" width="9.140625" style="45"/>
    <col min="7432" max="7432" width="14.85546875" style="45" customWidth="1"/>
    <col min="7433" max="7676" width="9.140625" style="45"/>
    <col min="7677" max="7677" width="37.7109375" style="45" customWidth="1"/>
    <col min="7678" max="7678" width="9.140625" style="45"/>
    <col min="7679" max="7679" width="12.85546875" style="45" customWidth="1"/>
    <col min="7680" max="7681" width="0" style="45" hidden="1" customWidth="1"/>
    <col min="7682" max="7682" width="18.28515625" style="45" customWidth="1"/>
    <col min="7683" max="7683" width="64.85546875" style="45" customWidth="1"/>
    <col min="7684" max="7687" width="9.140625" style="45"/>
    <col min="7688" max="7688" width="14.85546875" style="45" customWidth="1"/>
    <col min="7689" max="7932" width="9.140625" style="45"/>
    <col min="7933" max="7933" width="37.7109375" style="45" customWidth="1"/>
    <col min="7934" max="7934" width="9.140625" style="45"/>
    <col min="7935" max="7935" width="12.85546875" style="45" customWidth="1"/>
    <col min="7936" max="7937" width="0" style="45" hidden="1" customWidth="1"/>
    <col min="7938" max="7938" width="18.28515625" style="45" customWidth="1"/>
    <col min="7939" max="7939" width="64.85546875" style="45" customWidth="1"/>
    <col min="7940" max="7943" width="9.140625" style="45"/>
    <col min="7944" max="7944" width="14.85546875" style="45" customWidth="1"/>
    <col min="7945" max="8188" width="9.140625" style="45"/>
    <col min="8189" max="8189" width="37.7109375" style="45" customWidth="1"/>
    <col min="8190" max="8190" width="9.140625" style="45"/>
    <col min="8191" max="8191" width="12.85546875" style="45" customWidth="1"/>
    <col min="8192" max="8193" width="0" style="45" hidden="1" customWidth="1"/>
    <col min="8194" max="8194" width="18.28515625" style="45" customWidth="1"/>
    <col min="8195" max="8195" width="64.85546875" style="45" customWidth="1"/>
    <col min="8196" max="8199" width="9.140625" style="45"/>
    <col min="8200" max="8200" width="14.85546875" style="45" customWidth="1"/>
    <col min="8201" max="8444" width="9.140625" style="45"/>
    <col min="8445" max="8445" width="37.7109375" style="45" customWidth="1"/>
    <col min="8446" max="8446" width="9.140625" style="45"/>
    <col min="8447" max="8447" width="12.85546875" style="45" customWidth="1"/>
    <col min="8448" max="8449" width="0" style="45" hidden="1" customWidth="1"/>
    <col min="8450" max="8450" width="18.28515625" style="45" customWidth="1"/>
    <col min="8451" max="8451" width="64.85546875" style="45" customWidth="1"/>
    <col min="8452" max="8455" width="9.140625" style="45"/>
    <col min="8456" max="8456" width="14.85546875" style="45" customWidth="1"/>
    <col min="8457" max="8700" width="9.140625" style="45"/>
    <col min="8701" max="8701" width="37.7109375" style="45" customWidth="1"/>
    <col min="8702" max="8702" width="9.140625" style="45"/>
    <col min="8703" max="8703" width="12.85546875" style="45" customWidth="1"/>
    <col min="8704" max="8705" width="0" style="45" hidden="1" customWidth="1"/>
    <col min="8706" max="8706" width="18.28515625" style="45" customWidth="1"/>
    <col min="8707" max="8707" width="64.85546875" style="45" customWidth="1"/>
    <col min="8708" max="8711" width="9.140625" style="45"/>
    <col min="8712" max="8712" width="14.85546875" style="45" customWidth="1"/>
    <col min="8713" max="8956" width="9.140625" style="45"/>
    <col min="8957" max="8957" width="37.7109375" style="45" customWidth="1"/>
    <col min="8958" max="8958" width="9.140625" style="45"/>
    <col min="8959" max="8959" width="12.85546875" style="45" customWidth="1"/>
    <col min="8960" max="8961" width="0" style="45" hidden="1" customWidth="1"/>
    <col min="8962" max="8962" width="18.28515625" style="45" customWidth="1"/>
    <col min="8963" max="8963" width="64.85546875" style="45" customWidth="1"/>
    <col min="8964" max="8967" width="9.140625" style="45"/>
    <col min="8968" max="8968" width="14.85546875" style="45" customWidth="1"/>
    <col min="8969" max="9212" width="9.140625" style="45"/>
    <col min="9213" max="9213" width="37.7109375" style="45" customWidth="1"/>
    <col min="9214" max="9214" width="9.140625" style="45"/>
    <col min="9215" max="9215" width="12.85546875" style="45" customWidth="1"/>
    <col min="9216" max="9217" width="0" style="45" hidden="1" customWidth="1"/>
    <col min="9218" max="9218" width="18.28515625" style="45" customWidth="1"/>
    <col min="9219" max="9219" width="64.85546875" style="45" customWidth="1"/>
    <col min="9220" max="9223" width="9.140625" style="45"/>
    <col min="9224" max="9224" width="14.85546875" style="45" customWidth="1"/>
    <col min="9225" max="9468" width="9.140625" style="45"/>
    <col min="9469" max="9469" width="37.7109375" style="45" customWidth="1"/>
    <col min="9470" max="9470" width="9.140625" style="45"/>
    <col min="9471" max="9471" width="12.85546875" style="45" customWidth="1"/>
    <col min="9472" max="9473" width="0" style="45" hidden="1" customWidth="1"/>
    <col min="9474" max="9474" width="18.28515625" style="45" customWidth="1"/>
    <col min="9475" max="9475" width="64.85546875" style="45" customWidth="1"/>
    <col min="9476" max="9479" width="9.140625" style="45"/>
    <col min="9480" max="9480" width="14.85546875" style="45" customWidth="1"/>
    <col min="9481" max="9724" width="9.140625" style="45"/>
    <col min="9725" max="9725" width="37.7109375" style="45" customWidth="1"/>
    <col min="9726" max="9726" width="9.140625" style="45"/>
    <col min="9727" max="9727" width="12.85546875" style="45" customWidth="1"/>
    <col min="9728" max="9729" width="0" style="45" hidden="1" customWidth="1"/>
    <col min="9730" max="9730" width="18.28515625" style="45" customWidth="1"/>
    <col min="9731" max="9731" width="64.85546875" style="45" customWidth="1"/>
    <col min="9732" max="9735" width="9.140625" style="45"/>
    <col min="9736" max="9736" width="14.85546875" style="45" customWidth="1"/>
    <col min="9737" max="9980" width="9.140625" style="45"/>
    <col min="9981" max="9981" width="37.7109375" style="45" customWidth="1"/>
    <col min="9982" max="9982" width="9.140625" style="45"/>
    <col min="9983" max="9983" width="12.85546875" style="45" customWidth="1"/>
    <col min="9984" max="9985" width="0" style="45" hidden="1" customWidth="1"/>
    <col min="9986" max="9986" width="18.28515625" style="45" customWidth="1"/>
    <col min="9987" max="9987" width="64.85546875" style="45" customWidth="1"/>
    <col min="9988" max="9991" width="9.140625" style="45"/>
    <col min="9992" max="9992" width="14.85546875" style="45" customWidth="1"/>
    <col min="9993" max="10236" width="9.140625" style="45"/>
    <col min="10237" max="10237" width="37.7109375" style="45" customWidth="1"/>
    <col min="10238" max="10238" width="9.140625" style="45"/>
    <col min="10239" max="10239" width="12.85546875" style="45" customWidth="1"/>
    <col min="10240" max="10241" width="0" style="45" hidden="1" customWidth="1"/>
    <col min="10242" max="10242" width="18.28515625" style="45" customWidth="1"/>
    <col min="10243" max="10243" width="64.85546875" style="45" customWidth="1"/>
    <col min="10244" max="10247" width="9.140625" style="45"/>
    <col min="10248" max="10248" width="14.85546875" style="45" customWidth="1"/>
    <col min="10249" max="10492" width="9.140625" style="45"/>
    <col min="10493" max="10493" width="37.7109375" style="45" customWidth="1"/>
    <col min="10494" max="10494" width="9.140625" style="45"/>
    <col min="10495" max="10495" width="12.85546875" style="45" customWidth="1"/>
    <col min="10496" max="10497" width="0" style="45" hidden="1" customWidth="1"/>
    <col min="10498" max="10498" width="18.28515625" style="45" customWidth="1"/>
    <col min="10499" max="10499" width="64.85546875" style="45" customWidth="1"/>
    <col min="10500" max="10503" width="9.140625" style="45"/>
    <col min="10504" max="10504" width="14.85546875" style="45" customWidth="1"/>
    <col min="10505" max="10748" width="9.140625" style="45"/>
    <col min="10749" max="10749" width="37.7109375" style="45" customWidth="1"/>
    <col min="10750" max="10750" width="9.140625" style="45"/>
    <col min="10751" max="10751" width="12.85546875" style="45" customWidth="1"/>
    <col min="10752" max="10753" width="0" style="45" hidden="1" customWidth="1"/>
    <col min="10754" max="10754" width="18.28515625" style="45" customWidth="1"/>
    <col min="10755" max="10755" width="64.85546875" style="45" customWidth="1"/>
    <col min="10756" max="10759" width="9.140625" style="45"/>
    <col min="10760" max="10760" width="14.85546875" style="45" customWidth="1"/>
    <col min="10761" max="11004" width="9.140625" style="45"/>
    <col min="11005" max="11005" width="37.7109375" style="45" customWidth="1"/>
    <col min="11006" max="11006" width="9.140625" style="45"/>
    <col min="11007" max="11007" width="12.85546875" style="45" customWidth="1"/>
    <col min="11008" max="11009" width="0" style="45" hidden="1" customWidth="1"/>
    <col min="11010" max="11010" width="18.28515625" style="45" customWidth="1"/>
    <col min="11011" max="11011" width="64.85546875" style="45" customWidth="1"/>
    <col min="11012" max="11015" width="9.140625" style="45"/>
    <col min="11016" max="11016" width="14.85546875" style="45" customWidth="1"/>
    <col min="11017" max="11260" width="9.140625" style="45"/>
    <col min="11261" max="11261" width="37.7109375" style="45" customWidth="1"/>
    <col min="11262" max="11262" width="9.140625" style="45"/>
    <col min="11263" max="11263" width="12.85546875" style="45" customWidth="1"/>
    <col min="11264" max="11265" width="0" style="45" hidden="1" customWidth="1"/>
    <col min="11266" max="11266" width="18.28515625" style="45" customWidth="1"/>
    <col min="11267" max="11267" width="64.85546875" style="45" customWidth="1"/>
    <col min="11268" max="11271" width="9.140625" style="45"/>
    <col min="11272" max="11272" width="14.85546875" style="45" customWidth="1"/>
    <col min="11273" max="11516" width="9.140625" style="45"/>
    <col min="11517" max="11517" width="37.7109375" style="45" customWidth="1"/>
    <col min="11518" max="11518" width="9.140625" style="45"/>
    <col min="11519" max="11519" width="12.85546875" style="45" customWidth="1"/>
    <col min="11520" max="11521" width="0" style="45" hidden="1" customWidth="1"/>
    <col min="11522" max="11522" width="18.28515625" style="45" customWidth="1"/>
    <col min="11523" max="11523" width="64.85546875" style="45" customWidth="1"/>
    <col min="11524" max="11527" width="9.140625" style="45"/>
    <col min="11528" max="11528" width="14.85546875" style="45" customWidth="1"/>
    <col min="11529" max="11772" width="9.140625" style="45"/>
    <col min="11773" max="11773" width="37.7109375" style="45" customWidth="1"/>
    <col min="11774" max="11774" width="9.140625" style="45"/>
    <col min="11775" max="11775" width="12.85546875" style="45" customWidth="1"/>
    <col min="11776" max="11777" width="0" style="45" hidden="1" customWidth="1"/>
    <col min="11778" max="11778" width="18.28515625" style="45" customWidth="1"/>
    <col min="11779" max="11779" width="64.85546875" style="45" customWidth="1"/>
    <col min="11780" max="11783" width="9.140625" style="45"/>
    <col min="11784" max="11784" width="14.85546875" style="45" customWidth="1"/>
    <col min="11785" max="12028" width="9.140625" style="45"/>
    <col min="12029" max="12029" width="37.7109375" style="45" customWidth="1"/>
    <col min="12030" max="12030" width="9.140625" style="45"/>
    <col min="12031" max="12031" width="12.85546875" style="45" customWidth="1"/>
    <col min="12032" max="12033" width="0" style="45" hidden="1" customWidth="1"/>
    <col min="12034" max="12034" width="18.28515625" style="45" customWidth="1"/>
    <col min="12035" max="12035" width="64.85546875" style="45" customWidth="1"/>
    <col min="12036" max="12039" width="9.140625" style="45"/>
    <col min="12040" max="12040" width="14.85546875" style="45" customWidth="1"/>
    <col min="12041" max="12284" width="9.140625" style="45"/>
    <col min="12285" max="12285" width="37.7109375" style="45" customWidth="1"/>
    <col min="12286" max="12286" width="9.140625" style="45"/>
    <col min="12287" max="12287" width="12.85546875" style="45" customWidth="1"/>
    <col min="12288" max="12289" width="0" style="45" hidden="1" customWidth="1"/>
    <col min="12290" max="12290" width="18.28515625" style="45" customWidth="1"/>
    <col min="12291" max="12291" width="64.85546875" style="45" customWidth="1"/>
    <col min="12292" max="12295" width="9.140625" style="45"/>
    <col min="12296" max="12296" width="14.85546875" style="45" customWidth="1"/>
    <col min="12297" max="12540" width="9.140625" style="45"/>
    <col min="12541" max="12541" width="37.7109375" style="45" customWidth="1"/>
    <col min="12542" max="12542" width="9.140625" style="45"/>
    <col min="12543" max="12543" width="12.85546875" style="45" customWidth="1"/>
    <col min="12544" max="12545" width="0" style="45" hidden="1" customWidth="1"/>
    <col min="12546" max="12546" width="18.28515625" style="45" customWidth="1"/>
    <col min="12547" max="12547" width="64.85546875" style="45" customWidth="1"/>
    <col min="12548" max="12551" width="9.140625" style="45"/>
    <col min="12552" max="12552" width="14.85546875" style="45" customWidth="1"/>
    <col min="12553" max="12796" width="9.140625" style="45"/>
    <col min="12797" max="12797" width="37.7109375" style="45" customWidth="1"/>
    <col min="12798" max="12798" width="9.140625" style="45"/>
    <col min="12799" max="12799" width="12.85546875" style="45" customWidth="1"/>
    <col min="12800" max="12801" width="0" style="45" hidden="1" customWidth="1"/>
    <col min="12802" max="12802" width="18.28515625" style="45" customWidth="1"/>
    <col min="12803" max="12803" width="64.85546875" style="45" customWidth="1"/>
    <col min="12804" max="12807" width="9.140625" style="45"/>
    <col min="12808" max="12808" width="14.85546875" style="45" customWidth="1"/>
    <col min="12809" max="13052" width="9.140625" style="45"/>
    <col min="13053" max="13053" width="37.7109375" style="45" customWidth="1"/>
    <col min="13054" max="13054" width="9.140625" style="45"/>
    <col min="13055" max="13055" width="12.85546875" style="45" customWidth="1"/>
    <col min="13056" max="13057" width="0" style="45" hidden="1" customWidth="1"/>
    <col min="13058" max="13058" width="18.28515625" style="45" customWidth="1"/>
    <col min="13059" max="13059" width="64.85546875" style="45" customWidth="1"/>
    <col min="13060" max="13063" width="9.140625" style="45"/>
    <col min="13064" max="13064" width="14.85546875" style="45" customWidth="1"/>
    <col min="13065" max="13308" width="9.140625" style="45"/>
    <col min="13309" max="13309" width="37.7109375" style="45" customWidth="1"/>
    <col min="13310" max="13310" width="9.140625" style="45"/>
    <col min="13311" max="13311" width="12.85546875" style="45" customWidth="1"/>
    <col min="13312" max="13313" width="0" style="45" hidden="1" customWidth="1"/>
    <col min="13314" max="13314" width="18.28515625" style="45" customWidth="1"/>
    <col min="13315" max="13315" width="64.85546875" style="45" customWidth="1"/>
    <col min="13316" max="13319" width="9.140625" style="45"/>
    <col min="13320" max="13320" width="14.85546875" style="45" customWidth="1"/>
    <col min="13321" max="13564" width="9.140625" style="45"/>
    <col min="13565" max="13565" width="37.7109375" style="45" customWidth="1"/>
    <col min="13566" max="13566" width="9.140625" style="45"/>
    <col min="13567" max="13567" width="12.85546875" style="45" customWidth="1"/>
    <col min="13568" max="13569" width="0" style="45" hidden="1" customWidth="1"/>
    <col min="13570" max="13570" width="18.28515625" style="45" customWidth="1"/>
    <col min="13571" max="13571" width="64.85546875" style="45" customWidth="1"/>
    <col min="13572" max="13575" width="9.140625" style="45"/>
    <col min="13576" max="13576" width="14.85546875" style="45" customWidth="1"/>
    <col min="13577" max="13820" width="9.140625" style="45"/>
    <col min="13821" max="13821" width="37.7109375" style="45" customWidth="1"/>
    <col min="13822" max="13822" width="9.140625" style="45"/>
    <col min="13823" max="13823" width="12.85546875" style="45" customWidth="1"/>
    <col min="13824" max="13825" width="0" style="45" hidden="1" customWidth="1"/>
    <col min="13826" max="13826" width="18.28515625" style="45" customWidth="1"/>
    <col min="13827" max="13827" width="64.85546875" style="45" customWidth="1"/>
    <col min="13828" max="13831" width="9.140625" style="45"/>
    <col min="13832" max="13832" width="14.85546875" style="45" customWidth="1"/>
    <col min="13833" max="14076" width="9.140625" style="45"/>
    <col min="14077" max="14077" width="37.7109375" style="45" customWidth="1"/>
    <col min="14078" max="14078" width="9.140625" style="45"/>
    <col min="14079" max="14079" width="12.85546875" style="45" customWidth="1"/>
    <col min="14080" max="14081" width="0" style="45" hidden="1" customWidth="1"/>
    <col min="14082" max="14082" width="18.28515625" style="45" customWidth="1"/>
    <col min="14083" max="14083" width="64.85546875" style="45" customWidth="1"/>
    <col min="14084" max="14087" width="9.140625" style="45"/>
    <col min="14088" max="14088" width="14.85546875" style="45" customWidth="1"/>
    <col min="14089" max="14332" width="9.140625" style="45"/>
    <col min="14333" max="14333" width="37.7109375" style="45" customWidth="1"/>
    <col min="14334" max="14334" width="9.140625" style="45"/>
    <col min="14335" max="14335" width="12.85546875" style="45" customWidth="1"/>
    <col min="14336" max="14337" width="0" style="45" hidden="1" customWidth="1"/>
    <col min="14338" max="14338" width="18.28515625" style="45" customWidth="1"/>
    <col min="14339" max="14339" width="64.85546875" style="45" customWidth="1"/>
    <col min="14340" max="14343" width="9.140625" style="45"/>
    <col min="14344" max="14344" width="14.85546875" style="45" customWidth="1"/>
    <col min="14345" max="14588" width="9.140625" style="45"/>
    <col min="14589" max="14589" width="37.7109375" style="45" customWidth="1"/>
    <col min="14590" max="14590" width="9.140625" style="45"/>
    <col min="14591" max="14591" width="12.85546875" style="45" customWidth="1"/>
    <col min="14592" max="14593" width="0" style="45" hidden="1" customWidth="1"/>
    <col min="14594" max="14594" width="18.28515625" style="45" customWidth="1"/>
    <col min="14595" max="14595" width="64.85546875" style="45" customWidth="1"/>
    <col min="14596" max="14599" width="9.140625" style="45"/>
    <col min="14600" max="14600" width="14.85546875" style="45" customWidth="1"/>
    <col min="14601" max="14844" width="9.140625" style="45"/>
    <col min="14845" max="14845" width="37.7109375" style="45" customWidth="1"/>
    <col min="14846" max="14846" width="9.140625" style="45"/>
    <col min="14847" max="14847" width="12.85546875" style="45" customWidth="1"/>
    <col min="14848" max="14849" width="0" style="45" hidden="1" customWidth="1"/>
    <col min="14850" max="14850" width="18.28515625" style="45" customWidth="1"/>
    <col min="14851" max="14851" width="64.85546875" style="45" customWidth="1"/>
    <col min="14852" max="14855" width="9.140625" style="45"/>
    <col min="14856" max="14856" width="14.85546875" style="45" customWidth="1"/>
    <col min="14857" max="15100" width="9.140625" style="45"/>
    <col min="15101" max="15101" width="37.7109375" style="45" customWidth="1"/>
    <col min="15102" max="15102" width="9.140625" style="45"/>
    <col min="15103" max="15103" width="12.85546875" style="45" customWidth="1"/>
    <col min="15104" max="15105" width="0" style="45" hidden="1" customWidth="1"/>
    <col min="15106" max="15106" width="18.28515625" style="45" customWidth="1"/>
    <col min="15107" max="15107" width="64.85546875" style="45" customWidth="1"/>
    <col min="15108" max="15111" width="9.140625" style="45"/>
    <col min="15112" max="15112" width="14.85546875" style="45" customWidth="1"/>
    <col min="15113" max="15356" width="9.140625" style="45"/>
    <col min="15357" max="15357" width="37.7109375" style="45" customWidth="1"/>
    <col min="15358" max="15358" width="9.140625" style="45"/>
    <col min="15359" max="15359" width="12.85546875" style="45" customWidth="1"/>
    <col min="15360" max="15361" width="0" style="45" hidden="1" customWidth="1"/>
    <col min="15362" max="15362" width="18.28515625" style="45" customWidth="1"/>
    <col min="15363" max="15363" width="64.85546875" style="45" customWidth="1"/>
    <col min="15364" max="15367" width="9.140625" style="45"/>
    <col min="15368" max="15368" width="14.85546875" style="45" customWidth="1"/>
    <col min="15369" max="15612" width="9.140625" style="45"/>
    <col min="15613" max="15613" width="37.7109375" style="45" customWidth="1"/>
    <col min="15614" max="15614" width="9.140625" style="45"/>
    <col min="15615" max="15615" width="12.85546875" style="45" customWidth="1"/>
    <col min="15616" max="15617" width="0" style="45" hidden="1" customWidth="1"/>
    <col min="15618" max="15618" width="18.28515625" style="45" customWidth="1"/>
    <col min="15619" max="15619" width="64.85546875" style="45" customWidth="1"/>
    <col min="15620" max="15623" width="9.140625" style="45"/>
    <col min="15624" max="15624" width="14.85546875" style="45" customWidth="1"/>
    <col min="15625" max="15868" width="9.140625" style="45"/>
    <col min="15869" max="15869" width="37.7109375" style="45" customWidth="1"/>
    <col min="15870" max="15870" width="9.140625" style="45"/>
    <col min="15871" max="15871" width="12.85546875" style="45" customWidth="1"/>
    <col min="15872" max="15873" width="0" style="45" hidden="1" customWidth="1"/>
    <col min="15874" max="15874" width="18.28515625" style="45" customWidth="1"/>
    <col min="15875" max="15875" width="64.85546875" style="45" customWidth="1"/>
    <col min="15876" max="15879" width="9.140625" style="45"/>
    <col min="15880" max="15880" width="14.85546875" style="45" customWidth="1"/>
    <col min="15881" max="16124" width="9.140625" style="45"/>
    <col min="16125" max="16125" width="37.7109375" style="45" customWidth="1"/>
    <col min="16126" max="16126" width="9.140625" style="45"/>
    <col min="16127" max="16127" width="12.85546875" style="45" customWidth="1"/>
    <col min="16128" max="16129" width="0" style="45" hidden="1" customWidth="1"/>
    <col min="16130" max="16130" width="18.28515625" style="45" customWidth="1"/>
    <col min="16131" max="16131" width="64.85546875" style="45" customWidth="1"/>
    <col min="16132" max="16135" width="9.140625" style="45"/>
    <col min="16136" max="16136" width="14.85546875" style="45" customWidth="1"/>
    <col min="16137" max="16384" width="9.140625" style="45"/>
  </cols>
  <sheetData>
    <row r="1" spans="1:44" ht="18.75" x14ac:dyDescent="0.25">
      <c r="L1" s="28" t="s">
        <v>66</v>
      </c>
    </row>
    <row r="2" spans="1:44" ht="18.75" x14ac:dyDescent="0.3">
      <c r="L2" s="12" t="s">
        <v>8</v>
      </c>
    </row>
    <row r="3" spans="1:44" ht="18.75" x14ac:dyDescent="0.3">
      <c r="L3" s="12" t="s">
        <v>65</v>
      </c>
    </row>
    <row r="4" spans="1:44" ht="18.75" x14ac:dyDescent="0.3">
      <c r="K4" s="12"/>
    </row>
    <row r="5" spans="1:44" x14ac:dyDescent="0.25">
      <c r="A5" s="338" t="str">
        <f>'2. паспорт  ТП'!A4:S4</f>
        <v>Год раскрытия информации: 2024 год</v>
      </c>
      <c r="B5" s="338"/>
      <c r="C5" s="338"/>
      <c r="D5" s="338"/>
      <c r="E5" s="338"/>
      <c r="F5" s="338"/>
      <c r="G5" s="338"/>
      <c r="H5" s="338"/>
      <c r="I5" s="338"/>
      <c r="J5" s="338"/>
      <c r="K5" s="338"/>
      <c r="L5" s="338"/>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19"/>
      <c r="AN5" s="119"/>
      <c r="AO5" s="119"/>
      <c r="AP5" s="119"/>
      <c r="AQ5" s="119"/>
      <c r="AR5" s="119"/>
    </row>
    <row r="6" spans="1:44" ht="18.75" x14ac:dyDescent="0.3">
      <c r="K6" s="12"/>
    </row>
    <row r="7" spans="1:44" ht="18.75" x14ac:dyDescent="0.25">
      <c r="A7" s="342" t="s">
        <v>7</v>
      </c>
      <c r="B7" s="342"/>
      <c r="C7" s="342"/>
      <c r="D7" s="342"/>
      <c r="E7" s="342"/>
      <c r="F7" s="342"/>
      <c r="G7" s="342"/>
      <c r="H7" s="342"/>
      <c r="I7" s="342"/>
      <c r="J7" s="342"/>
      <c r="K7" s="342"/>
      <c r="L7" s="342"/>
    </row>
    <row r="8" spans="1:44" ht="18.75" x14ac:dyDescent="0.25">
      <c r="A8" s="342"/>
      <c r="B8" s="342"/>
      <c r="C8" s="342"/>
      <c r="D8" s="342"/>
      <c r="E8" s="342"/>
      <c r="F8" s="342"/>
      <c r="G8" s="342"/>
      <c r="H8" s="342"/>
      <c r="I8" s="342"/>
      <c r="J8" s="342"/>
      <c r="K8" s="342"/>
      <c r="L8" s="342"/>
    </row>
    <row r="9" spans="1:44" x14ac:dyDescent="0.25">
      <c r="A9" s="348" t="str">
        <f>'1. паспорт местоположение'!A9:C9</f>
        <v>Акционерное общество "Западная энергетическая компания"</v>
      </c>
      <c r="B9" s="348"/>
      <c r="C9" s="348"/>
      <c r="D9" s="348"/>
      <c r="E9" s="348"/>
      <c r="F9" s="348"/>
      <c r="G9" s="348"/>
      <c r="H9" s="348"/>
      <c r="I9" s="348"/>
      <c r="J9" s="348"/>
      <c r="K9" s="348"/>
      <c r="L9" s="348"/>
    </row>
    <row r="10" spans="1:44" x14ac:dyDescent="0.25">
      <c r="A10" s="339" t="s">
        <v>6</v>
      </c>
      <c r="B10" s="339"/>
      <c r="C10" s="339"/>
      <c r="D10" s="339"/>
      <c r="E10" s="339"/>
      <c r="F10" s="339"/>
      <c r="G10" s="339"/>
      <c r="H10" s="339"/>
      <c r="I10" s="339"/>
      <c r="J10" s="339"/>
      <c r="K10" s="339"/>
      <c r="L10" s="339"/>
    </row>
    <row r="11" spans="1:44" ht="18.75" x14ac:dyDescent="0.25">
      <c r="A11" s="342"/>
      <c r="B11" s="342"/>
      <c r="C11" s="342"/>
      <c r="D11" s="342"/>
      <c r="E11" s="342"/>
      <c r="F11" s="342"/>
      <c r="G11" s="342"/>
      <c r="H11" s="342"/>
      <c r="I11" s="342"/>
      <c r="J11" s="342"/>
      <c r="K11" s="342"/>
      <c r="L11" s="342"/>
    </row>
    <row r="12" spans="1:44" x14ac:dyDescent="0.25">
      <c r="A12" s="348" t="str">
        <f>'1. паспорт местоположение'!A12:C12</f>
        <v>M 22-06</v>
      </c>
      <c r="B12" s="348"/>
      <c r="C12" s="348"/>
      <c r="D12" s="348"/>
      <c r="E12" s="348"/>
      <c r="F12" s="348"/>
      <c r="G12" s="348"/>
      <c r="H12" s="348"/>
      <c r="I12" s="348"/>
      <c r="J12" s="348"/>
      <c r="K12" s="348"/>
      <c r="L12" s="348"/>
    </row>
    <row r="13" spans="1:44" x14ac:dyDescent="0.25">
      <c r="A13" s="339" t="s">
        <v>5</v>
      </c>
      <c r="B13" s="339"/>
      <c r="C13" s="339"/>
      <c r="D13" s="339"/>
      <c r="E13" s="339"/>
      <c r="F13" s="339"/>
      <c r="G13" s="339"/>
      <c r="H13" s="339"/>
      <c r="I13" s="339"/>
      <c r="J13" s="339"/>
      <c r="K13" s="339"/>
      <c r="L13" s="339"/>
    </row>
    <row r="14" spans="1:44" ht="18.75" x14ac:dyDescent="0.25">
      <c r="A14" s="346"/>
      <c r="B14" s="346"/>
      <c r="C14" s="346"/>
      <c r="D14" s="346"/>
      <c r="E14" s="346"/>
      <c r="F14" s="346"/>
      <c r="G14" s="346"/>
      <c r="H14" s="346"/>
      <c r="I14" s="346"/>
      <c r="J14" s="346"/>
      <c r="K14" s="346"/>
      <c r="L14" s="346"/>
    </row>
    <row r="15" spans="1:44" ht="102" customHeight="1" x14ac:dyDescent="0.25">
      <c r="A15" s="345" t="str">
        <f>'1. паспорт местоположение'!A15</f>
        <v>Приобретение устройства испытательного  "Ретом-61" – 1 шт.</v>
      </c>
      <c r="B15" s="345"/>
      <c r="C15" s="345"/>
      <c r="D15" s="345"/>
      <c r="E15" s="345"/>
      <c r="F15" s="345"/>
      <c r="G15" s="345"/>
      <c r="H15" s="345"/>
      <c r="I15" s="345"/>
      <c r="J15" s="345"/>
      <c r="K15" s="345"/>
      <c r="L15" s="345"/>
    </row>
    <row r="16" spans="1:44" x14ac:dyDescent="0.25">
      <c r="A16" s="339" t="s">
        <v>4</v>
      </c>
      <c r="B16" s="339"/>
      <c r="C16" s="339"/>
      <c r="D16" s="339"/>
      <c r="E16" s="339"/>
      <c r="F16" s="339"/>
      <c r="G16" s="339"/>
      <c r="H16" s="339"/>
      <c r="I16" s="339"/>
      <c r="J16" s="339"/>
      <c r="K16" s="339"/>
      <c r="L16" s="339"/>
    </row>
    <row r="17" spans="1:12" ht="15.75" customHeight="1" x14ac:dyDescent="0.25">
      <c r="L17" s="65"/>
    </row>
    <row r="18" spans="1:12" x14ac:dyDescent="0.25">
      <c r="K18" s="31"/>
    </row>
    <row r="19" spans="1:12" ht="15.75" customHeight="1" x14ac:dyDescent="0.25">
      <c r="A19" s="395" t="s">
        <v>478</v>
      </c>
      <c r="B19" s="395"/>
      <c r="C19" s="395"/>
      <c r="D19" s="395"/>
      <c r="E19" s="395"/>
      <c r="F19" s="395"/>
      <c r="G19" s="395"/>
      <c r="H19" s="395"/>
      <c r="I19" s="395"/>
      <c r="J19" s="395"/>
      <c r="K19" s="395"/>
      <c r="L19" s="395"/>
    </row>
    <row r="20" spans="1:12" x14ac:dyDescent="0.25">
      <c r="A20" s="46"/>
      <c r="B20" s="46"/>
    </row>
    <row r="21" spans="1:12" ht="28.5" customHeight="1" x14ac:dyDescent="0.25">
      <c r="A21" s="396" t="s">
        <v>216</v>
      </c>
      <c r="B21" s="396" t="s">
        <v>215</v>
      </c>
      <c r="C21" s="401" t="s">
        <v>410</v>
      </c>
      <c r="D21" s="401"/>
      <c r="E21" s="401"/>
      <c r="F21" s="401"/>
      <c r="G21" s="401"/>
      <c r="H21" s="401"/>
      <c r="I21" s="396" t="s">
        <v>214</v>
      </c>
      <c r="J21" s="398" t="s">
        <v>412</v>
      </c>
      <c r="K21" s="396" t="s">
        <v>213</v>
      </c>
      <c r="L21" s="397" t="s">
        <v>411</v>
      </c>
    </row>
    <row r="22" spans="1:12" ht="58.5" customHeight="1" x14ac:dyDescent="0.25">
      <c r="A22" s="396"/>
      <c r="B22" s="396"/>
      <c r="C22" s="402" t="s">
        <v>2</v>
      </c>
      <c r="D22" s="402"/>
      <c r="E22" s="402" t="s">
        <v>9</v>
      </c>
      <c r="F22" s="402"/>
      <c r="G22" s="402" t="s">
        <v>532</v>
      </c>
      <c r="H22" s="402"/>
      <c r="I22" s="396"/>
      <c r="J22" s="399"/>
      <c r="K22" s="396"/>
      <c r="L22" s="397"/>
    </row>
    <row r="23" spans="1:12" ht="31.5" x14ac:dyDescent="0.25">
      <c r="A23" s="396"/>
      <c r="B23" s="396"/>
      <c r="C23" s="59" t="s">
        <v>212</v>
      </c>
      <c r="D23" s="59" t="s">
        <v>211</v>
      </c>
      <c r="E23" s="59" t="s">
        <v>212</v>
      </c>
      <c r="F23" s="59" t="s">
        <v>211</v>
      </c>
      <c r="G23" s="59" t="s">
        <v>212</v>
      </c>
      <c r="H23" s="59" t="s">
        <v>211</v>
      </c>
      <c r="I23" s="396"/>
      <c r="J23" s="400"/>
      <c r="K23" s="396"/>
      <c r="L23" s="397"/>
    </row>
    <row r="24" spans="1:12" x14ac:dyDescent="0.25">
      <c r="A24" s="50">
        <v>1</v>
      </c>
      <c r="B24" s="50">
        <v>2</v>
      </c>
      <c r="C24" s="59">
        <v>3</v>
      </c>
      <c r="D24" s="59">
        <v>4</v>
      </c>
      <c r="E24" s="59">
        <v>5</v>
      </c>
      <c r="F24" s="59">
        <v>6</v>
      </c>
      <c r="G24" s="59">
        <v>7</v>
      </c>
      <c r="H24" s="59">
        <v>8</v>
      </c>
      <c r="I24" s="59">
        <v>9</v>
      </c>
      <c r="J24" s="59">
        <v>10</v>
      </c>
      <c r="K24" s="59">
        <v>11</v>
      </c>
      <c r="L24" s="59">
        <v>12</v>
      </c>
    </row>
    <row r="25" spans="1:12" ht="31.5" x14ac:dyDescent="0.25">
      <c r="A25" s="59">
        <v>1</v>
      </c>
      <c r="B25" s="60" t="s">
        <v>210</v>
      </c>
      <c r="C25" s="63"/>
      <c r="D25" s="63"/>
      <c r="E25" s="63"/>
      <c r="F25" s="63"/>
      <c r="G25" s="63"/>
      <c r="H25" s="63"/>
      <c r="I25" s="63"/>
      <c r="J25" s="63"/>
      <c r="K25" s="57"/>
      <c r="L25" s="67"/>
    </row>
    <row r="26" spans="1:12" ht="21.75" customHeight="1" x14ac:dyDescent="0.25">
      <c r="A26" s="59" t="s">
        <v>209</v>
      </c>
      <c r="B26" s="64" t="s">
        <v>417</v>
      </c>
      <c r="C26" s="125" t="s">
        <v>528</v>
      </c>
      <c r="D26" s="125" t="s">
        <v>528</v>
      </c>
      <c r="E26" s="125"/>
      <c r="F26" s="125"/>
      <c r="G26" s="125" t="s">
        <v>528</v>
      </c>
      <c r="H26" s="125" t="s">
        <v>528</v>
      </c>
      <c r="I26" s="125"/>
      <c r="J26" s="63"/>
      <c r="K26" s="57"/>
      <c r="L26" s="57"/>
    </row>
    <row r="27" spans="1:12" ht="39" customHeight="1" x14ac:dyDescent="0.25">
      <c r="A27" s="59" t="s">
        <v>208</v>
      </c>
      <c r="B27" s="64" t="s">
        <v>419</v>
      </c>
      <c r="C27" s="125" t="s">
        <v>528</v>
      </c>
      <c r="D27" s="125" t="s">
        <v>528</v>
      </c>
      <c r="E27" s="125"/>
      <c r="F27" s="125"/>
      <c r="G27" s="125" t="s">
        <v>528</v>
      </c>
      <c r="H27" s="125" t="s">
        <v>528</v>
      </c>
      <c r="I27" s="125"/>
      <c r="J27" s="63"/>
      <c r="K27" s="57"/>
      <c r="L27" s="57"/>
    </row>
    <row r="28" spans="1:12" ht="70.5" customHeight="1" x14ac:dyDescent="0.25">
      <c r="A28" s="59" t="s">
        <v>418</v>
      </c>
      <c r="B28" s="64" t="s">
        <v>423</v>
      </c>
      <c r="C28" s="125" t="s">
        <v>528</v>
      </c>
      <c r="D28" s="125" t="s">
        <v>528</v>
      </c>
      <c r="E28" s="125"/>
      <c r="F28" s="125"/>
      <c r="G28" s="125" t="s">
        <v>528</v>
      </c>
      <c r="H28" s="125" t="s">
        <v>528</v>
      </c>
      <c r="I28" s="125"/>
      <c r="J28" s="63"/>
      <c r="K28" s="57"/>
      <c r="L28" s="57"/>
    </row>
    <row r="29" spans="1:12" ht="54" customHeight="1" x14ac:dyDescent="0.25">
      <c r="A29" s="59" t="s">
        <v>207</v>
      </c>
      <c r="B29" s="64" t="s">
        <v>422</v>
      </c>
      <c r="C29" s="125" t="s">
        <v>528</v>
      </c>
      <c r="D29" s="125" t="s">
        <v>528</v>
      </c>
      <c r="E29" s="125"/>
      <c r="F29" s="125"/>
      <c r="G29" s="125" t="s">
        <v>528</v>
      </c>
      <c r="H29" s="125" t="s">
        <v>528</v>
      </c>
      <c r="I29" s="125"/>
      <c r="J29" s="63"/>
      <c r="K29" s="57"/>
      <c r="L29" s="57"/>
    </row>
    <row r="30" spans="1:12" ht="42" customHeight="1" x14ac:dyDescent="0.25">
      <c r="A30" s="59" t="s">
        <v>206</v>
      </c>
      <c r="B30" s="64" t="s">
        <v>424</v>
      </c>
      <c r="C30" s="125" t="s">
        <v>528</v>
      </c>
      <c r="D30" s="125" t="s">
        <v>528</v>
      </c>
      <c r="E30" s="125"/>
      <c r="F30" s="125"/>
      <c r="G30" s="125" t="s">
        <v>528</v>
      </c>
      <c r="H30" s="125" t="s">
        <v>528</v>
      </c>
      <c r="I30" s="125"/>
      <c r="J30" s="63"/>
      <c r="K30" s="57"/>
      <c r="L30" s="57"/>
    </row>
    <row r="31" spans="1:12" ht="37.5" customHeight="1" x14ac:dyDescent="0.25">
      <c r="A31" s="59" t="s">
        <v>205</v>
      </c>
      <c r="B31" s="58" t="s">
        <v>420</v>
      </c>
      <c r="C31" s="125" t="s">
        <v>528</v>
      </c>
      <c r="D31" s="125" t="s">
        <v>528</v>
      </c>
      <c r="E31" s="125"/>
      <c r="F31" s="125"/>
      <c r="G31" s="125" t="s">
        <v>528</v>
      </c>
      <c r="H31" s="125" t="s">
        <v>528</v>
      </c>
      <c r="I31" s="125"/>
      <c r="J31" s="63"/>
      <c r="K31" s="57"/>
      <c r="L31" s="57"/>
    </row>
    <row r="32" spans="1:12" ht="31.5" x14ac:dyDescent="0.25">
      <c r="A32" s="59" t="s">
        <v>203</v>
      </c>
      <c r="B32" s="58" t="s">
        <v>425</v>
      </c>
      <c r="C32" s="125" t="s">
        <v>528</v>
      </c>
      <c r="D32" s="125" t="s">
        <v>528</v>
      </c>
      <c r="E32" s="125"/>
      <c r="F32" s="125"/>
      <c r="G32" s="125" t="s">
        <v>528</v>
      </c>
      <c r="H32" s="125" t="s">
        <v>528</v>
      </c>
      <c r="I32" s="125"/>
      <c r="J32" s="63"/>
      <c r="K32" s="57"/>
      <c r="L32" s="57"/>
    </row>
    <row r="33" spans="1:12" ht="37.5" customHeight="1" x14ac:dyDescent="0.25">
      <c r="A33" s="59" t="s">
        <v>436</v>
      </c>
      <c r="B33" s="58" t="s">
        <v>352</v>
      </c>
      <c r="C33" s="125" t="s">
        <v>528</v>
      </c>
      <c r="D33" s="125" t="s">
        <v>528</v>
      </c>
      <c r="E33" s="125"/>
      <c r="F33" s="125"/>
      <c r="G33" s="125" t="s">
        <v>528</v>
      </c>
      <c r="H33" s="125" t="s">
        <v>528</v>
      </c>
      <c r="I33" s="125"/>
      <c r="J33" s="63"/>
      <c r="K33" s="57"/>
      <c r="L33" s="57"/>
    </row>
    <row r="34" spans="1:12" ht="47.25" customHeight="1" x14ac:dyDescent="0.25">
      <c r="A34" s="59" t="s">
        <v>437</v>
      </c>
      <c r="B34" s="58" t="s">
        <v>429</v>
      </c>
      <c r="C34" s="125" t="s">
        <v>528</v>
      </c>
      <c r="D34" s="125" t="s">
        <v>528</v>
      </c>
      <c r="E34" s="125"/>
      <c r="F34" s="125"/>
      <c r="G34" s="125" t="s">
        <v>528</v>
      </c>
      <c r="H34" s="125" t="s">
        <v>528</v>
      </c>
      <c r="I34" s="125"/>
      <c r="J34" s="62"/>
      <c r="K34" s="62"/>
      <c r="L34" s="57"/>
    </row>
    <row r="35" spans="1:12" ht="49.5" customHeight="1" x14ac:dyDescent="0.25">
      <c r="A35" s="59" t="s">
        <v>438</v>
      </c>
      <c r="B35" s="58" t="s">
        <v>204</v>
      </c>
      <c r="C35" s="125" t="s">
        <v>528</v>
      </c>
      <c r="D35" s="125" t="s">
        <v>528</v>
      </c>
      <c r="E35" s="125"/>
      <c r="F35" s="125"/>
      <c r="G35" s="125" t="s">
        <v>528</v>
      </c>
      <c r="H35" s="125" t="s">
        <v>528</v>
      </c>
      <c r="I35" s="125"/>
      <c r="J35" s="62"/>
      <c r="K35" s="62"/>
      <c r="L35" s="57"/>
    </row>
    <row r="36" spans="1:12" ht="37.5" customHeight="1" x14ac:dyDescent="0.25">
      <c r="A36" s="59" t="s">
        <v>439</v>
      </c>
      <c r="B36" s="58" t="s">
        <v>421</v>
      </c>
      <c r="C36" s="125" t="s">
        <v>528</v>
      </c>
      <c r="D36" s="125" t="s">
        <v>528</v>
      </c>
      <c r="E36" s="125"/>
      <c r="F36" s="125"/>
      <c r="G36" s="125" t="s">
        <v>528</v>
      </c>
      <c r="H36" s="125" t="s">
        <v>528</v>
      </c>
      <c r="I36" s="125"/>
      <c r="J36" s="61"/>
      <c r="K36" s="57"/>
      <c r="L36" s="57"/>
    </row>
    <row r="37" spans="1:12" x14ac:dyDescent="0.25">
      <c r="A37" s="59" t="s">
        <v>440</v>
      </c>
      <c r="B37" s="58" t="s">
        <v>202</v>
      </c>
      <c r="C37" s="125" t="s">
        <v>528</v>
      </c>
      <c r="D37" s="125" t="s">
        <v>528</v>
      </c>
      <c r="E37" s="125"/>
      <c r="F37" s="125"/>
      <c r="G37" s="125" t="s">
        <v>528</v>
      </c>
      <c r="H37" s="125" t="s">
        <v>528</v>
      </c>
      <c r="I37" s="125"/>
      <c r="J37" s="61"/>
      <c r="K37" s="57"/>
      <c r="L37" s="57"/>
    </row>
    <row r="38" spans="1:12" x14ac:dyDescent="0.25">
      <c r="A38" s="59" t="s">
        <v>441</v>
      </c>
      <c r="B38" s="60" t="s">
        <v>201</v>
      </c>
      <c r="C38" s="57"/>
      <c r="D38" s="57"/>
      <c r="E38" s="57"/>
      <c r="F38" s="57"/>
      <c r="G38" s="57"/>
      <c r="H38" s="57"/>
      <c r="I38" s="57"/>
      <c r="J38" s="57"/>
      <c r="K38" s="57"/>
      <c r="L38" s="57"/>
    </row>
    <row r="39" spans="1:12" ht="63" x14ac:dyDescent="0.25">
      <c r="A39" s="59">
        <v>2</v>
      </c>
      <c r="B39" s="58" t="s">
        <v>426</v>
      </c>
      <c r="C39" s="125" t="s">
        <v>528</v>
      </c>
      <c r="D39" s="125" t="s">
        <v>528</v>
      </c>
      <c r="E39" s="125"/>
      <c r="F39" s="125"/>
      <c r="G39" s="125" t="s">
        <v>528</v>
      </c>
      <c r="H39" s="125" t="s">
        <v>528</v>
      </c>
      <c r="I39" s="125"/>
      <c r="J39" s="57"/>
      <c r="K39" s="57"/>
      <c r="L39" s="57"/>
    </row>
    <row r="40" spans="1:12" ht="33.75" customHeight="1" x14ac:dyDescent="0.25">
      <c r="A40" s="59" t="s">
        <v>200</v>
      </c>
      <c r="B40" s="58" t="s">
        <v>428</v>
      </c>
      <c r="C40" s="126">
        <v>45321</v>
      </c>
      <c r="D40" s="126">
        <v>45656</v>
      </c>
      <c r="E40" s="126"/>
      <c r="F40" s="126"/>
      <c r="G40" s="126">
        <v>45321</v>
      </c>
      <c r="H40" s="126">
        <v>45656</v>
      </c>
      <c r="I40" s="125"/>
      <c r="J40" s="57"/>
      <c r="K40" s="57"/>
      <c r="L40" s="57"/>
    </row>
    <row r="41" spans="1:12" ht="63" customHeight="1" x14ac:dyDescent="0.25">
      <c r="A41" s="59" t="s">
        <v>199</v>
      </c>
      <c r="B41" s="60" t="s">
        <v>509</v>
      </c>
      <c r="C41" s="57"/>
      <c r="D41" s="57"/>
      <c r="E41" s="57"/>
      <c r="F41" s="57"/>
      <c r="G41" s="57"/>
      <c r="H41" s="57"/>
      <c r="I41" s="57"/>
      <c r="J41" s="57"/>
      <c r="K41" s="57"/>
      <c r="L41" s="57"/>
    </row>
    <row r="42" spans="1:12" ht="58.5" customHeight="1" x14ac:dyDescent="0.25">
      <c r="A42" s="59">
        <v>3</v>
      </c>
      <c r="B42" s="58" t="s">
        <v>427</v>
      </c>
      <c r="C42" s="125" t="s">
        <v>528</v>
      </c>
      <c r="D42" s="125" t="s">
        <v>528</v>
      </c>
      <c r="E42" s="125"/>
      <c r="F42" s="125"/>
      <c r="G42" s="125" t="s">
        <v>528</v>
      </c>
      <c r="H42" s="125" t="s">
        <v>528</v>
      </c>
      <c r="I42" s="125"/>
      <c r="J42" s="57"/>
      <c r="K42" s="57"/>
      <c r="L42" s="57"/>
    </row>
    <row r="43" spans="1:12" ht="34.5" customHeight="1" x14ac:dyDescent="0.25">
      <c r="A43" s="59" t="s">
        <v>198</v>
      </c>
      <c r="B43" s="58" t="s">
        <v>196</v>
      </c>
      <c r="C43" s="126">
        <v>45321</v>
      </c>
      <c r="D43" s="126">
        <v>45656</v>
      </c>
      <c r="E43" s="126"/>
      <c r="F43" s="125"/>
      <c r="G43" s="126">
        <v>45321</v>
      </c>
      <c r="H43" s="126">
        <v>45656</v>
      </c>
      <c r="I43" s="125"/>
      <c r="J43" s="57"/>
      <c r="K43" s="57"/>
      <c r="L43" s="57"/>
    </row>
    <row r="44" spans="1:12" ht="24.75" customHeight="1" x14ac:dyDescent="0.25">
      <c r="A44" s="59" t="s">
        <v>197</v>
      </c>
      <c r="B44" s="58" t="s">
        <v>194</v>
      </c>
      <c r="C44" s="125" t="s">
        <v>528</v>
      </c>
      <c r="D44" s="125" t="s">
        <v>528</v>
      </c>
      <c r="E44" s="125"/>
      <c r="F44" s="125"/>
      <c r="G44" s="125" t="s">
        <v>528</v>
      </c>
      <c r="H44" s="125" t="s">
        <v>528</v>
      </c>
      <c r="I44" s="125"/>
      <c r="J44" s="57"/>
      <c r="K44" s="57"/>
      <c r="L44" s="57"/>
    </row>
    <row r="45" spans="1:12" ht="90.75" customHeight="1" x14ac:dyDescent="0.25">
      <c r="A45" s="59" t="s">
        <v>195</v>
      </c>
      <c r="B45" s="58" t="s">
        <v>432</v>
      </c>
      <c r="C45" s="125" t="s">
        <v>528</v>
      </c>
      <c r="D45" s="125" t="s">
        <v>528</v>
      </c>
      <c r="E45" s="125"/>
      <c r="F45" s="125"/>
      <c r="G45" s="125" t="s">
        <v>528</v>
      </c>
      <c r="H45" s="125" t="s">
        <v>528</v>
      </c>
      <c r="I45" s="125"/>
      <c r="J45" s="57"/>
      <c r="K45" s="57"/>
      <c r="L45" s="57"/>
    </row>
    <row r="46" spans="1:12" ht="167.25" customHeight="1" x14ac:dyDescent="0.25">
      <c r="A46" s="59" t="s">
        <v>193</v>
      </c>
      <c r="B46" s="58" t="s">
        <v>430</v>
      </c>
      <c r="C46" s="125" t="s">
        <v>528</v>
      </c>
      <c r="D46" s="125" t="s">
        <v>528</v>
      </c>
      <c r="E46" s="125"/>
      <c r="F46" s="125"/>
      <c r="G46" s="125" t="s">
        <v>528</v>
      </c>
      <c r="H46" s="125" t="s">
        <v>528</v>
      </c>
      <c r="I46" s="125"/>
      <c r="J46" s="57"/>
      <c r="K46" s="57"/>
      <c r="L46" s="57"/>
    </row>
    <row r="47" spans="1:12" ht="30.75" customHeight="1" x14ac:dyDescent="0.25">
      <c r="A47" s="59" t="s">
        <v>191</v>
      </c>
      <c r="B47" s="58" t="s">
        <v>192</v>
      </c>
      <c r="C47" s="125" t="s">
        <v>528</v>
      </c>
      <c r="D47" s="125" t="s">
        <v>528</v>
      </c>
      <c r="E47" s="125"/>
      <c r="F47" s="125"/>
      <c r="G47" s="125" t="s">
        <v>528</v>
      </c>
      <c r="H47" s="125" t="s">
        <v>528</v>
      </c>
      <c r="I47" s="125"/>
      <c r="J47" s="57"/>
      <c r="K47" s="57"/>
      <c r="L47" s="57"/>
    </row>
    <row r="48" spans="1:12" ht="37.5" customHeight="1" x14ac:dyDescent="0.25">
      <c r="A48" s="59" t="s">
        <v>442</v>
      </c>
      <c r="B48" s="60" t="s">
        <v>190</v>
      </c>
      <c r="C48" s="57"/>
      <c r="D48" s="57"/>
      <c r="E48" s="57"/>
      <c r="F48" s="57"/>
      <c r="G48" s="57"/>
      <c r="H48" s="57"/>
      <c r="I48" s="57"/>
      <c r="J48" s="57"/>
      <c r="K48" s="57"/>
      <c r="L48" s="57"/>
    </row>
    <row r="49" spans="1:12" ht="35.25" customHeight="1" x14ac:dyDescent="0.25">
      <c r="A49" s="59">
        <v>4</v>
      </c>
      <c r="B49" s="58" t="s">
        <v>188</v>
      </c>
      <c r="C49" s="125" t="s">
        <v>528</v>
      </c>
      <c r="D49" s="125" t="s">
        <v>528</v>
      </c>
      <c r="E49" s="125"/>
      <c r="F49" s="125"/>
      <c r="G49" s="125" t="s">
        <v>528</v>
      </c>
      <c r="H49" s="125" t="s">
        <v>528</v>
      </c>
      <c r="I49" s="125"/>
      <c r="J49" s="57"/>
      <c r="K49" s="57"/>
      <c r="L49" s="57"/>
    </row>
    <row r="50" spans="1:12" ht="86.25" customHeight="1" x14ac:dyDescent="0.25">
      <c r="A50" s="59" t="s">
        <v>189</v>
      </c>
      <c r="B50" s="58" t="s">
        <v>431</v>
      </c>
      <c r="C50" s="125" t="s">
        <v>528</v>
      </c>
      <c r="D50" s="125" t="s">
        <v>528</v>
      </c>
      <c r="E50" s="125"/>
      <c r="F50" s="125"/>
      <c r="G50" s="125" t="s">
        <v>528</v>
      </c>
      <c r="H50" s="125" t="s">
        <v>528</v>
      </c>
      <c r="I50" s="125"/>
      <c r="J50" s="57"/>
      <c r="K50" s="57"/>
      <c r="L50" s="57"/>
    </row>
    <row r="51" spans="1:12" ht="77.25" customHeight="1" x14ac:dyDescent="0.25">
      <c r="A51" s="59" t="s">
        <v>187</v>
      </c>
      <c r="B51" s="58" t="s">
        <v>433</v>
      </c>
      <c r="C51" s="125" t="s">
        <v>528</v>
      </c>
      <c r="D51" s="125" t="s">
        <v>528</v>
      </c>
      <c r="E51" s="125"/>
      <c r="F51" s="125"/>
      <c r="G51" s="125" t="s">
        <v>528</v>
      </c>
      <c r="H51" s="125" t="s">
        <v>528</v>
      </c>
      <c r="I51" s="125"/>
      <c r="J51" s="57"/>
      <c r="K51" s="57"/>
      <c r="L51" s="57"/>
    </row>
    <row r="52" spans="1:12" ht="71.25" customHeight="1" x14ac:dyDescent="0.25">
      <c r="A52" s="59" t="s">
        <v>185</v>
      </c>
      <c r="B52" s="58" t="s">
        <v>186</v>
      </c>
      <c r="C52" s="125" t="s">
        <v>528</v>
      </c>
      <c r="D52" s="125" t="s">
        <v>528</v>
      </c>
      <c r="E52" s="125"/>
      <c r="F52" s="125"/>
      <c r="G52" s="125" t="s">
        <v>528</v>
      </c>
      <c r="H52" s="125" t="s">
        <v>528</v>
      </c>
      <c r="I52" s="125"/>
      <c r="J52" s="57"/>
      <c r="K52" s="57"/>
      <c r="L52" s="57"/>
    </row>
    <row r="53" spans="1:12" ht="48" customHeight="1" x14ac:dyDescent="0.25">
      <c r="A53" s="59" t="s">
        <v>183</v>
      </c>
      <c r="B53" s="114" t="s">
        <v>434</v>
      </c>
      <c r="C53" s="126">
        <v>45321</v>
      </c>
      <c r="D53" s="126">
        <v>45322</v>
      </c>
      <c r="E53" s="126"/>
      <c r="F53" s="126"/>
      <c r="G53" s="126">
        <v>45321</v>
      </c>
      <c r="H53" s="126">
        <v>45322</v>
      </c>
      <c r="I53" s="125"/>
      <c r="J53" s="57"/>
      <c r="K53" s="57"/>
      <c r="L53" s="57"/>
    </row>
    <row r="54" spans="1:12" ht="46.5" customHeight="1" x14ac:dyDescent="0.25">
      <c r="A54" s="59" t="s">
        <v>435</v>
      </c>
      <c r="B54" s="58" t="s">
        <v>184</v>
      </c>
      <c r="C54" s="125" t="s">
        <v>528</v>
      </c>
      <c r="D54" s="125" t="s">
        <v>528</v>
      </c>
      <c r="E54" s="125"/>
      <c r="F54" s="125"/>
      <c r="G54" s="125" t="s">
        <v>528</v>
      </c>
      <c r="H54" s="125" t="s">
        <v>528</v>
      </c>
      <c r="I54" s="125"/>
      <c r="J54" s="57"/>
      <c r="K54" s="57"/>
      <c r="L54" s="57"/>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2024-04-20T09:19:54Z</dcterms:modified>
</cp:coreProperties>
</file>