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EBEFA849-5F4F-4E07-985C-6F1D891778AA}"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M73" i="35" l="1"/>
  <c r="B73"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H48" i="35"/>
  <c r="I48" i="35"/>
  <c r="J48" i="35"/>
  <c r="K48" i="35"/>
  <c r="L48" i="35"/>
  <c r="D48" i="35"/>
  <c r="E48" i="35"/>
  <c r="F48" i="35"/>
  <c r="G48" i="35"/>
  <c r="C48" i="35"/>
  <c r="B48" i="35"/>
  <c r="G24" i="29"/>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D24" i="29"/>
  <c r="D31" i="29"/>
  <c r="D34" i="29"/>
  <c r="D52" i="29"/>
  <c r="D58" i="29" s="1"/>
  <c r="B112" i="35"/>
  <c r="B50" i="35"/>
  <c r="I119" i="35"/>
  <c r="G119" i="35"/>
  <c r="X32" i="29" l="1"/>
  <c r="X30" i="29"/>
  <c r="I26" i="12"/>
  <c r="J26" i="12"/>
  <c r="H26" i="12"/>
  <c r="S24" i="12"/>
  <c r="S23" i="12"/>
  <c r="S26" i="12" l="1"/>
  <c r="T33" i="29"/>
  <c r="B25" i="35"/>
  <c r="A15" i="35"/>
  <c r="AG33" i="29" l="1"/>
  <c r="X29" i="29"/>
  <c r="X28" i="29"/>
  <c r="X26" i="29"/>
  <c r="X25" i="29"/>
  <c r="T31" i="29"/>
  <c r="T32" i="29" s="1"/>
  <c r="C81" i="35" l="1"/>
  <c r="B47" i="35"/>
  <c r="B52" i="35"/>
  <c r="C58" i="35"/>
  <c r="D58" i="35" s="1"/>
  <c r="E58" i="35" s="1"/>
  <c r="F58" i="35" s="1"/>
  <c r="G58" i="35" s="1"/>
  <c r="H58" i="35" s="1"/>
  <c r="I58" i="35" s="1"/>
  <c r="J58" i="35" s="1"/>
  <c r="K58" i="35" s="1"/>
  <c r="L58" i="35" s="1"/>
  <c r="F52" i="35" l="1"/>
  <c r="E52" i="35"/>
  <c r="D52" i="35"/>
  <c r="B81" i="35" l="1"/>
  <c r="AE35" i="29"/>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9" i="29"/>
  <c r="E60" i="29"/>
  <c r="E61" i="29"/>
  <c r="E62" i="29"/>
  <c r="E63" i="29"/>
  <c r="E64" i="29"/>
  <c r="E141" i="35"/>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T135" i="35" s="1"/>
  <c r="AU135" i="35" s="1"/>
  <c r="AV135" i="35" s="1"/>
  <c r="AW135" i="35" s="1"/>
  <c r="AX135" i="35" s="1"/>
  <c r="AY135" i="35" s="1"/>
  <c r="G120" i="35"/>
  <c r="D118" i="35"/>
  <c r="B118" i="35"/>
  <c r="G108"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B27" i="35"/>
  <c r="D67" i="35" s="1"/>
  <c r="E67" i="35" s="1"/>
  <c r="D137" i="35" l="1"/>
  <c r="E137" i="35" s="1"/>
  <c r="F137" i="35" s="1"/>
  <c r="G137" i="35" s="1"/>
  <c r="I118" i="35"/>
  <c r="D74" i="35"/>
  <c r="C52" i="35"/>
  <c r="C47" i="35"/>
  <c r="C61" i="35" s="1"/>
  <c r="C60" i="35" s="1"/>
  <c r="B46" i="35"/>
  <c r="I120" i="35" l="1"/>
  <c r="K119" i="35"/>
  <c r="H137" i="35"/>
  <c r="B49" i="35" s="1"/>
  <c r="D47" i="35"/>
  <c r="D61" i="35" s="1"/>
  <c r="D60" i="35" s="1"/>
  <c r="E74" i="35"/>
  <c r="F141" i="35"/>
  <c r="G141" i="35"/>
  <c r="C109" i="35" l="1"/>
  <c r="I109" i="35"/>
  <c r="I137" i="35"/>
  <c r="C49" i="35" s="1"/>
  <c r="C50" i="35" s="1"/>
  <c r="C59" i="35" s="1"/>
  <c r="B85" i="35"/>
  <c r="B99" i="35" s="1"/>
  <c r="E47" i="35"/>
  <c r="E61" i="35" s="1"/>
  <c r="F47" i="35"/>
  <c r="F61" i="35" s="1"/>
  <c r="F60" i="35" s="1"/>
  <c r="D109" i="35" l="1"/>
  <c r="C108" i="35"/>
  <c r="J137" i="35"/>
  <c r="D49" i="35" s="1"/>
  <c r="C66" i="35"/>
  <c r="C68" i="35" s="1"/>
  <c r="C75" i="35" s="1"/>
  <c r="E60" i="35"/>
  <c r="F74" i="35"/>
  <c r="H108" i="35"/>
  <c r="G74" i="35"/>
  <c r="G52" i="35"/>
  <c r="G47" i="35"/>
  <c r="G61" i="35" s="1"/>
  <c r="G60" i="35" s="1"/>
  <c r="I140" i="35"/>
  <c r="I141" i="35" s="1"/>
  <c r="C73" i="35" s="1"/>
  <c r="C85" i="35" s="1"/>
  <c r="E109" i="35" l="1"/>
  <c r="D108" i="35"/>
  <c r="K137" i="35"/>
  <c r="E49" i="35" s="1"/>
  <c r="H74" i="35"/>
  <c r="H52" i="35"/>
  <c r="H47" i="35"/>
  <c r="J140" i="35"/>
  <c r="J109" i="35"/>
  <c r="J108" i="35" s="1"/>
  <c r="I108" i="35"/>
  <c r="L137" i="35" l="1"/>
  <c r="M137" i="35" s="1"/>
  <c r="G49" i="35" s="1"/>
  <c r="F109" i="35"/>
  <c r="F108" i="35" s="1"/>
  <c r="E108" i="35"/>
  <c r="K109" i="35"/>
  <c r="E50" i="35"/>
  <c r="E59" i="35" s="1"/>
  <c r="E66" i="35" s="1"/>
  <c r="K140" i="35"/>
  <c r="K141" i="35" s="1"/>
  <c r="E73" i="35" s="1"/>
  <c r="E85" i="35" s="1"/>
  <c r="J141" i="35"/>
  <c r="D73" i="35" s="1"/>
  <c r="D85" i="35" s="1"/>
  <c r="I74" i="35"/>
  <c r="I47" i="35"/>
  <c r="I52" i="35"/>
  <c r="F49" i="35" l="1"/>
  <c r="N137" i="35"/>
  <c r="H49" i="35" s="1"/>
  <c r="D50" i="35" s="1"/>
  <c r="D59" i="35" s="1"/>
  <c r="J74" i="35"/>
  <c r="J52" i="35"/>
  <c r="J47" i="35"/>
  <c r="L140" i="35"/>
  <c r="L141" i="35" s="1"/>
  <c r="F73" i="35" s="1"/>
  <c r="F85" i="35" s="1"/>
  <c r="F99" i="35" s="1"/>
  <c r="L109" i="35"/>
  <c r="K108" i="35"/>
  <c r="F50" i="35" l="1"/>
  <c r="F59" i="35" s="1"/>
  <c r="D66" i="35"/>
  <c r="E80" i="35"/>
  <c r="D80" i="35"/>
  <c r="O137" i="35"/>
  <c r="I49" i="35" s="1"/>
  <c r="M109" i="35"/>
  <c r="L108" i="35"/>
  <c r="K74" i="35"/>
  <c r="K52" i="35"/>
  <c r="K47" i="35"/>
  <c r="M140" i="35"/>
  <c r="M141" i="35" s="1"/>
  <c r="G73" i="35" s="1"/>
  <c r="G85" i="35" s="1"/>
  <c r="G99" i="35" s="1"/>
  <c r="F66" i="35" l="1"/>
  <c r="F68" i="35" s="1"/>
  <c r="F75" i="35" s="1"/>
  <c r="F80" i="35"/>
  <c r="G50" i="35"/>
  <c r="G59" i="35" s="1"/>
  <c r="P137" i="35"/>
  <c r="J49" i="35" s="1"/>
  <c r="L74" i="35"/>
  <c r="M58" i="35"/>
  <c r="L52" i="35"/>
  <c r="L47" i="35"/>
  <c r="N109" i="35"/>
  <c r="M108" i="35"/>
  <c r="N140" i="35"/>
  <c r="H50" i="35" l="1"/>
  <c r="H59" i="35" s="1"/>
  <c r="H80" i="35" s="1"/>
  <c r="G80" i="35"/>
  <c r="G66" i="35"/>
  <c r="Q137" i="35"/>
  <c r="O109" i="35"/>
  <c r="N108" i="35"/>
  <c r="I50" i="35" s="1"/>
  <c r="I59" i="35" s="1"/>
  <c r="O140" i="35"/>
  <c r="N141" i="35"/>
  <c r="H73" i="35" s="1"/>
  <c r="H85" i="35" s="1"/>
  <c r="H99" i="35" s="1"/>
  <c r="M74" i="35"/>
  <c r="N58" i="35"/>
  <c r="M47" i="35"/>
  <c r="M52" i="35"/>
  <c r="I80" i="35" l="1"/>
  <c r="M49" i="35"/>
  <c r="K49" i="35"/>
  <c r="R137" i="35"/>
  <c r="O108" i="35"/>
  <c r="J50" i="35" s="1"/>
  <c r="J59" i="35" s="1"/>
  <c r="P109" i="35"/>
  <c r="N52" i="35"/>
  <c r="O58" i="35"/>
  <c r="N74" i="35"/>
  <c r="N47" i="35"/>
  <c r="P140" i="35"/>
  <c r="P141" i="35" s="1"/>
  <c r="J73" i="35" s="1"/>
  <c r="J85" i="35" s="1"/>
  <c r="J99" i="35" s="1"/>
  <c r="O141" i="35"/>
  <c r="I73" i="35" s="1"/>
  <c r="I85" i="35" s="1"/>
  <c r="I99" i="35" s="1"/>
  <c r="N49" i="35" l="1"/>
  <c r="L49" i="35"/>
  <c r="K85" i="35"/>
  <c r="K99" i="35" s="1"/>
  <c r="S137" i="35"/>
  <c r="O49" i="35" s="1"/>
  <c r="J80" i="35"/>
  <c r="O74" i="35"/>
  <c r="O52" i="35"/>
  <c r="P58" i="35"/>
  <c r="O47" i="35"/>
  <c r="Q140" i="35"/>
  <c r="Q141" i="35" s="1"/>
  <c r="K73" i="35" s="1"/>
  <c r="P108" i="35"/>
  <c r="K50" i="35" s="1"/>
  <c r="K59" i="35" s="1"/>
  <c r="Q109" i="35"/>
  <c r="T137" i="35" l="1"/>
  <c r="P49" i="35" s="1"/>
  <c r="R140" i="35"/>
  <c r="R141" i="35" s="1"/>
  <c r="L73" i="35" s="1"/>
  <c r="L85" i="35" s="1"/>
  <c r="L99" i="35" s="1"/>
  <c r="P74" i="35"/>
  <c r="P52" i="35"/>
  <c r="Q58" i="35"/>
  <c r="P47" i="35"/>
  <c r="R109" i="35"/>
  <c r="Q108" i="35"/>
  <c r="L50" i="35" s="1"/>
  <c r="L59" i="35" s="1"/>
  <c r="K80" i="35"/>
  <c r="U137" i="35" l="1"/>
  <c r="Q49" i="35" s="1"/>
  <c r="Q74" i="35"/>
  <c r="R58" i="35"/>
  <c r="Q47" i="35"/>
  <c r="Q52" i="35"/>
  <c r="S109" i="35"/>
  <c r="R108" i="35"/>
  <c r="M50" i="35" s="1"/>
  <c r="M59" i="35" s="1"/>
  <c r="S140" i="35"/>
  <c r="L80" i="35"/>
  <c r="V137" i="35" l="1"/>
  <c r="R49" i="35" s="1"/>
  <c r="T140" i="35"/>
  <c r="T109" i="35"/>
  <c r="S108" i="35"/>
  <c r="N50" i="35" s="1"/>
  <c r="N59" i="35" s="1"/>
  <c r="N80" i="35" s="1"/>
  <c r="S141" i="35"/>
  <c r="M73" i="35" s="1"/>
  <c r="M85" i="35" s="1"/>
  <c r="M99" i="35" s="1"/>
  <c r="R74" i="35"/>
  <c r="S58" i="35"/>
  <c r="R52" i="35"/>
  <c r="R47" i="35"/>
  <c r="M80" i="35"/>
  <c r="W137" i="35" l="1"/>
  <c r="S49" i="35" s="1"/>
  <c r="T108" i="35"/>
  <c r="O50" i="35" s="1"/>
  <c r="O59" i="35" s="1"/>
  <c r="O80" i="35" s="1"/>
  <c r="U109" i="35"/>
  <c r="U140" i="35"/>
  <c r="U141" i="35" s="1"/>
  <c r="O73" i="35" s="1"/>
  <c r="O85" i="35" s="1"/>
  <c r="O99" i="35" s="1"/>
  <c r="T58" i="35"/>
  <c r="S74" i="35"/>
  <c r="S52" i="35"/>
  <c r="S47" i="35"/>
  <c r="T141" i="35"/>
  <c r="N73" i="35" s="1"/>
  <c r="N85" i="35" s="1"/>
  <c r="N99" i="35" s="1"/>
  <c r="X137" i="35" l="1"/>
  <c r="T49" i="35" s="1"/>
  <c r="T74" i="35"/>
  <c r="U58" i="35"/>
  <c r="T52" i="35"/>
  <c r="T47" i="35"/>
  <c r="V109" i="35"/>
  <c r="U108" i="35"/>
  <c r="P50" i="35" s="1"/>
  <c r="P59" i="35" s="1"/>
  <c r="P80" i="35" s="1"/>
  <c r="V140" i="35"/>
  <c r="Y137" i="35" l="1"/>
  <c r="U49" i="35" s="1"/>
  <c r="W140" i="35"/>
  <c r="V141" i="35"/>
  <c r="P73" i="35" s="1"/>
  <c r="P85" i="35" s="1"/>
  <c r="P99" i="35" s="1"/>
  <c r="W109" i="35"/>
  <c r="V108" i="35"/>
  <c r="Q50" i="35" s="1"/>
  <c r="Q59" i="35" s="1"/>
  <c r="Q80" i="35" s="1"/>
  <c r="U74" i="35"/>
  <c r="V58" i="35"/>
  <c r="U47" i="35"/>
  <c r="U52" i="35"/>
  <c r="Z137" i="35" l="1"/>
  <c r="V49" i="35" s="1"/>
  <c r="X140" i="35"/>
  <c r="X141" i="35"/>
  <c r="R73" i="35" s="1"/>
  <c r="R85" i="35" s="1"/>
  <c r="R99" i="35" s="1"/>
  <c r="X109" i="35"/>
  <c r="W108" i="35"/>
  <c r="R50" i="35" s="1"/>
  <c r="R59" i="35" s="1"/>
  <c r="R80" i="35" s="1"/>
  <c r="V74" i="35"/>
  <c r="V52" i="35"/>
  <c r="W58" i="35"/>
  <c r="V47" i="35"/>
  <c r="W141" i="35"/>
  <c r="Q73" i="35" s="1"/>
  <c r="Q85" i="35" s="1"/>
  <c r="Q99" i="35" s="1"/>
  <c r="AA137" i="35" l="1"/>
  <c r="W49" i="35" s="1"/>
  <c r="W74" i="35"/>
  <c r="X58" i="35"/>
  <c r="W52" i="35"/>
  <c r="W47" i="35"/>
  <c r="Y140" i="35"/>
  <c r="Y141" i="35" s="1"/>
  <c r="S73" i="35" s="1"/>
  <c r="S85" i="35" s="1"/>
  <c r="S99" i="35" s="1"/>
  <c r="Y109" i="35"/>
  <c r="X108" i="35"/>
  <c r="S50" i="35" s="1"/>
  <c r="S59" i="35" s="1"/>
  <c r="S80" i="35" s="1"/>
  <c r="AB137" i="35" l="1"/>
  <c r="X49" i="35" s="1"/>
  <c r="X74" i="35"/>
  <c r="Y58" i="35"/>
  <c r="X52" i="35"/>
  <c r="X47" i="35"/>
  <c r="Z109" i="35"/>
  <c r="Y108" i="35"/>
  <c r="T50" i="35" s="1"/>
  <c r="T59" i="35" s="1"/>
  <c r="T80" i="35" s="1"/>
  <c r="Z140" i="35"/>
  <c r="AC137" i="35" l="1"/>
  <c r="Y49" i="35" s="1"/>
  <c r="AA140" i="35"/>
  <c r="AA109" i="35"/>
  <c r="Z108" i="35"/>
  <c r="U50" i="35" s="1"/>
  <c r="U59" i="35" s="1"/>
  <c r="U80" i="35" s="1"/>
  <c r="Z141" i="35"/>
  <c r="T73" i="35" s="1"/>
  <c r="T85" i="35" s="1"/>
  <c r="T99" i="35" s="1"/>
  <c r="Y74" i="35"/>
  <c r="Z58" i="35"/>
  <c r="Y47" i="35"/>
  <c r="Y52" i="35"/>
  <c r="AD137" i="35" l="1"/>
  <c r="Z49" i="35" s="1"/>
  <c r="AB109" i="35"/>
  <c r="AA108" i="35"/>
  <c r="V50" i="35" s="1"/>
  <c r="V59" i="35" s="1"/>
  <c r="V80" i="35" s="1"/>
  <c r="AB140" i="35"/>
  <c r="AA141" i="35"/>
  <c r="U73" i="35" s="1"/>
  <c r="U85" i="35" s="1"/>
  <c r="U99" i="35" s="1"/>
  <c r="Z74" i="35"/>
  <c r="Z52" i="35"/>
  <c r="AA58" i="35"/>
  <c r="Z47" i="35"/>
  <c r="AE137" i="35" l="1"/>
  <c r="AA49" i="35" s="1"/>
  <c r="AC140" i="35"/>
  <c r="AC141" i="35" s="1"/>
  <c r="W73" i="35" s="1"/>
  <c r="W85" i="35" s="1"/>
  <c r="W99" i="35" s="1"/>
  <c r="AC109" i="35"/>
  <c r="AB108" i="35"/>
  <c r="W50" i="35" s="1"/>
  <c r="W59" i="35" s="1"/>
  <c r="W80" i="35" s="1"/>
  <c r="AA74" i="35"/>
  <c r="AB58" i="35"/>
  <c r="AA52" i="35"/>
  <c r="AA47" i="35"/>
  <c r="AB141" i="35"/>
  <c r="V73" i="35" s="1"/>
  <c r="V85" i="35" s="1"/>
  <c r="V99" i="35" s="1"/>
  <c r="AF137" i="35" l="1"/>
  <c r="AB49" i="35" s="1"/>
  <c r="AB74" i="35"/>
  <c r="AC58" i="35"/>
  <c r="AB52" i="35"/>
  <c r="AB47" i="35"/>
  <c r="AD140" i="35"/>
  <c r="AD141" i="35" s="1"/>
  <c r="X73" i="35" s="1"/>
  <c r="X85" i="35" s="1"/>
  <c r="X99" i="35" s="1"/>
  <c r="AD109" i="35"/>
  <c r="AC108" i="35"/>
  <c r="X50" i="35" s="1"/>
  <c r="X59" i="35" s="1"/>
  <c r="X80" i="35" s="1"/>
  <c r="AG137" i="35" l="1"/>
  <c r="AC49" i="35" s="1"/>
  <c r="AE109" i="35"/>
  <c r="AD108" i="35"/>
  <c r="Y50" i="35" s="1"/>
  <c r="Y59" i="35" s="1"/>
  <c r="Y80" i="35" s="1"/>
  <c r="AE140" i="35"/>
  <c r="AC74" i="35"/>
  <c r="AD58" i="35"/>
  <c r="AC47" i="35"/>
  <c r="AC52" i="35"/>
  <c r="AH137" i="35" l="1"/>
  <c r="AD49" i="35" s="1"/>
  <c r="AF140" i="35"/>
  <c r="AE108" i="35"/>
  <c r="Z50" i="35" s="1"/>
  <c r="Z59" i="35" s="1"/>
  <c r="Z80" i="35" s="1"/>
  <c r="AF109" i="35"/>
  <c r="AE141" i="35"/>
  <c r="Y73" i="35" s="1"/>
  <c r="Y85" i="35" s="1"/>
  <c r="Y99" i="35" s="1"/>
  <c r="AE58" i="35"/>
  <c r="AD74" i="35"/>
  <c r="AD52" i="35"/>
  <c r="AD47" i="35"/>
  <c r="AI137" i="35" l="1"/>
  <c r="AE49" i="35" s="1"/>
  <c r="AF108" i="35"/>
  <c r="AA50" i="35" s="1"/>
  <c r="AA59" i="35" s="1"/>
  <c r="AA80" i="35" s="1"/>
  <c r="AG109" i="35"/>
  <c r="AG140" i="35"/>
  <c r="AG141" i="35" s="1"/>
  <c r="AA73" i="35" s="1"/>
  <c r="AA85" i="35" s="1"/>
  <c r="AA99" i="35" s="1"/>
  <c r="AF58" i="35"/>
  <c r="AE74" i="35"/>
  <c r="AE52" i="35"/>
  <c r="AE47" i="35"/>
  <c r="AF141" i="35"/>
  <c r="Z73" i="35" s="1"/>
  <c r="Z85" i="35" s="1"/>
  <c r="Z99" i="35" s="1"/>
  <c r="AJ137" i="35" l="1"/>
  <c r="AF49" i="35" s="1"/>
  <c r="AF74" i="35"/>
  <c r="AF52" i="35"/>
  <c r="AG58" i="35"/>
  <c r="AF47" i="35"/>
  <c r="AH109" i="35"/>
  <c r="AG108" i="35"/>
  <c r="AB50" i="35" s="1"/>
  <c r="AB59" i="35" s="1"/>
  <c r="AB80" i="35" s="1"/>
  <c r="AH140" i="35"/>
  <c r="AK137" i="35" l="1"/>
  <c r="AG49" i="35" s="1"/>
  <c r="AH108" i="35"/>
  <c r="AC50" i="35" s="1"/>
  <c r="AC59" i="35" s="1"/>
  <c r="AC80" i="35" s="1"/>
  <c r="AI109" i="35"/>
  <c r="AI140" i="35"/>
  <c r="AI141" i="35" s="1"/>
  <c r="AC73" i="35" s="1"/>
  <c r="AC85" i="35" s="1"/>
  <c r="AC99" i="35" s="1"/>
  <c r="AH141" i="35"/>
  <c r="AB73" i="35" s="1"/>
  <c r="AB85" i="35" s="1"/>
  <c r="AB99" i="35" s="1"/>
  <c r="AG74" i="35"/>
  <c r="AH58" i="35"/>
  <c r="AG47" i="35"/>
  <c r="AG52" i="35"/>
  <c r="AL137" i="35" l="1"/>
  <c r="AH49" i="35" s="1"/>
  <c r="AH74" i="35"/>
  <c r="AI58" i="35"/>
  <c r="AH52" i="35"/>
  <c r="AH47" i="35"/>
  <c r="AJ140" i="35"/>
  <c r="AJ141" i="35" s="1"/>
  <c r="AD73" i="35" s="1"/>
  <c r="AD85" i="35" s="1"/>
  <c r="AD99" i="35" s="1"/>
  <c r="AJ109" i="35"/>
  <c r="AI108" i="35"/>
  <c r="AD50" i="35" s="1"/>
  <c r="AD59" i="35" s="1"/>
  <c r="AD80" i="35" s="1"/>
  <c r="AM137" i="35" l="1"/>
  <c r="AI49" i="35" s="1"/>
  <c r="AJ108" i="35"/>
  <c r="AE50" i="35" s="1"/>
  <c r="AE59" i="35" s="1"/>
  <c r="AE80" i="35" s="1"/>
  <c r="AK109" i="35"/>
  <c r="AK140" i="35"/>
  <c r="AJ58" i="35"/>
  <c r="AI74" i="35"/>
  <c r="AI52" i="35"/>
  <c r="AI47" i="35"/>
  <c r="AN137" i="35" l="1"/>
  <c r="AJ49" i="35" s="1"/>
  <c r="AL140" i="35"/>
  <c r="AJ74" i="35"/>
  <c r="AJ52" i="35"/>
  <c r="AJ47" i="35"/>
  <c r="AK58" i="35"/>
  <c r="AL109" i="35"/>
  <c r="AK108" i="35"/>
  <c r="AF50" i="35" s="1"/>
  <c r="AF59" i="35" s="1"/>
  <c r="AF80" i="35" s="1"/>
  <c r="AK141" i="35"/>
  <c r="AE73" i="35" s="1"/>
  <c r="AE85" i="35" s="1"/>
  <c r="AE99" i="35" s="1"/>
  <c r="AO137" i="35" l="1"/>
  <c r="AK49" i="35" s="1"/>
  <c r="AM140" i="35"/>
  <c r="AM141" i="35" s="1"/>
  <c r="AG73" i="35" s="1"/>
  <c r="AG85" i="35" s="1"/>
  <c r="AG99" i="35" s="1"/>
  <c r="AL108" i="35"/>
  <c r="AG50" i="35" s="1"/>
  <c r="AG59" i="35" s="1"/>
  <c r="AG80" i="35" s="1"/>
  <c r="AM109" i="35"/>
  <c r="AL141" i="35"/>
  <c r="AF73" i="35" s="1"/>
  <c r="AF85" i="35" s="1"/>
  <c r="AF99" i="35" s="1"/>
  <c r="AK74" i="35"/>
  <c r="AL58" i="35"/>
  <c r="AK47" i="35"/>
  <c r="AK52" i="35"/>
  <c r="AP137" i="35" l="1"/>
  <c r="AL49" i="35" s="1"/>
  <c r="AL74" i="35"/>
  <c r="AM58" i="35"/>
  <c r="AL52" i="35"/>
  <c r="AL47" i="35"/>
  <c r="AM108" i="35"/>
  <c r="AH50" i="35" s="1"/>
  <c r="AH59" i="35" s="1"/>
  <c r="AH80" i="35" s="1"/>
  <c r="AN109" i="35"/>
  <c r="AN140" i="35"/>
  <c r="AN141" i="35" s="1"/>
  <c r="AH73" i="35" s="1"/>
  <c r="AH85" i="35" s="1"/>
  <c r="AH99" i="35" s="1"/>
  <c r="AL50" i="35" l="1"/>
  <c r="AL59" i="35" s="1"/>
  <c r="AQ137" i="35"/>
  <c r="AM49" i="35" s="1"/>
  <c r="AM74" i="35"/>
  <c r="AN58" i="35"/>
  <c r="AM52" i="35"/>
  <c r="AM47" i="35"/>
  <c r="AO109" i="35"/>
  <c r="AN108" i="35"/>
  <c r="AI50" i="35" s="1"/>
  <c r="AI59" i="35" s="1"/>
  <c r="AI80" i="35" s="1"/>
  <c r="AO140" i="35"/>
  <c r="AO141" i="35" s="1"/>
  <c r="AI73" i="35" s="1"/>
  <c r="AI85" i="35" s="1"/>
  <c r="AI99" i="35" s="1"/>
  <c r="AM50" i="35" l="1"/>
  <c r="AM59" i="35" s="1"/>
  <c r="AM80" i="35" s="1"/>
  <c r="AR137" i="35"/>
  <c r="AN49" i="35" s="1"/>
  <c r="AP140" i="35"/>
  <c r="AP141" i="35" s="1"/>
  <c r="AJ73" i="35" s="1"/>
  <c r="AJ85" i="35" s="1"/>
  <c r="AJ99" i="35" s="1"/>
  <c r="AP109" i="35"/>
  <c r="AP108" i="35" s="1"/>
  <c r="AK50" i="35" s="1"/>
  <c r="AK59" i="35" s="1"/>
  <c r="AO108" i="35"/>
  <c r="AJ50" i="35" s="1"/>
  <c r="AJ59" i="35" s="1"/>
  <c r="AJ80" i="35" s="1"/>
  <c r="AN74" i="35"/>
  <c r="AO58" i="35"/>
  <c r="AN52" i="35"/>
  <c r="AN47" i="35"/>
  <c r="AN50" i="35" l="1"/>
  <c r="AN59" i="35" s="1"/>
  <c r="AN80" i="35" s="1"/>
  <c r="AK80" i="35"/>
  <c r="AL80" i="35"/>
  <c r="AO74" i="35"/>
  <c r="AP58" i="35"/>
  <c r="AO47" i="35"/>
  <c r="AO52" i="35"/>
  <c r="AQ140" i="35"/>
  <c r="AT137" i="35" l="1"/>
  <c r="AO49" i="35"/>
  <c r="AR140" i="35"/>
  <c r="AR141" i="35" s="1"/>
  <c r="AL73" i="35" s="1"/>
  <c r="AL85" i="35" s="1"/>
  <c r="AL99" i="35" s="1"/>
  <c r="AQ141" i="35"/>
  <c r="AK73" i="35" s="1"/>
  <c r="AK85" i="35" s="1"/>
  <c r="AK99" i="35" s="1"/>
  <c r="AP74" i="35"/>
  <c r="AP52" i="35"/>
  <c r="AP47" i="35"/>
  <c r="AO50" i="35" l="1"/>
  <c r="AO59" i="35" s="1"/>
  <c r="AO80" i="35" s="1"/>
  <c r="AM85" i="35"/>
  <c r="AM99" i="35" s="1"/>
  <c r="AU137" i="35"/>
  <c r="AV137" i="35" s="1"/>
  <c r="AW137" i="35" s="1"/>
  <c r="AX137" i="35" s="1"/>
  <c r="AY137" i="35" s="1"/>
  <c r="AP49" i="35"/>
  <c r="AP50" i="35" l="1"/>
  <c r="AP59" i="35" s="1"/>
  <c r="AP80" i="35" s="1"/>
  <c r="AT140" i="35"/>
  <c r="AT141" i="35" s="1"/>
  <c r="AN73" i="35" l="1"/>
  <c r="AN85" i="35" s="1"/>
  <c r="AN99" i="35" s="1"/>
  <c r="AU140" i="35"/>
  <c r="AV140" i="35" l="1"/>
  <c r="AV141" i="35" s="1"/>
  <c r="AP73" i="35" s="1"/>
  <c r="AP85" i="35" s="1"/>
  <c r="AP99" i="35" s="1"/>
  <c r="AU141" i="35"/>
  <c r="AO73" i="35" s="1"/>
  <c r="AO85" i="35" s="1"/>
  <c r="AO99" i="35" s="1"/>
  <c r="AW140" i="35" l="1"/>
  <c r="AW141" i="35" s="1"/>
  <c r="AX140" i="35" l="1"/>
  <c r="AY140" i="35" l="1"/>
  <c r="AY141" i="35" s="1"/>
  <c r="AX141" i="35"/>
  <c r="B90" i="26" l="1"/>
  <c r="F27" i="29"/>
  <c r="F31" i="29"/>
  <c r="AE29" i="29"/>
  <c r="AE27" i="29"/>
  <c r="AE26" i="29"/>
  <c r="AE25" i="29"/>
  <c r="AE31" i="29"/>
  <c r="E128" i="35" l="1"/>
  <c r="E32" i="29"/>
  <c r="AE33" i="29"/>
  <c r="E33" i="29"/>
  <c r="AE34" i="29"/>
  <c r="E34" i="29"/>
  <c r="I33" i="29"/>
  <c r="I32" i="29"/>
  <c r="E30" i="29" l="1"/>
  <c r="AE58" i="29"/>
  <c r="I30" i="29"/>
  <c r="I28" i="29" s="1"/>
  <c r="I24" i="29" s="1"/>
  <c r="E52" i="29" l="1"/>
  <c r="E58" i="29"/>
  <c r="AB24" i="29"/>
  <c r="E28" i="29"/>
  <c r="C51" i="7"/>
  <c r="AE52" i="29"/>
  <c r="AE28" i="29"/>
  <c r="D81" i="35" l="1"/>
  <c r="D99" i="35" s="1"/>
  <c r="AB30" i="29"/>
  <c r="B122" i="35"/>
  <c r="B27" i="26"/>
  <c r="B79" i="26" s="1"/>
  <c r="E24" i="29"/>
  <c r="C50" i="7"/>
  <c r="C99" i="35"/>
  <c r="F128" i="35"/>
  <c r="B128" i="35" s="1"/>
  <c r="B126" i="35" s="1"/>
  <c r="B29" i="35" s="1"/>
  <c r="B87" i="26" l="1"/>
  <c r="B63" i="26"/>
  <c r="B59" i="26"/>
  <c r="B34" i="26"/>
  <c r="AB32" i="29"/>
  <c r="AE32" i="29" s="1"/>
  <c r="AE30" i="29"/>
  <c r="B55" i="26"/>
  <c r="B83" i="26"/>
  <c r="B75" i="26"/>
  <c r="B67" i="26"/>
  <c r="B71" i="26"/>
  <c r="AE24" i="29"/>
  <c r="E99" i="35"/>
  <c r="AQ99" i="35" s="1"/>
  <c r="A100" i="35" s="1"/>
  <c r="B59" i="35"/>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B55" i="35" l="1"/>
  <c r="B56" i="35" s="1"/>
  <c r="B69" i="35" s="1"/>
  <c r="B77" i="35" s="1"/>
  <c r="D76"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F29" i="29"/>
  <c r="C78" i="35" l="1"/>
  <c r="G75" i="35"/>
  <c r="D77" i="35"/>
  <c r="D70" i="35"/>
  <c r="E53" i="35"/>
  <c r="D82" i="35"/>
  <c r="I67" i="35"/>
  <c r="H76" i="35"/>
  <c r="H68" i="35"/>
  <c r="H24" i="29"/>
  <c r="H75" i="35" l="1"/>
  <c r="E55" i="35"/>
  <c r="E82" i="35" s="1"/>
  <c r="D71" i="35"/>
  <c r="D72" i="35" s="1"/>
  <c r="I76" i="35"/>
  <c r="J67" i="35"/>
  <c r="I68" i="35"/>
  <c r="F28" i="29"/>
  <c r="E56" i="35" l="1"/>
  <c r="E69" i="35" s="1"/>
  <c r="E77" i="35" s="1"/>
  <c r="I75" i="35"/>
  <c r="D78" i="35"/>
  <c r="J76" i="35"/>
  <c r="K67" i="35"/>
  <c r="J68" i="35"/>
  <c r="F53" i="35"/>
  <c r="H57" i="29"/>
  <c r="F58" i="29"/>
  <c r="F59" i="29"/>
  <c r="F60" i="29"/>
  <c r="F61" i="29"/>
  <c r="F62" i="29"/>
  <c r="F63" i="29"/>
  <c r="F64" i="29"/>
  <c r="F54" i="29"/>
  <c r="F57" i="29"/>
  <c r="F50" i="29"/>
  <c r="F45" i="29"/>
  <c r="F25" i="29"/>
  <c r="F26" i="29"/>
  <c r="E70" i="35" l="1"/>
  <c r="E71" i="35" s="1"/>
  <c r="E72" i="35" s="1"/>
  <c r="F32" i="29"/>
  <c r="J75" i="35"/>
  <c r="F55" i="35"/>
  <c r="F56" i="35" s="1"/>
  <c r="F69" i="35" s="1"/>
  <c r="L67" i="35"/>
  <c r="K76" i="35"/>
  <c r="K68" i="35"/>
  <c r="F42" i="29"/>
  <c r="F37" i="29"/>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F51" i="29"/>
  <c r="F49" i="29"/>
  <c r="F48" i="29"/>
  <c r="F47" i="29"/>
  <c r="F46" i="29"/>
  <c r="F44" i="29"/>
  <c r="F43" i="29"/>
  <c r="F41" i="29"/>
  <c r="F40" i="29"/>
  <c r="F39" i="29"/>
  <c r="F36" i="29"/>
  <c r="F35" i="29"/>
  <c r="J53" i="35" l="1"/>
  <c r="J55" i="35" s="1"/>
  <c r="J56" i="35" s="1"/>
  <c r="J69" i="35" s="1"/>
  <c r="I56" i="35"/>
  <c r="I69" i="35" s="1"/>
  <c r="I77" i="35" s="1"/>
  <c r="P75" i="35"/>
  <c r="H72" i="35"/>
  <c r="H78" i="35"/>
  <c r="R67" i="35"/>
  <c r="Q76" i="35"/>
  <c r="Q68" i="35"/>
  <c r="F55" i="29"/>
  <c r="F56" i="29"/>
  <c r="F38" i="29"/>
  <c r="F53"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F33" i="29"/>
  <c r="AK67" i="35" l="1"/>
  <c r="AJ76" i="35"/>
  <c r="AJ68" i="35"/>
  <c r="S77" i="35"/>
  <c r="S70" i="35"/>
  <c r="R72" i="35"/>
  <c r="AI75" i="35"/>
  <c r="T53" i="35"/>
  <c r="S82" i="35"/>
  <c r="T55" i="35" l="1"/>
  <c r="T82" i="35" s="1"/>
  <c r="AJ75" i="35"/>
  <c r="S71" i="35"/>
  <c r="S78" i="35" s="1"/>
  <c r="AK76" i="35"/>
  <c r="AL67" i="35"/>
  <c r="AK68" i="35"/>
  <c r="F34" i="29"/>
  <c r="T56" i="35" l="1"/>
  <c r="T69" i="35" s="1"/>
  <c r="T70" i="35" s="1"/>
  <c r="S72" i="35"/>
  <c r="U53" i="35"/>
  <c r="AK75" i="35"/>
  <c r="AM67" i="35"/>
  <c r="AL76" i="35"/>
  <c r="AL68" i="35"/>
  <c r="F30" i="29"/>
  <c r="T77" i="35" l="1"/>
  <c r="AL75" i="35"/>
  <c r="U55" i="35"/>
  <c r="U56" i="35" s="1"/>
  <c r="U69" i="35" s="1"/>
  <c r="AM76" i="35"/>
  <c r="AN67" i="35"/>
  <c r="AM68" i="35"/>
  <c r="T71" i="35"/>
  <c r="T78" i="35" s="1"/>
  <c r="F24" i="29"/>
  <c r="F52" i="29"/>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90" i="35" l="1"/>
  <c r="D87" i="35"/>
  <c r="AJ89" i="35"/>
  <c r="AJ84" i="35"/>
  <c r="AL86" i="35"/>
  <c r="AL83" i="35"/>
  <c r="AL79" i="35"/>
  <c r="K89" i="35"/>
  <c r="K84" i="35"/>
  <c r="AM89" i="35"/>
  <c r="AM84" i="35"/>
  <c r="K90" i="35"/>
  <c r="K87" i="35"/>
  <c r="AD86" i="35"/>
  <c r="AD83" i="35"/>
  <c r="AD79" i="35"/>
  <c r="F86" i="35"/>
  <c r="F83" i="35"/>
  <c r="F79" i="35"/>
  <c r="AK90" i="35"/>
  <c r="AK87" i="35"/>
  <c r="G89" i="35"/>
  <c r="G84" i="35"/>
  <c r="AO90" i="35"/>
  <c r="AO87" i="35"/>
  <c r="AG89" i="35"/>
  <c r="AG84" i="35"/>
  <c r="R90" i="35"/>
  <c r="R87" i="35"/>
  <c r="F90" i="35"/>
  <c r="F87" i="35"/>
  <c r="W89" i="35"/>
  <c r="W84" i="35"/>
  <c r="J86" i="35"/>
  <c r="J83" i="35"/>
  <c r="J79" i="35"/>
  <c r="C86" i="35"/>
  <c r="C83" i="35"/>
  <c r="C79" i="35"/>
  <c r="C105" i="35"/>
  <c r="G28" i="35"/>
  <c r="B89" i="35"/>
  <c r="B84" i="35"/>
  <c r="L89" i="35"/>
  <c r="L84" i="35"/>
  <c r="T90" i="35"/>
  <c r="T87" i="35"/>
  <c r="AL89" i="35"/>
  <c r="AL84" i="35"/>
  <c r="C90" i="35"/>
  <c r="C87" i="35"/>
  <c r="G86" i="35"/>
  <c r="G83" i="35"/>
  <c r="G79" i="35"/>
  <c r="J89" i="35"/>
  <c r="J84" i="35"/>
  <c r="AF90" i="35"/>
  <c r="AF87" i="35"/>
  <c r="AI89" i="35"/>
  <c r="AI84" i="35"/>
  <c r="AK86" i="35"/>
  <c r="AK83" i="35"/>
  <c r="AK79" i="35"/>
  <c r="E90" i="35"/>
  <c r="E87" i="35"/>
  <c r="H86" i="35"/>
  <c r="H83" i="35"/>
  <c r="H79" i="35"/>
  <c r="AF89" i="35"/>
  <c r="AF84" i="35"/>
  <c r="AM86" i="35"/>
  <c r="AM83" i="35"/>
  <c r="AM79" i="35"/>
  <c r="U90" i="35"/>
  <c r="U87" i="35"/>
  <c r="Y86" i="35"/>
  <c r="Y83" i="35"/>
  <c r="Y79" i="35"/>
  <c r="I89" i="35"/>
  <c r="I84" i="35"/>
  <c r="P90" i="35"/>
  <c r="P87" i="35"/>
  <c r="AO79" i="35"/>
  <c r="AO83" i="35"/>
  <c r="AO86" i="35"/>
  <c r="AB90" i="35"/>
  <c r="AB87" i="35"/>
  <c r="AI79" i="35"/>
  <c r="AI83" i="35"/>
  <c r="AI86" i="35"/>
  <c r="H90" i="35"/>
  <c r="H87" i="35"/>
  <c r="E86" i="35"/>
  <c r="E83" i="35"/>
  <c r="E79" i="35"/>
  <c r="T89" i="35"/>
  <c r="T84" i="35"/>
  <c r="AN89" i="35"/>
  <c r="AN84" i="35"/>
  <c r="AD89" i="35"/>
  <c r="AD84" i="35"/>
  <c r="AP89" i="35"/>
  <c r="AP84" i="35"/>
  <c r="P79" i="35"/>
  <c r="P83" i="35"/>
  <c r="P86" i="35"/>
  <c r="W90" i="35"/>
  <c r="W87" i="35"/>
  <c r="AN79" i="35"/>
  <c r="AN83" i="35"/>
  <c r="AN86" i="35"/>
  <c r="B105" i="35"/>
  <c r="L88" i="35"/>
  <c r="A105" i="35"/>
  <c r="G30" i="35"/>
  <c r="N90" i="35"/>
  <c r="N87" i="35"/>
  <c r="AP79" i="35"/>
  <c r="AP83" i="35"/>
  <c r="AP86" i="35"/>
  <c r="O90" i="35"/>
  <c r="O87" i="35"/>
  <c r="AB89" i="35"/>
  <c r="AB84" i="35"/>
  <c r="AA90" i="35"/>
  <c r="AA87" i="35"/>
  <c r="AG79" i="35"/>
  <c r="AG83" i="35"/>
  <c r="AG86" i="35"/>
  <c r="B87" i="35"/>
  <c r="B90" i="35"/>
  <c r="G29" i="35"/>
  <c r="D105" i="35"/>
  <c r="AA89" i="35"/>
  <c r="AA84" i="35"/>
  <c r="AE89" i="35"/>
  <c r="AE84" i="35"/>
  <c r="AO89" i="35"/>
  <c r="AO84" i="35"/>
  <c r="AL90" i="35"/>
  <c r="AL87" i="35"/>
  <c r="O89" i="35"/>
  <c r="O84" i="35"/>
  <c r="W86" i="35"/>
  <c r="W83" i="35"/>
  <c r="W79" i="35"/>
  <c r="Q90" i="35"/>
  <c r="Q87" i="35"/>
  <c r="T86" i="35"/>
  <c r="T83" i="35"/>
  <c r="T79" i="35"/>
  <c r="AM90" i="35"/>
  <c r="AM87" i="35"/>
  <c r="AE86" i="35"/>
  <c r="AE83" i="35"/>
  <c r="AE79" i="35"/>
  <c r="M90" i="35"/>
  <c r="M87" i="35"/>
  <c r="G90" i="35"/>
  <c r="G87" i="35"/>
  <c r="C89" i="35"/>
  <c r="C84" i="35"/>
  <c r="AA86" i="35"/>
  <c r="AA83" i="35"/>
  <c r="AA79" i="35"/>
  <c r="V90" i="35"/>
  <c r="V87" i="35"/>
  <c r="AB79" i="35"/>
  <c r="AB83" i="35"/>
  <c r="AB86" i="35"/>
  <c r="O79" i="35"/>
  <c r="O83" i="35"/>
  <c r="O86" i="35"/>
  <c r="Q89" i="35"/>
  <c r="Q84" i="35"/>
  <c r="M79" i="35"/>
  <c r="M83" i="35"/>
  <c r="M86" i="35"/>
  <c r="P89" i="35"/>
  <c r="P84" i="35"/>
  <c r="AC89" i="35"/>
  <c r="AC84" i="35"/>
  <c r="AH90" i="35"/>
  <c r="AH87" i="35"/>
  <c r="X86" i="35"/>
  <c r="X83" i="35"/>
  <c r="X79" i="35"/>
  <c r="Z79" i="35"/>
  <c r="Z83" i="35"/>
  <c r="Z86" i="35"/>
  <c r="M89" i="35"/>
  <c r="M84" i="35"/>
  <c r="AD90" i="35"/>
  <c r="AD87" i="35"/>
  <c r="S79" i="35"/>
  <c r="S83" i="35"/>
  <c r="S86" i="35"/>
  <c r="AF79" i="35"/>
  <c r="AF83" i="35"/>
  <c r="AF86" i="35"/>
  <c r="AI90" i="35"/>
  <c r="AI87" i="35"/>
  <c r="D79" i="35"/>
  <c r="D83" i="35"/>
  <c r="D86" i="35"/>
  <c r="U79" i="35"/>
  <c r="U83" i="35"/>
  <c r="U86" i="35"/>
  <c r="J90" i="35"/>
  <c r="J87" i="35"/>
  <c r="V79" i="35"/>
  <c r="V83" i="35"/>
  <c r="V86" i="35"/>
  <c r="AJ90" i="35"/>
  <c r="AJ87" i="35"/>
  <c r="I79" i="35"/>
  <c r="I83" i="35"/>
  <c r="I86" i="35"/>
  <c r="S90" i="35"/>
  <c r="S87" i="35"/>
  <c r="AJ79" i="35"/>
  <c r="AJ83" i="35"/>
  <c r="AJ86" i="35"/>
  <c r="B102" i="35"/>
  <c r="A101" i="35"/>
  <c r="AE90" i="35"/>
  <c r="AE87" i="35"/>
  <c r="AH79" i="35"/>
  <c r="AH83" i="35"/>
  <c r="AH86" i="35"/>
  <c r="N89" i="35"/>
  <c r="N84" i="35"/>
  <c r="AP87" i="35"/>
  <c r="AP90" i="35"/>
  <c r="AK89" i="35"/>
  <c r="AK84" i="35"/>
  <c r="Z90" i="35"/>
  <c r="Z87" i="35"/>
  <c r="AC90" i="35"/>
  <c r="AC87" i="35"/>
  <c r="R89" i="35"/>
  <c r="R84" i="35"/>
  <c r="X89" i="35"/>
  <c r="X84" i="35"/>
  <c r="N79" i="35"/>
  <c r="N83" i="35"/>
  <c r="N86" i="35"/>
  <c r="X90" i="35"/>
  <c r="X87" i="35"/>
  <c r="Q79" i="35"/>
  <c r="Q83" i="35"/>
  <c r="Q86" i="35"/>
  <c r="S89" i="35"/>
  <c r="S84" i="35"/>
  <c r="AG90" i="35"/>
  <c r="AG87" i="35"/>
  <c r="E89" i="35"/>
  <c r="E84" i="35"/>
  <c r="H89" i="35"/>
  <c r="H84" i="35"/>
  <c r="AN90" i="35"/>
  <c r="AN87" i="35"/>
  <c r="L87" i="35"/>
  <c r="L90" i="35"/>
  <c r="R79" i="35"/>
  <c r="R83" i="35"/>
  <c r="R86" i="35"/>
  <c r="U89" i="35"/>
  <c r="U84" i="35"/>
  <c r="AH89" i="35"/>
  <c r="AH84" i="35"/>
  <c r="L79" i="35"/>
  <c r="L83" i="35"/>
  <c r="L86" i="35"/>
  <c r="I90" i="35"/>
  <c r="I87" i="35"/>
  <c r="Z89" i="35"/>
  <c r="Z84" i="35"/>
  <c r="F89" i="35"/>
  <c r="F84" i="35"/>
  <c r="D89" i="35"/>
  <c r="D84" i="35"/>
  <c r="V89" i="35"/>
  <c r="V84" i="35"/>
  <c r="Y90" i="35"/>
  <c r="B86" i="35"/>
  <c r="Y87" i="35"/>
  <c r="Y89" i="35"/>
  <c r="Y84" i="35"/>
  <c r="AC79" i="35"/>
  <c r="AC83" i="35"/>
  <c r="AC86" i="35"/>
  <c r="K79" i="35"/>
  <c r="K83" i="35"/>
  <c r="K86" i="35"/>
  <c r="Q88" i="35"/>
  <c r="C88" i="35"/>
  <c r="G88" i="35"/>
  <c r="M88" i="35"/>
  <c r="AO88" i="35"/>
  <c r="AF88" i="35"/>
  <c r="U88" i="35"/>
  <c r="AG88" i="35"/>
  <c r="AL88" i="35"/>
  <c r="V88" i="35"/>
  <c r="AN88" i="35"/>
  <c r="O88" i="35"/>
  <c r="X88" i="35"/>
  <c r="AK88" i="35"/>
  <c r="AD88" i="35"/>
  <c r="H88" i="35"/>
  <c r="I88" i="35"/>
  <c r="AH88" i="35"/>
  <c r="Z88" i="35"/>
  <c r="AE88" i="35"/>
  <c r="AM88" i="35"/>
  <c r="AJ88" i="35"/>
  <c r="E88" i="35"/>
  <c r="R88" i="35"/>
  <c r="AP88" i="35"/>
  <c r="D88" i="35"/>
  <c r="S88" i="35"/>
  <c r="Y88" i="35"/>
  <c r="AI88" i="35"/>
  <c r="J88" i="35"/>
  <c r="F88" i="35"/>
  <c r="T88" i="35"/>
  <c r="AA88" i="35"/>
  <c r="W88" i="35"/>
  <c r="AC88" i="35"/>
  <c r="B88" i="35"/>
  <c r="P88" i="35"/>
  <c r="AB88" i="35"/>
  <c r="K88" i="35"/>
  <c r="B79" i="35"/>
  <c r="B83" i="35"/>
  <c r="N88" i="35"/>
</calcChain>
</file>

<file path=xl/sharedStrings.xml><?xml version="1.0" encoding="utf-8"?>
<sst xmlns="http://schemas.openxmlformats.org/spreadsheetml/2006/main" count="1482" uniqueCount="684">
  <si>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</si>
  <si>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</si>
  <si>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</si>
  <si>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</si>
  <si>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</si>
  <si>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</si>
  <si>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</si>
  <si>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</si>
  <si>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</si>
  <si>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</si>
  <si>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</si>
  <si>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</si>
  <si>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</si>
  <si>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</si>
  <si>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</si>
  <si>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</si>
  <si>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</si>
  <si>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</si>
  <si>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</si>
  <si>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</si>
  <si>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</si>
  <si>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</si>
  <si>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</si>
  <si>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</si>
  <si>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</si>
  <si>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</si>
  <si>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</si>
  <si>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</si>
  <si>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</si>
  <si>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</si>
  <si>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</si>
  <si>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</si>
  <si>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</si>
  <si>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</si>
  <si>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</si>
  <si>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</si>
  <si>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</si>
  <si>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</si>
  <si>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</si>
  <si>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</si>
  <si>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</si>
  <si>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</si>
  <si>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</si>
  <si>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</si>
  <si>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</si>
  <si>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</si>
  <si>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</si>
  <si>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</si>
  <si>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</si>
  <si>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</si>
  <si>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</si>
  <si>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</si>
  <si>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</si>
  <si>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</si>
  <si>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</si>
  <si>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</si>
  <si>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</si>
  <si>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</si>
  <si>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</si>
  <si>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</si>
  <si>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</si>
  <si>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</si>
  <si>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</si>
  <si>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</si>
  <si>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</si>
  <si>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</si>
  <si>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</si>
  <si>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</si>
  <si>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</si>
  <si>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</si>
  <si>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</si>
  <si>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</si>
  <si>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</si>
  <si>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</si>
  <si>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</si>
  <si>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</si>
  <si>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</si>
  <si>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</si>
  <si>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</si>
  <si>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</si>
  <si>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</si>
  <si>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</si>
  <si>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</si>
  <si>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</si>
  <si>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</si>
  <si>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</si>
  <si>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</si>
  <si>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</si>
  <si>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</si>
  <si>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</si>
  <si>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</si>
  <si>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</si>
  <si>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</si>
  <si>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</si>
  <si>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</si>
  <si>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</si>
  <si>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</si>
  <si>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</si>
  <si>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</si>
  <si>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</si>
  <si>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</si>
  <si>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</si>
  <si>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</si>
  <si>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</si>
  <si>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</si>
  <si>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</si>
  <si>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</si>
  <si>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</si>
  <si>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</si>
  <si>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</si>
  <si>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</si>
  <si>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</si>
  <si>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</si>
  <si>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</si>
  <si>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</si>
  <si>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</si>
  <si>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</si>
  <si>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</si>
  <si>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</si>
  <si>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</si>
  <si>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</si>
  <si>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</si>
  <si>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</si>
  <si>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</si>
  <si>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</si>
  <si>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</si>
  <si>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</si>
  <si>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</si>
  <si>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</si>
  <si>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</si>
  <si>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</si>
  <si>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</si>
  <si>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</si>
  <si>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</si>
  <si>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</si>
  <si>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</si>
  <si>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</si>
  <si>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</si>
  <si>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</si>
  <si>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</si>
  <si>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</si>
  <si>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</si>
  <si>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</si>
  <si>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</si>
  <si>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</si>
  <si>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</si>
  <si>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</si>
  <si>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</si>
  <si>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</si>
  <si>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</si>
  <si>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</si>
  <si>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</si>
  <si>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</si>
  <si>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</si>
  <si>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</si>
  <si>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</si>
  <si>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</si>
  <si>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</si>
  <si>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</si>
  <si>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</si>
  <si>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</si>
  <si>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</si>
  <si>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</si>
  <si>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</si>
  <si>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</si>
  <si>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</si>
  <si>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</si>
  <si>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</si>
  <si>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</si>
  <si>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</si>
  <si>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</si>
  <si>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</si>
  <si>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</si>
  <si>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</si>
  <si>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</si>
  <si>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</si>
  <si>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</si>
  <si>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</si>
  <si>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</si>
  <si>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</si>
  <si>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</si>
  <si>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</si>
  <si>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</si>
  <si>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</si>
  <si>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</si>
  <si>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</si>
  <si>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</si>
  <si>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</si>
  <si>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</si>
  <si>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</si>
  <si>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</si>
  <si>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</si>
  <si>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</si>
  <si>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</si>
  <si>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</si>
  <si>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</si>
  <si>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</si>
  <si>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</si>
  <si>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</si>
  <si>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</si>
  <si>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</si>
  <si>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</si>
  <si>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</si>
  <si>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</si>
  <si>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</si>
  <si>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</si>
  <si>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</si>
  <si>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</si>
  <si>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</si>
  <si>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</si>
  <si>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</si>
  <si>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</si>
  <si>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</si>
  <si>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</si>
  <si>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</si>
  <si>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</si>
  <si>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</si>
  <si>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</si>
  <si>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</si>
  <si>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</si>
  <si>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</si>
  <si>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</si>
  <si>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</si>
  <si>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</si>
  <si>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</si>
  <si>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</si>
  <si>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</si>
  <si>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</si>
  <si>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</si>
  <si>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</si>
  <si>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</si>
  <si>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</si>
  <si>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</si>
  <si>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</si>
  <si>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</si>
  <si>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</si>
  <si>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</si>
  <si>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</si>
  <si>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</si>
  <si>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</si>
  <si>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</si>
  <si>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</si>
  <si>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</si>
  <si>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</si>
  <si>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</si>
  <si>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</si>
  <si>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</si>
  <si>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</si>
  <si>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</si>
  <si>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</si>
  <si>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</si>
  <si>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</si>
  <si>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</si>
  <si>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</si>
  <si>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</si>
  <si>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</si>
  <si>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</si>
  <si>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</si>
  <si>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</si>
  <si>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</si>
  <si>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</si>
  <si>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</si>
  <si>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</si>
  <si>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</si>
  <si>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</si>
  <si>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</si>
  <si>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</si>
  <si>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</si>
  <si>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</si>
  <si>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</si>
  <si>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</si>
  <si>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</si>
  <si>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</si>
  <si>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</si>
  <si>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</si>
  <si>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</si>
  <si>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</si>
  <si>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</si>
  <si>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</si>
  <si>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</si>
  <si>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</si>
  <si>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</si>
  <si>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</si>
  <si>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</si>
  <si>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</si>
  <si>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</si>
  <si>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</si>
  <si>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</si>
  <si>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</si>
  <si>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</si>
  <si>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</si>
  <si>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</si>
  <si>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</si>
  <si>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</si>
  <si>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</si>
  <si>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</si>
  <si>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</si>
  <si>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</si>
  <si>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</si>
  <si>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</si>
  <si>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</si>
  <si>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</si>
  <si>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</si>
  <si>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</si>
  <si>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</si>
  <si>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</si>
  <si>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</si>
  <si>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</si>
  <si>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</si>
  <si>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</si>
  <si>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</si>
  <si>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</si>
  <si>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</si>
  <si>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</si>
  <si>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</si>
  <si>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</si>
  <si>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</si>
  <si>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</si>
  <si>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</si>
  <si>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</si>
  <si>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</si>
  <si>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</si>
  <si>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</si>
  <si>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</si>
  <si>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</si>
  <si>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</si>
  <si>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</si>
  <si>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</si>
  <si>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</si>
  <si>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</si>
  <si>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</si>
  <si>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</si>
  <si>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</si>
  <si>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</si>
  <si>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</si>
  <si>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</si>
  <si>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</si>
  <si>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</si>
  <si>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</si>
  <si>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</si>
  <si>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</si>
  <si>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</si>
  <si>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</si>
  <si>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</si>
  <si>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</si>
  <si>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</si>
  <si>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</si>
  <si>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</si>
  <si>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</si>
  <si>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</si>
  <si>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</si>
  <si>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</si>
  <si>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</si>
  <si>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</si>
  <si>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</si>
  <si>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</si>
  <si>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</si>
  <si>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</si>
  <si>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</si>
  <si>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</si>
  <si>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</si>
  <si>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</si>
  <si>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</si>
  <si>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</si>
  <si>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</si>
  <si>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</si>
  <si>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</si>
  <si>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</si>
  <si>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</si>
  <si>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</si>
  <si>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</si>
  <si>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</si>
  <si>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</si>
  <si>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</si>
  <si>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</si>
  <si>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</si>
  <si>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</si>
  <si>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</si>
  <si>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</si>
  <si>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</si>
  <si>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</si>
  <si>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</si>
  <si>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</si>
  <si>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</si>
  <si>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</si>
  <si>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</si>
  <si>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</si>
  <si>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</si>
  <si>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</si>
  <si>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</si>
  <si>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</si>
  <si>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</si>
  <si>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</si>
  <si>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</si>
  <si>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</si>
  <si>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</si>
  <si>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</si>
  <si>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</si>
  <si>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</si>
  <si>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</si>
  <si>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</si>
  <si>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</si>
  <si>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</si>
  <si>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</si>
  <si>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</si>
  <si>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</si>
  <si>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</si>
  <si>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</si>
  <si>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</si>
  <si>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</si>
  <si>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</si>
  <si>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</si>
  <si>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</si>
  <si>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</si>
  <si>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</si>
  <si>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</si>
  <si>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</si>
  <si>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</si>
  <si>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</si>
  <si>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</si>
  <si>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</si>
  <si>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</si>
  <si>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</si>
  <si>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</si>
  <si>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</si>
  <si>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</si>
  <si>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</si>
  <si>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</si>
  <si>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</si>
  <si>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</si>
  <si>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</si>
  <si>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</si>
  <si>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</si>
  <si>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</si>
  <si>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</si>
  <si>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</si>
  <si>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</si>
  <si>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</si>
  <si>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</si>
  <si>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</si>
  <si>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</si>
  <si>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</si>
  <si>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</si>
  <si>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</si>
  <si>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</si>
  <si>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</si>
  <si>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</si>
  <si>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</si>
  <si>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</si>
  <si>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</si>
  <si>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</si>
  <si>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</si>
  <si>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</si>
  <si>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</si>
  <si>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</si>
  <si>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</si>
  <si>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</si>
  <si>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</si>
  <si>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</si>
  <si>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</si>
  <si>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</si>
  <si>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</si>
  <si>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</si>
  <si>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</si>
  <si>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</si>
  <si>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</si>
  <si>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</si>
  <si>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</si>
  <si>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</si>
  <si>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</si>
  <si>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</si>
  <si>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</si>
  <si>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</si>
  <si>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</si>
  <si>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</si>
  <si>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</si>
  <si>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</si>
  <si>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</si>
  <si>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</si>
  <si>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</si>
  <si>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</si>
  <si>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</si>
  <si>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</si>
  <si>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</si>
  <si>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</si>
  <si>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</si>
  <si>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</si>
  <si>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</si>
  <si>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</si>
  <si>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</si>
  <si>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</si>
  <si>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</si>
  <si>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</si>
  <si>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</si>
  <si>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</si>
  <si>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</si>
  <si>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</si>
  <si>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</si>
  <si>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</si>
  <si>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</si>
  <si>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</si>
  <si>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</si>
  <si>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</si>
  <si>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</si>
  <si>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</si>
  <si>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</si>
  <si>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</si>
  <si>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</si>
  <si>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</si>
  <si>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</si>
  <si>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</si>
  <si>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</si>
  <si>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</si>
  <si>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</si>
  <si>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</si>
  <si>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</si>
  <si>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</si>
  <si>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</si>
  <si>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</si>
  <si>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</si>
  <si>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</si>
  <si>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</si>
  <si>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</si>
  <si>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</si>
  <si>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</si>
  <si>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</si>
  <si>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</si>
  <si>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</si>
  <si>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</si>
  <si>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</si>
  <si>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</si>
  <si>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</si>
  <si>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</si>
  <si>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</si>
  <si>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</si>
  <si>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</si>
  <si>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</si>
  <si>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</si>
  <si>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</si>
  <si>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</si>
  <si>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</si>
  <si>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</si>
  <si>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</si>
  <si>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</si>
  <si>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</si>
  <si>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</si>
  <si>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</si>
  <si>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</si>
  <si>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</si>
  <si>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</si>
  <si>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</si>
  <si>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</si>
  <si>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</si>
  <si>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</si>
  <si>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</si>
  <si>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</si>
  <si>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</si>
  <si>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ТРДН 16 000/110 У1</t>
  </si>
  <si>
    <t>Т-1, Т-2</t>
  </si>
  <si>
    <t>ДГР-1, ДГР-2</t>
  </si>
  <si>
    <t>ТСН-1, ТСН-2</t>
  </si>
  <si>
    <t>трансформатор собственных нужд</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</si>
  <si>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</si>
  <si>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</si>
  <si>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</si>
  <si>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</si>
  <si>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</si>
  <si>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</si>
  <si>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</si>
  <si>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</si>
  <si>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</si>
  <si>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</si>
  <si>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</si>
  <si>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 xml:space="preserve"> по состоянию на 01.01.2020</t>
  </si>
  <si>
    <t xml:space="preserve"> факт 2019</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</si>
  <si>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</si>
  <si>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</si>
  <si>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</si>
  <si>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</si>
  <si>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</si>
  <si>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</si>
  <si>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</si>
  <si>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</si>
  <si>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</si>
  <si>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</si>
  <si>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</si>
  <si>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</si>
  <si>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</si>
  <si>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</si>
  <si>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</si>
  <si>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</si>
  <si>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</si>
  <si>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</si>
  <si>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</si>
  <si>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</si>
  <si>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</si>
  <si>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</si>
  <si>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</si>
  <si>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</si>
  <si>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</si>
  <si>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</si>
  <si>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</si>
  <si>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</si>
  <si>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</si>
  <si>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</si>
  <si>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</si>
  <si>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</si>
  <si>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</si>
  <si>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</si>
  <si>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</si>
  <si>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</si>
  <si>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</si>
  <si>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</si>
  <si>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</si>
  <si>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</si>
  <si>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</si>
  <si>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</si>
  <si>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</si>
  <si>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</si>
  <si>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</si>
  <si>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</si>
  <si>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</si>
  <si>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</si>
  <si>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</si>
  <si>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</si>
  <si>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</si>
  <si>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</si>
  <si>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Строительство второй очереди ПС 110 Прибрежная с установкой второго трансформатора 10МВА г. Калининград, пос. Прибрежный</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</si>
  <si>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</si>
  <si>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</si>
  <si>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</si>
  <si>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</si>
  <si>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</si>
  <si>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</si>
  <si>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</si>
  <si>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</si>
  <si>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</si>
  <si>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</si>
  <si>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</si>
  <si>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</si>
  <si>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</si>
  <si>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</si>
  <si>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</si>
  <si>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</si>
  <si>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</si>
  <si>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</si>
  <si>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</si>
  <si>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</si>
  <si>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M 22-01</t>
  </si>
  <si>
    <t>ТП 15/0,4 кВ №8</t>
  </si>
  <si>
    <t>119-12/21ТП от 10.12.2021</t>
  </si>
  <si>
    <t>действующий</t>
  </si>
  <si>
    <t>в линейных ячейках 1,2 секциях ЗРУ 15 кВ ПС 110 кВ "Прибрежная"</t>
  </si>
  <si>
    <t xml:space="preserve">14-03/21ТП от 19.05.2021 </t>
  </si>
  <si>
    <t>ТП4 Производственный комплекс строительных керамических изделий ООО "Балткерамика"</t>
  </si>
  <si>
    <t>Очистные сооружения ГП КО "Водоканал"</t>
  </si>
  <si>
    <t>121-12/21ТП от 10.12.2021</t>
  </si>
  <si>
    <t>Увеличение разрешенной мощности ПС Прибрежная на 3,1 МВт, обеспечение 2-й категории электроснабжения потребителей, повышение надёжности.</t>
  </si>
  <si>
    <t>16 МВА</t>
  </si>
  <si>
    <t>• Наличие договоров на технологическое присоединение к планируемому к строительству (расширению) объекту;
• Постановление Правительства Российской Федерации от 27 декабря 2004 г. № 861</t>
  </si>
  <si>
    <t>13,91 млн.руб./МВА</t>
  </si>
  <si>
    <t>105-11/21 от 17.11.2021</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</si>
  <si>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г №Я-50/14 
(действующие до 05.03.2023 г.).
10.2. Выполнение необходимых технических мероприятий в отношении технологически присоединенных к электрическим сетям энергопринимающих устройств, обеспечивающих незамедлительное отключение нагрузки дежурным персоналом АО «Западная энергетическая компания» путем дистанционного ввода графиков временного отключения потребителя.</t>
  </si>
  <si>
    <t>Калининградская область, г. Калиниград,
ул. Воскресенская</t>
  </si>
  <si>
    <t>Калининградская область, г. Калиниград,
ул. Заводская,11</t>
  </si>
  <si>
    <t>1. Кабельные наконечники присоединения кабельной линии 0,4 кВ, отходящей от 1 секции 0,4 кВ ТП 5 
2. Кабельные наконечники присоединения кабельной линии 0,4 кВ , отходящей от 2 секции 0,4 кВ ТП 5</t>
  </si>
  <si>
    <t>Калининградская область, г. Калиниград,
ул. Заводская, 11, литер А, пом. ХI</t>
  </si>
  <si>
    <t>1 от 21.12.2021</t>
  </si>
  <si>
    <t>в районе Приморской рекреационной зоны "Мостовой переход через Калининградский залив с подходами (от пос. Космодемьянского 
до пос. Шоссейное)"</t>
  </si>
  <si>
    <t>БКТП4, БКТП 5, БКТП 6 (Левый берег) 11 очередь строительства кольцевого маршрута в районе Приморской рекреационной зоны "Мостовой переход через Калининградский залив с подходами 
(от пос. Космодемьянского до пос. Шоссейное)" (Левый берег) ООО "Десятая концессионная компания"</t>
  </si>
  <si>
    <t xml:space="preserve">10.1. Реконструкция ПС 110 кВ Прибрежная с установкой второго силового трансформатора. 
10.2. Реконструкция РУ 15 кВ ТП 15/0,4 кВ №8.
10.3. Проектирование и строительство 2КЛ 15 кВ от РУ 15 кВ ТП 15/0,4 кВ №8 до РУ 15 кВ ТП 15/0,4 кВ (новая) общей протяженностью ориентировочно 1600 м, (марку, сечение и длину кабельной линии уточнить при проектировании (в том числе протяженность прокладки кабеля методом ГНБ – 500 м).
10.4. Отключение существующих коммутационных аппаратов на КЛ 0,4 кВ в РУ 0,4 кВ ТП 15/0,4 кВ №8 в сторону очистных сооружений в связи с изменением схемы присоединения существующих энергопримающих устройств (60 кВт) с переводом мощности 60 кВт на ТП 15/0,4 кВ (новая). </t>
  </si>
  <si>
    <t>1- Кабельные наконечники присоединения кабельной линии 15 кВ, отходящей от 1 секции РП 15 кВ  (новый)                                                          
 2- Кабельные наконечники присоединения кабельной линии 15 кВ, отходящей от 2 секции РП 15 кВ (новый)</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</si>
  <si>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№Я-50/14 (действующие до 05.03.2023 г.).
10.2. Установку приборов учета расхода электирческой энергии на границе балансовой принадлежности в соответствии с требованими ПУЭ, применить счетчики соответствующего класса точности и возможностью интеграции в систему АИСКУЭ.</t>
  </si>
  <si>
    <t xml:space="preserve"> 10.1. Проектирование и строительство 2-х КЛ 15 кВ от 1 и 2 секций ПС 110 кВ Прибрежная до 1 и 2 секции РП 15 кВ (новый). Применить кабель из сшитого полиэтилена. протяженность каждой линии ориентировочно 4000м. Марку КЛ, сечения кабельных жил и экрана, длину кабельной линии уточнить при проектировании; 
Извещение от 13.07.2021: дополнить  пункт 10 пудпунктом 10.1.1 ТУ 14-03/21 от 31.03.2021: 
10.1.1. Реконструкцию подстанции ПС 110 кВ Прибрежная с установкой второго силового трансформатора.  
10.2. Проектирование и строительство РП 15 кВ (новый).                                                                                                                                                                  10.3. Переустройство участков ВЛ 15-180 в районе строительства РП 15 кВ (новый) с подключением линии от 
РП 15 кВ (новый).   
10.4. В РП 15 кВ (новый) установить приборы учета электроэнергии и коммутационные аппараты 
с учетом  величины максимальной мощности 2l7 кВт.</t>
  </si>
  <si>
    <t xml:space="preserve">ООО ЖБИ-ПЕРВЫЙ   Производственные помещения </t>
  </si>
  <si>
    <t xml:space="preserve"> по состоянию на 01.01.2023</t>
  </si>
  <si>
    <t>C</t>
  </si>
  <si>
    <t>Год раскрытия информации: 2024 год</t>
  </si>
  <si>
    <t>Прогноз социально-экономического развития Российской Федерации на 2023 год и на плановый период 2024 и 2029 гг. Минэкономразвития России 28 сентября 2022 г</t>
  </si>
  <si>
    <t>Годы</t>
  </si>
  <si>
    <t>Индекс-дефлятор</t>
  </si>
  <si>
    <t>Увеличение дохода от передачи ээ, руб. в ценах 2024 года</t>
  </si>
  <si>
    <t>среднеотпускной тариф на услуги по передаче на 2024 г.</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</si>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</sst>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000000000"/>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1"/>
      <color theme="7" tint="0.59999389629810485"/>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
      <left/>
      <right style="medium">
        <color auto="1"/>
      </right>
      <top/>
      <bottom style="thin">
        <color auto="1"/>
      </bottom>
      <diagonal/>
    </border>
    <border>
      <left style="medium">
        <color auto="1"/>
      </left>
      <right/>
      <top style="thin">
        <color auto="1"/>
      </top>
      <bottom style="medium">
        <color auto="1"/>
      </bottom>
      <diagonal/>
    </border>
    <border>
      <left style="thin">
        <color rgb="FF000000"/>
      </left>
      <right style="thin">
        <color rgb="FF000000"/>
      </right>
      <top style="thin">
        <color rgb="FF000000"/>
      </top>
      <bottom style="thin">
        <color rgb="FF000000"/>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xf numFmtId="0" fontId="10" fillId="0" borderId="0"/>
  </cellStyleXfs>
  <cellXfs count="47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4" xfId="2" applyFont="1" applyBorder="1" applyAlignment="1">
      <alignment horizontal="justify"/>
    </xf>
    <xf numFmtId="0" fontId="36" fillId="0" borderId="24" xfId="2" applyFont="1" applyBorder="1" applyAlignment="1">
      <alignment horizontal="justify"/>
    </xf>
    <xf numFmtId="0" fontId="36" fillId="0" borderId="25" xfId="2" applyFont="1" applyBorder="1" applyAlignment="1">
      <alignment horizontal="justify"/>
    </xf>
    <xf numFmtId="0" fontId="37" fillId="0" borderId="24" xfId="2" applyFont="1" applyBorder="1" applyAlignment="1">
      <alignment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6" fillId="0" borderId="24" xfId="2" applyFont="1" applyBorder="1" applyAlignment="1">
      <alignment horizontal="justify" vertical="top" wrapText="1"/>
    </xf>
    <xf numFmtId="0" fontId="36" fillId="0" borderId="25" xfId="2" applyFont="1" applyBorder="1" applyAlignment="1">
      <alignment vertical="top" wrapText="1"/>
    </xf>
    <xf numFmtId="0" fontId="36" fillId="0" borderId="24" xfId="2" applyFont="1" applyBorder="1" applyAlignment="1">
      <alignment vertical="top" wrapText="1"/>
    </xf>
    <xf numFmtId="0" fontId="36" fillId="0" borderId="28" xfId="2" applyFont="1" applyBorder="1" applyAlignment="1">
      <alignment vertical="top" wrapText="1"/>
    </xf>
    <xf numFmtId="0" fontId="36" fillId="0" borderId="26" xfId="2" applyFont="1" applyBorder="1" applyAlignment="1">
      <alignment vertical="top" wrapText="1"/>
    </xf>
    <xf numFmtId="0" fontId="37" fillId="0" borderId="26" xfId="2" applyFont="1" applyBorder="1" applyAlignment="1">
      <alignment horizontal="justify" vertical="top" wrapText="1"/>
    </xf>
    <xf numFmtId="0" fontId="37" fillId="0" borderId="24" xfId="2" applyFont="1" applyBorder="1" applyAlignment="1">
      <alignment horizontal="justify" vertical="top" wrapText="1"/>
    </xf>
    <xf numFmtId="0" fontId="36" fillId="0" borderId="30" xfId="2" applyFont="1" applyBorder="1" applyAlignment="1">
      <alignment horizontal="justify" vertical="top" wrapText="1"/>
    </xf>
    <xf numFmtId="0" fontId="36" fillId="0" borderId="29" xfId="2" applyFont="1" applyBorder="1" applyAlignment="1">
      <alignment vertical="top" wrapText="1"/>
    </xf>
    <xf numFmtId="0" fontId="37" fillId="0" borderId="25" xfId="2" applyFont="1" applyBorder="1" applyAlignment="1">
      <alignment horizontal="left" vertical="center" wrapText="1"/>
    </xf>
    <xf numFmtId="0" fontId="36" fillId="0" borderId="29" xfId="2" applyFont="1" applyBorder="1" applyAlignment="1">
      <alignment horizontal="justify" vertical="top" wrapText="1"/>
    </xf>
    <xf numFmtId="0" fontId="37" fillId="0" borderId="25" xfId="2" applyFont="1" applyBorder="1" applyAlignment="1">
      <alignment horizontal="center" vertical="center" wrapText="1"/>
    </xf>
    <xf numFmtId="0" fontId="36" fillId="0" borderId="26"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4" xfId="2" applyNumberFormat="1" applyFont="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7" xfId="2" applyFont="1" applyBorder="1" applyAlignment="1">
      <alignment horizontal="left" vertical="center" wrapText="1"/>
    </xf>
    <xf numFmtId="4" fontId="36" fillId="0" borderId="24" xfId="2" applyNumberFormat="1" applyFont="1" applyBorder="1" applyAlignment="1">
      <alignment horizontal="justify" vertical="top" wrapText="1"/>
    </xf>
    <xf numFmtId="0" fontId="36" fillId="0" borderId="24"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5"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9" xfId="2" applyNumberFormat="1" applyFont="1" applyBorder="1" applyAlignment="1">
      <alignment horizontal="justify" vertical="top" wrapText="1"/>
    </xf>
    <xf numFmtId="4" fontId="38" fillId="0" borderId="31" xfId="62" applyNumberFormat="1" applyFont="1" applyBorder="1" applyAlignment="1">
      <alignment horizontal="left" vertical="center" wrapText="1"/>
    </xf>
    <xf numFmtId="0" fontId="36" fillId="0" borderId="24" xfId="2" applyFont="1" applyBorder="1" applyAlignment="1">
      <alignment horizontal="left" vertical="top" wrapText="1"/>
    </xf>
    <xf numFmtId="0" fontId="36" fillId="0" borderId="29"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70"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Border="1" applyAlignment="1">
      <alignment horizontal="center" vertical="center" wrapText="1" shrinkToFit="1"/>
    </xf>
    <xf numFmtId="0" fontId="38" fillId="0" borderId="36" xfId="2" applyFont="1" applyBorder="1" applyAlignment="1">
      <alignment horizontal="center" vertical="top" wrapText="1" shrinkToFit="1"/>
    </xf>
    <xf numFmtId="14" fontId="10" fillId="26" borderId="36" xfId="2" applyNumberForma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5" borderId="24" xfId="2" applyFont="1" applyFill="1" applyBorder="1" applyAlignment="1">
      <alignment horizontal="justify" vertical="top" wrapText="1"/>
    </xf>
    <xf numFmtId="172" fontId="36" fillId="45"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10" fillId="0" borderId="38" xfId="1" applyFont="1" applyBorder="1" applyAlignment="1">
      <alignment horizontal="center" vertical="center" wrapText="1"/>
    </xf>
    <xf numFmtId="0" fontId="38" fillId="0" borderId="0" xfId="50" applyFont="1" applyAlignment="1">
      <alignment vertical="center"/>
    </xf>
    <xf numFmtId="0" fontId="37" fillId="0" borderId="46" xfId="67" applyFont="1" applyBorder="1" applyAlignment="1">
      <alignment vertical="center" wrapText="1"/>
    </xf>
    <xf numFmtId="3" fontId="36" fillId="0" borderId="36" xfId="67" applyNumberFormat="1" applyFont="1" applyBorder="1" applyAlignment="1">
      <alignment vertical="center"/>
    </xf>
    <xf numFmtId="3" fontId="36" fillId="0" borderId="23" xfId="67" applyNumberFormat="1" applyFont="1" applyBorder="1" applyAlignment="1">
      <alignment vertical="center"/>
    </xf>
    <xf numFmtId="0" fontId="37" fillId="0" borderId="48" xfId="67" applyFont="1" applyBorder="1" applyAlignment="1">
      <alignment vertical="center" wrapText="1"/>
    </xf>
    <xf numFmtId="3" fontId="37" fillId="0" borderId="36" xfId="67" applyNumberFormat="1" applyFont="1" applyBorder="1" applyAlignment="1">
      <alignment vertical="center"/>
    </xf>
    <xf numFmtId="0" fontId="37" fillId="0" borderId="48" xfId="67" applyFont="1" applyBorder="1" applyAlignment="1">
      <alignment horizontal="left" vertical="center" wrapText="1"/>
    </xf>
    <xf numFmtId="0" fontId="37" fillId="0" borderId="55" xfId="67" applyFont="1" applyBorder="1" applyAlignment="1">
      <alignment horizontal="left" vertical="center" wrapText="1"/>
    </xf>
    <xf numFmtId="3" fontId="37" fillId="0" borderId="23" xfId="67" applyNumberFormat="1" applyFont="1" applyBorder="1" applyAlignment="1">
      <alignment vertical="center"/>
    </xf>
    <xf numFmtId="175" fontId="36" fillId="0" borderId="36" xfId="67" applyNumberFormat="1" applyFont="1" applyBorder="1" applyAlignment="1">
      <alignment horizontal="center" vertical="center"/>
    </xf>
    <xf numFmtId="10" fontId="37" fillId="0" borderId="36" xfId="67" applyNumberFormat="1" applyFont="1" applyBorder="1" applyAlignment="1">
      <alignment vertical="center"/>
    </xf>
    <xf numFmtId="170" fontId="37" fillId="0" borderId="36" xfId="67" applyNumberFormat="1" applyFont="1" applyBorder="1" applyAlignment="1">
      <alignment vertical="center"/>
    </xf>
    <xf numFmtId="176" fontId="37" fillId="0" borderId="36" xfId="67" applyNumberFormat="1" applyFont="1" applyBorder="1" applyAlignment="1">
      <alignment vertical="center"/>
    </xf>
    <xf numFmtId="0" fontId="37" fillId="0" borderId="55"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5" fillId="0" borderId="36" xfId="62" applyFont="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6" fillId="0" borderId="0" xfId="67" applyFont="1" applyAlignment="1">
      <alignment horizontal="left" vertical="center"/>
    </xf>
    <xf numFmtId="0" fontId="41" fillId="0" borderId="0" xfId="67" applyFont="1" applyAlignment="1">
      <alignment vertical="center"/>
    </xf>
    <xf numFmtId="0" fontId="10" fillId="0" borderId="42" xfId="67" applyBorder="1" applyAlignment="1">
      <alignment vertical="center" wrapText="1"/>
    </xf>
    <xf numFmtId="0" fontId="10" fillId="0" borderId="53" xfId="67" applyBorder="1" applyAlignment="1">
      <alignment vertical="center" wrapText="1"/>
    </xf>
    <xf numFmtId="3" fontId="36" fillId="0" borderId="34" xfId="67" applyNumberFormat="1" applyFont="1" applyBorder="1" applyAlignment="1">
      <alignment vertical="center"/>
    </xf>
    <xf numFmtId="0" fontId="10" fillId="0" borderId="35" xfId="67" applyBorder="1" applyAlignment="1">
      <alignment vertical="center" wrapText="1"/>
    </xf>
    <xf numFmtId="0" fontId="10" fillId="0" borderId="32" xfId="67" applyBorder="1" applyAlignment="1">
      <alignment vertical="center" wrapText="1"/>
    </xf>
    <xf numFmtId="3" fontId="36" fillId="0" borderId="33" xfId="67" applyNumberFormat="1" applyFont="1" applyBorder="1" applyAlignment="1">
      <alignment vertical="center"/>
    </xf>
    <xf numFmtId="0" fontId="10" fillId="0" borderId="40" xfId="67" applyBorder="1" applyAlignment="1">
      <alignment vertical="center" wrapText="1"/>
    </xf>
    <xf numFmtId="10" fontId="36" fillId="0" borderId="54" xfId="67" applyNumberFormat="1" applyFont="1" applyBorder="1" applyAlignment="1">
      <alignment vertical="center"/>
    </xf>
    <xf numFmtId="9" fontId="36" fillId="0" borderId="41" xfId="67" applyNumberFormat="1" applyFont="1" applyBorder="1" applyAlignment="1">
      <alignment vertical="center"/>
    </xf>
    <xf numFmtId="3" fontId="36" fillId="0" borderId="32" xfId="67" applyNumberFormat="1" applyFont="1" applyBorder="1" applyAlignment="1">
      <alignment vertical="center"/>
    </xf>
    <xf numFmtId="0" fontId="10" fillId="0" borderId="43" xfId="67" applyBorder="1" applyAlignment="1">
      <alignment vertical="center" wrapText="1"/>
    </xf>
    <xf numFmtId="10" fontId="36" fillId="0" borderId="44" xfId="67" applyNumberFormat="1" applyFont="1" applyBorder="1" applyAlignment="1">
      <alignment vertical="center"/>
    </xf>
    <xf numFmtId="10" fontId="36" fillId="0" borderId="53" xfId="67" applyNumberFormat="1" applyFont="1" applyBorder="1" applyAlignment="1">
      <alignment vertical="center"/>
    </xf>
    <xf numFmtId="0" fontId="10" fillId="0" borderId="45" xfId="67" applyBorder="1" applyAlignment="1">
      <alignment vertical="center" wrapText="1"/>
    </xf>
    <xf numFmtId="174" fontId="36" fillId="0" borderId="40" xfId="67" applyNumberFormat="1" applyFont="1" applyBorder="1" applyAlignment="1">
      <alignment vertical="center"/>
    </xf>
    <xf numFmtId="0" fontId="10" fillId="0" borderId="46" xfId="67" applyBorder="1" applyAlignment="1">
      <alignment horizontal="left" vertical="center" wrapText="1"/>
    </xf>
    <xf numFmtId="1" fontId="10" fillId="0" borderId="47" xfId="67" applyNumberFormat="1" applyBorder="1" applyAlignment="1">
      <alignment horizontal="center" vertical="center"/>
    </xf>
    <xf numFmtId="0" fontId="10" fillId="0" borderId="48" xfId="67" applyBorder="1" applyAlignment="1">
      <alignment vertical="center" wrapText="1"/>
    </xf>
    <xf numFmtId="10" fontId="41" fillId="0" borderId="36" xfId="67" applyNumberFormat="1" applyFont="1" applyBorder="1" applyAlignment="1">
      <alignment vertical="center"/>
    </xf>
    <xf numFmtId="10" fontId="36" fillId="0" borderId="36" xfId="67" applyNumberFormat="1" applyFont="1" applyBorder="1" applyAlignment="1">
      <alignment vertical="center"/>
    </xf>
    <xf numFmtId="0" fontId="10" fillId="0" borderId="55" xfId="67" applyBorder="1" applyAlignment="1">
      <alignment vertical="center" wrapText="1"/>
    </xf>
    <xf numFmtId="3" fontId="10" fillId="0" borderId="0" xfId="67" applyNumberFormat="1" applyAlignment="1">
      <alignment horizontal="center" vertical="center"/>
    </xf>
    <xf numFmtId="0" fontId="10" fillId="0" borderId="48" xfId="67" applyBorder="1" applyAlignment="1">
      <alignment horizontal="left" vertical="center" wrapText="1"/>
    </xf>
    <xf numFmtId="3" fontId="36" fillId="0" borderId="37"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6" xfId="67" applyBorder="1" applyAlignment="1">
      <alignment vertical="center" wrapText="1"/>
    </xf>
    <xf numFmtId="3" fontId="37" fillId="0" borderId="57" xfId="67" applyNumberFormat="1" applyFont="1" applyBorder="1" applyAlignment="1">
      <alignment vertical="center"/>
    </xf>
    <xf numFmtId="3" fontId="37" fillId="0" borderId="58" xfId="67" applyNumberFormat="1" applyFont="1" applyBorder="1" applyAlignment="1">
      <alignment vertical="center"/>
    </xf>
    <xf numFmtId="0" fontId="40" fillId="0" borderId="56" xfId="62" applyBorder="1"/>
    <xf numFmtId="3" fontId="38" fillId="0" borderId="0" xfId="67" applyNumberFormat="1" applyFont="1" applyAlignment="1">
      <alignment horizontal="center" vertical="center" wrapText="1"/>
    </xf>
    <xf numFmtId="172" fontId="37" fillId="0" borderId="36" xfId="67" applyNumberFormat="1" applyFont="1" applyBorder="1" applyAlignment="1">
      <alignment vertical="center"/>
    </xf>
    <xf numFmtId="172" fontId="40" fillId="0" borderId="36" xfId="62" applyNumberFormat="1" applyBorder="1" applyAlignment="1">
      <alignment horizontal="center" vertical="center" wrapText="1"/>
    </xf>
    <xf numFmtId="9" fontId="40" fillId="0" borderId="36" xfId="62" applyNumberFormat="1" applyBorder="1" applyAlignment="1">
      <alignment horizontal="center" vertical="center" wrapText="1"/>
    </xf>
    <xf numFmtId="4" fontId="40" fillId="0" borderId="36" xfId="62" applyNumberFormat="1" applyBorder="1" applyAlignment="1">
      <alignment horizontal="center" vertical="center" wrapText="1"/>
    </xf>
    <xf numFmtId="0" fontId="40" fillId="0" borderId="0" xfId="62" applyAlignment="1">
      <alignment wrapText="1"/>
    </xf>
    <xf numFmtId="0" fontId="40" fillId="0" borderId="36" xfId="62" applyBorder="1" applyAlignment="1">
      <alignment horizontal="center" vertical="center" wrapText="1"/>
    </xf>
    <xf numFmtId="0" fontId="40" fillId="0" borderId="36" xfId="62" applyBorder="1" applyAlignment="1">
      <alignment horizontal="center" vertical="center"/>
    </xf>
    <xf numFmtId="0" fontId="40" fillId="0" borderId="36" xfId="62" applyBorder="1" applyAlignment="1">
      <alignment horizontal="left" vertical="center" wrapText="1"/>
    </xf>
    <xf numFmtId="4" fontId="40" fillId="0" borderId="36" xfId="62" applyNumberFormat="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Border="1" applyAlignment="1">
      <alignment horizontal="center" vertical="center" wrapText="1"/>
    </xf>
    <xf numFmtId="0" fontId="40" fillId="0" borderId="36" xfId="62" applyBorder="1" applyAlignment="1">
      <alignment wrapText="1"/>
    </xf>
    <xf numFmtId="0" fontId="40" fillId="0" borderId="36" xfId="62" applyBorder="1"/>
    <xf numFmtId="0" fontId="40" fillId="0" borderId="36" xfId="62" applyBorder="1" applyAlignment="1">
      <alignment horizontal="left" wrapText="1"/>
    </xf>
    <xf numFmtId="4" fontId="36" fillId="0" borderId="33" xfId="67" applyNumberFormat="1" applyFont="1" applyBorder="1" applyAlignment="1">
      <alignment vertical="center"/>
    </xf>
    <xf numFmtId="3" fontId="40" fillId="0" borderId="36" xfId="62" applyNumberFormat="1" applyBorder="1" applyAlignment="1">
      <alignment horizontal="center"/>
    </xf>
    <xf numFmtId="0" fontId="40" fillId="0" borderId="0" xfId="62" applyAlignment="1">
      <alignment horizontal="center"/>
    </xf>
    <xf numFmtId="0" fontId="40" fillId="0" borderId="49" xfId="62" applyBorder="1" applyAlignment="1">
      <alignment wrapText="1"/>
    </xf>
    <xf numFmtId="3" fontId="40" fillId="0" borderId="49" xfId="62" applyNumberFormat="1" applyBorder="1"/>
    <xf numFmtId="4" fontId="40" fillId="0" borderId="36" xfId="62" applyNumberFormat="1" applyBorder="1" applyAlignment="1">
      <alignment horizontal="center"/>
    </xf>
    <xf numFmtId="172" fontId="40" fillId="0" borderId="36" xfId="62" applyNumberFormat="1" applyBorder="1" applyAlignment="1">
      <alignment horizontal="center"/>
    </xf>
    <xf numFmtId="4" fontId="40" fillId="0" borderId="0" xfId="62" applyNumberFormat="1" applyAlignment="1">
      <alignment horizontal="center"/>
    </xf>
    <xf numFmtId="0" fontId="10" fillId="0" borderId="49" xfId="67" applyBorder="1" applyAlignment="1">
      <alignment vertical="center" wrapText="1"/>
    </xf>
    <xf numFmtId="3" fontId="36" fillId="0" borderId="49" xfId="67" applyNumberFormat="1" applyFont="1" applyBorder="1" applyAlignment="1">
      <alignment horizontal="center" vertical="center"/>
    </xf>
    <xf numFmtId="0" fontId="40" fillId="0" borderId="36" xfId="62" applyBorder="1" applyAlignment="1">
      <alignment horizontal="center" wrapText="1"/>
    </xf>
    <xf numFmtId="10" fontId="40" fillId="0" borderId="36" xfId="62" applyNumberFormat="1" applyBorder="1"/>
    <xf numFmtId="0" fontId="40" fillId="0" borderId="49" xfId="62" applyBorder="1"/>
    <xf numFmtId="10" fontId="40" fillId="0" borderId="49" xfId="62" applyNumberFormat="1" applyBorder="1"/>
    <xf numFmtId="3" fontId="10" fillId="0" borderId="36" xfId="67" applyNumberFormat="1" applyBorder="1" applyAlignment="1">
      <alignment horizontal="right" vertical="center"/>
    </xf>
    <xf numFmtId="168" fontId="36" fillId="0" borderId="36" xfId="67" applyNumberFormat="1" applyFont="1" applyBorder="1" applyAlignment="1">
      <alignment horizontal="right" vertical="center"/>
    </xf>
    <xf numFmtId="0" fontId="73" fillId="0" borderId="0" xfId="2" applyFont="1" applyAlignment="1">
      <alignment vertical="center"/>
    </xf>
    <xf numFmtId="173" fontId="10" fillId="0" borderId="0" xfId="2" applyNumberFormat="1"/>
    <xf numFmtId="0" fontId="10" fillId="0" borderId="51" xfId="2" applyBorder="1" applyAlignment="1">
      <alignment horizontal="center" vertical="center" wrapText="1"/>
    </xf>
    <xf numFmtId="0" fontId="10" fillId="0" borderId="1" xfId="2" applyBorder="1" applyAlignment="1">
      <alignment horizontal="center" vertical="center" textRotation="90" wrapText="1"/>
    </xf>
    <xf numFmtId="0" fontId="10" fillId="0" borderId="36" xfId="2" applyBorder="1" applyAlignment="1">
      <alignment horizontal="center" vertical="center" wrapText="1"/>
    </xf>
    <xf numFmtId="173" fontId="10" fillId="0" borderId="36" xfId="2" applyNumberFormat="1" applyBorder="1" applyAlignment="1">
      <alignment horizontal="center" vertical="center" wrapText="1"/>
    </xf>
    <xf numFmtId="173" fontId="10" fillId="0" borderId="6"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173" fontId="10" fillId="0" borderId="1" xfId="45" applyNumberFormat="1" applyFont="1" applyBorder="1" applyAlignment="1">
      <alignment horizontal="center" vertical="center" wrapText="1"/>
    </xf>
    <xf numFmtId="0" fontId="10" fillId="0" borderId="2" xfId="45" applyFont="1" applyBorder="1" applyAlignment="1">
      <alignment horizontal="left" vertical="center" wrapText="1"/>
    </xf>
    <xf numFmtId="173" fontId="10" fillId="0" borderId="2" xfId="45" applyNumberFormat="1" applyFont="1" applyBorder="1" applyAlignment="1">
      <alignment horizontal="center"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9" fontId="40" fillId="0" borderId="0" xfId="68" applyFont="1" applyFill="1"/>
    <xf numFmtId="0" fontId="10" fillId="0" borderId="44" xfId="67" applyBorder="1" applyAlignment="1">
      <alignment vertical="center" wrapText="1"/>
    </xf>
    <xf numFmtId="3" fontId="36" fillId="0" borderId="60" xfId="67" applyNumberFormat="1" applyFont="1" applyBorder="1" applyAlignment="1">
      <alignment vertical="center"/>
    </xf>
    <xf numFmtId="0" fontId="10" fillId="0" borderId="24" xfId="67" applyBorder="1" applyAlignment="1">
      <alignment vertical="center" wrapText="1"/>
    </xf>
    <xf numFmtId="3" fontId="36" fillId="0" borderId="30" xfId="67" applyNumberFormat="1" applyFont="1" applyBorder="1" applyAlignment="1">
      <alignment vertical="center"/>
    </xf>
    <xf numFmtId="0" fontId="10" fillId="0" borderId="61" xfId="67" applyBorder="1" applyAlignment="1">
      <alignment vertical="center" wrapText="1"/>
    </xf>
    <xf numFmtId="173" fontId="77" fillId="0" borderId="32" xfId="2" applyNumberFormat="1" applyFont="1" applyBorder="1" applyAlignment="1">
      <alignment horizontal="center" vertical="center" wrapText="1"/>
    </xf>
    <xf numFmtId="3" fontId="36" fillId="0" borderId="53" xfId="67" applyNumberFormat="1" applyFont="1" applyBorder="1" applyAlignment="1">
      <alignment vertical="center"/>
    </xf>
    <xf numFmtId="3" fontId="36" fillId="0" borderId="35" xfId="67" applyNumberFormat="1" applyFont="1" applyBorder="1" applyAlignment="1">
      <alignment vertical="center"/>
    </xf>
    <xf numFmtId="0" fontId="10" fillId="0" borderId="2" xfId="2" applyBorder="1" applyAlignment="1">
      <alignment horizontal="center" vertical="center" wrapText="1"/>
    </xf>
    <xf numFmtId="0" fontId="10" fillId="0" borderId="1" xfId="2" applyBorder="1" applyAlignment="1">
      <alignment horizontal="center" vertical="center" wrapText="1"/>
    </xf>
    <xf numFmtId="2" fontId="38" fillId="0" borderId="36" xfId="1" applyNumberFormat="1" applyFont="1" applyBorder="1" applyAlignment="1">
      <alignment horizontal="center" vertical="center" wrapText="1"/>
    </xf>
    <xf numFmtId="0" fontId="38" fillId="26" borderId="38" xfId="1" applyFont="1" applyFill="1" applyBorder="1" applyAlignment="1">
      <alignment horizontal="center" vertical="center" wrapText="1"/>
    </xf>
    <xf numFmtId="0" fontId="38" fillId="26" borderId="50" xfId="1" applyFont="1" applyFill="1" applyBorder="1" applyAlignment="1">
      <alignment horizontal="center" vertical="center" wrapText="1"/>
    </xf>
    <xf numFmtId="0" fontId="10" fillId="0" borderId="36" xfId="147" applyBorder="1" applyAlignment="1">
      <alignment horizontal="center" vertical="center" wrapText="1"/>
    </xf>
    <xf numFmtId="0" fontId="42" fillId="0" borderId="36" xfId="0" applyFont="1" applyBorder="1" applyAlignment="1">
      <alignment horizontal="center" vertical="center"/>
    </xf>
    <xf numFmtId="177" fontId="10" fillId="0" borderId="36" xfId="0" applyNumberFormat="1" applyFont="1" applyBorder="1" applyAlignment="1">
      <alignment horizontal="center" wrapText="1"/>
    </xf>
    <xf numFmtId="168" fontId="79" fillId="0" borderId="0" xfId="67" applyNumberFormat="1" applyFont="1" applyAlignment="1">
      <alignment horizontal="center" vertic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Font="1" applyAlignment="1">
      <alignment horizontal="center" vertical="center" wrapText="1"/>
    </xf>
    <xf numFmtId="0" fontId="41" fillId="0" borderId="38" xfId="67" applyFont="1" applyBorder="1" applyAlignment="1">
      <alignment horizontal="center" vertical="center" wrapText="1"/>
    </xf>
    <xf numFmtId="0" fontId="41" fillId="0" borderId="49" xfId="67" applyFont="1" applyBorder="1" applyAlignment="1">
      <alignment horizontal="center" vertical="center" wrapText="1"/>
    </xf>
    <xf numFmtId="0" fontId="41" fillId="0" borderId="39" xfId="67" applyFont="1" applyBorder="1" applyAlignment="1">
      <alignment horizontal="center" vertical="center" wrapText="1"/>
    </xf>
    <xf numFmtId="3" fontId="41" fillId="0" borderId="38" xfId="67" applyNumberFormat="1" applyFont="1" applyBorder="1" applyAlignment="1">
      <alignment horizontal="center" vertical="center"/>
    </xf>
    <xf numFmtId="3" fontId="41" fillId="0" borderId="39" xfId="67" applyNumberFormat="1" applyFont="1" applyBorder="1" applyAlignment="1">
      <alignment horizontal="center" vertical="center"/>
    </xf>
    <xf numFmtId="0" fontId="41" fillId="0" borderId="38" xfId="67" applyFont="1" applyBorder="1" applyAlignment="1">
      <alignment horizontal="center" vertical="center"/>
    </xf>
    <xf numFmtId="0" fontId="41" fillId="0" borderId="49" xfId="67" applyFont="1" applyBorder="1" applyAlignment="1">
      <alignment horizontal="center" vertical="center"/>
    </xf>
    <xf numFmtId="0" fontId="41" fillId="0" borderId="39" xfId="67" applyFont="1" applyBorder="1" applyAlignment="1">
      <alignment horizontal="center" vertical="center"/>
    </xf>
    <xf numFmtId="0" fontId="50" fillId="0" borderId="0" xfId="67" applyFont="1" applyAlignment="1">
      <alignment horizontal="left" vertical="center" wrapText="1"/>
    </xf>
    <xf numFmtId="0" fontId="40" fillId="0" borderId="38" xfId="62" applyBorder="1" applyAlignment="1">
      <alignment horizontal="center" vertical="center" wrapText="1"/>
    </xf>
    <xf numFmtId="0" fontId="40" fillId="0" borderId="39" xfId="62" applyBorder="1" applyAlignment="1">
      <alignment horizontal="center" vertical="center" wrapText="1"/>
    </xf>
    <xf numFmtId="0" fontId="42" fillId="0" borderId="36" xfId="0" applyFont="1" applyBorder="1" applyAlignment="1">
      <alignment horizontal="center" vertical="center" wrapText="1"/>
    </xf>
    <xf numFmtId="49" fontId="42" fillId="0" borderId="62" xfId="0" applyNumberFormat="1" applyFont="1" applyBorder="1" applyAlignment="1">
      <alignment horizontal="center" vertical="center" wrapText="1"/>
    </xf>
    <xf numFmtId="4" fontId="41" fillId="0" borderId="38" xfId="67" applyNumberFormat="1" applyFont="1" applyBorder="1" applyAlignment="1">
      <alignment horizontal="center" vertical="center"/>
    </xf>
    <xf numFmtId="4" fontId="41" fillId="0" borderId="39"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8" xfId="2" applyFont="1" applyBorder="1" applyAlignment="1">
      <alignment horizontal="center" vertical="center" wrapText="1" shrinkToFit="1"/>
    </xf>
    <xf numFmtId="0" fontId="38" fillId="0" borderId="49" xfId="2" applyFont="1" applyBorder="1" applyAlignment="1">
      <alignment horizontal="center" vertical="center" wrapText="1" shrinkToFit="1"/>
    </xf>
    <xf numFmtId="0" fontId="38" fillId="0" borderId="39"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6" xfId="52" applyBorder="1" applyAlignment="1">
      <alignment horizontal="center" vertical="center" wrapText="1"/>
    </xf>
    <xf numFmtId="0" fontId="10" fillId="0" borderId="50" xfId="2" applyBorder="1" applyAlignment="1">
      <alignment horizontal="center" vertical="center" wrapText="1"/>
    </xf>
    <xf numFmtId="0" fontId="10" fillId="0" borderId="52"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59" xfId="2" applyBorder="1" applyAlignment="1">
      <alignment horizontal="center" vertical="center" wrapText="1"/>
    </xf>
    <xf numFmtId="0" fontId="10" fillId="0" borderId="20"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6" xfId="52" applyBorder="1" applyAlignment="1">
      <alignment horizontal="center" vertical="center"/>
    </xf>
    <xf numFmtId="0" fontId="10" fillId="0" borderId="38" xfId="52" applyBorder="1" applyAlignment="1">
      <alignment horizontal="center" vertical="center"/>
    </xf>
    <xf numFmtId="0" fontId="10" fillId="0" borderId="49" xfId="52" applyBorder="1" applyAlignment="1">
      <alignment horizontal="center" vertical="center"/>
    </xf>
    <xf numFmtId="0" fontId="10" fillId="0" borderId="39"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5" xfId="2" applyFont="1" applyBorder="1" applyAlignment="1">
      <alignment horizontal="left" vertical="top" wrapText="1"/>
    </xf>
    <xf numFmtId="0" fontId="36" fillId="0" borderId="28" xfId="2" applyFont="1" applyBorder="1" applyAlignment="1">
      <alignment horizontal="left" vertical="top" wrapText="1"/>
    </xf>
    <xf numFmtId="0" fontId="36" fillId="0" borderId="26" xfId="2" applyFont="1" applyBorder="1" applyAlignment="1">
      <alignment horizontal="left" vertical="top" wrapText="1"/>
    </xf>
    <xf numFmtId="0" fontId="44" fillId="0" borderId="0" xfId="2" applyFont="1" applyAlignment="1">
      <alignment horizontal="center"/>
    </xf>
    <xf numFmtId="10" fontId="40" fillId="46" borderId="36" xfId="62" applyNumberFormat="1" applyFill="1" applyBorder="1" applyAlignment="1">
      <alignment horizontal="center"/>
    </xf>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4" xfId="147" xr:uid="{B84A6D25-2764-486A-A36E-33F6848469A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4"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2" t="s">
        <v>677</v>
      </c>
      <c r="B5" s="332"/>
      <c r="C5" s="332"/>
      <c r="D5" s="83"/>
      <c r="E5" s="83"/>
      <c r="F5" s="83"/>
      <c r="G5" s="83"/>
      <c r="H5" s="83"/>
      <c r="I5" s="83"/>
      <c r="J5" s="83"/>
    </row>
    <row r="6" spans="1:22" s="8" customFormat="1" ht="18.75" x14ac:dyDescent="0.3">
      <c r="A6" s="13"/>
      <c r="H6" s="12"/>
    </row>
    <row r="7" spans="1:22" s="8" customFormat="1" ht="18.75" x14ac:dyDescent="0.2">
      <c r="A7" s="336" t="s">
        <v>7</v>
      </c>
      <c r="B7" s="336"/>
      <c r="C7" s="33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9" t="s">
        <v>572</v>
      </c>
      <c r="B9" s="339"/>
      <c r="C9" s="339"/>
      <c r="D9" s="7"/>
      <c r="E9" s="7"/>
      <c r="F9" s="7"/>
      <c r="G9" s="7"/>
      <c r="H9" s="7"/>
      <c r="I9" s="10"/>
      <c r="J9" s="10"/>
      <c r="K9" s="10"/>
      <c r="L9" s="10"/>
      <c r="M9" s="10"/>
      <c r="N9" s="10"/>
      <c r="O9" s="10"/>
      <c r="P9" s="10"/>
      <c r="Q9" s="10"/>
      <c r="R9" s="10"/>
      <c r="S9" s="10"/>
      <c r="T9" s="10"/>
      <c r="U9" s="10"/>
      <c r="V9" s="10"/>
    </row>
    <row r="10" spans="1:22" s="8" customFormat="1" ht="18.75" x14ac:dyDescent="0.2">
      <c r="A10" s="333" t="s">
        <v>6</v>
      </c>
      <c r="B10" s="333"/>
      <c r="C10" s="33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7" t="s">
        <v>648</v>
      </c>
      <c r="B12" s="337"/>
      <c r="C12" s="337"/>
      <c r="D12" s="7"/>
      <c r="E12" s="7"/>
      <c r="F12" s="7"/>
      <c r="G12" s="7"/>
      <c r="H12" s="7"/>
      <c r="I12" s="10"/>
      <c r="J12" s="10"/>
      <c r="K12" s="10"/>
      <c r="L12" s="10"/>
      <c r="M12" s="10"/>
      <c r="N12" s="10"/>
      <c r="O12" s="10"/>
      <c r="P12" s="10"/>
      <c r="Q12" s="10"/>
      <c r="R12" s="10"/>
      <c r="S12" s="10"/>
      <c r="T12" s="10"/>
      <c r="U12" s="10"/>
      <c r="V12" s="10"/>
    </row>
    <row r="13" spans="1:22" s="8" customFormat="1" ht="18.75" x14ac:dyDescent="0.2">
      <c r="A13" s="333" t="s">
        <v>5</v>
      </c>
      <c r="B13" s="333"/>
      <c r="C13" s="33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38" t="s">
        <v>627</v>
      </c>
      <c r="B15" s="338"/>
      <c r="C15" s="338"/>
      <c r="D15" s="7"/>
      <c r="E15" s="7"/>
      <c r="F15" s="7"/>
      <c r="G15" s="7"/>
      <c r="H15" s="7"/>
      <c r="I15" s="7"/>
      <c r="J15" s="7"/>
      <c r="K15" s="7"/>
      <c r="L15" s="7"/>
      <c r="M15" s="7"/>
      <c r="N15" s="7"/>
      <c r="O15" s="7"/>
      <c r="P15" s="7"/>
      <c r="Q15" s="7"/>
      <c r="R15" s="7"/>
      <c r="S15" s="7"/>
      <c r="T15" s="7"/>
      <c r="U15" s="7"/>
      <c r="V15" s="7"/>
    </row>
    <row r="16" spans="1:22" s="3" customFormat="1" ht="15" customHeight="1" x14ac:dyDescent="0.2">
      <c r="A16" s="333" t="s">
        <v>4</v>
      </c>
      <c r="B16" s="333"/>
      <c r="C16" s="33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4" t="s">
        <v>408</v>
      </c>
      <c r="B18" s="335"/>
      <c r="C18" s="33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29"/>
      <c r="B24" s="330"/>
      <c r="C24" s="331"/>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543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646</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552</v>
      </c>
      <c r="D33" s="5"/>
      <c r="E33" s="5"/>
      <c r="F33" s="5"/>
      <c r="G33" s="5"/>
      <c r="H33" s="4"/>
      <c r="I33" s="4"/>
      <c r="J33" s="4"/>
      <c r="K33" s="4"/>
      <c r="L33" s="4"/>
      <c r="M33" s="4"/>
      <c r="N33" s="4"/>
      <c r="O33" s="4"/>
      <c r="P33" s="4"/>
      <c r="Q33" s="4"/>
      <c r="R33" s="4"/>
    </row>
    <row r="34" spans="1:18" ht="111" customHeight="1" x14ac:dyDescent="0.25">
      <c r="A34" s="15" t="s">
        <v>377</v>
      </c>
      <c r="B34" s="22" t="s">
        <v>365</v>
      </c>
      <c r="C34" s="16" t="s">
        <v>543</v>
      </c>
    </row>
    <row r="35" spans="1:18" ht="58.5" customHeight="1" x14ac:dyDescent="0.25">
      <c r="A35" s="15" t="s">
        <v>368</v>
      </c>
      <c r="B35" s="22" t="s">
        <v>69</v>
      </c>
      <c r="C35" s="16" t="s">
        <v>436</v>
      </c>
    </row>
    <row r="36" spans="1:18" ht="51.75" customHeight="1" x14ac:dyDescent="0.25">
      <c r="A36" s="15" t="s">
        <v>378</v>
      </c>
      <c r="B36" s="22" t="s">
        <v>366</v>
      </c>
      <c r="C36" s="16" t="s">
        <v>437</v>
      </c>
    </row>
    <row r="37" spans="1:18" ht="43.5" customHeight="1" x14ac:dyDescent="0.25">
      <c r="A37" s="15" t="s">
        <v>369</v>
      </c>
      <c r="B37" s="22" t="s">
        <v>367</v>
      </c>
      <c r="C37" s="16" t="s">
        <v>437</v>
      </c>
    </row>
    <row r="38" spans="1:18" ht="43.5" customHeight="1" x14ac:dyDescent="0.25">
      <c r="A38" s="15" t="s">
        <v>379</v>
      </c>
      <c r="B38" s="22" t="s">
        <v>209</v>
      </c>
      <c r="C38" s="16" t="s">
        <v>437</v>
      </c>
    </row>
    <row r="39" spans="1:18" ht="23.25" customHeight="1" x14ac:dyDescent="0.25">
      <c r="A39" s="329"/>
      <c r="B39" s="330"/>
      <c r="C39" s="331"/>
    </row>
    <row r="40" spans="1:18" ht="63" x14ac:dyDescent="0.25">
      <c r="A40" s="15" t="s">
        <v>370</v>
      </c>
      <c r="B40" s="22" t="s">
        <v>420</v>
      </c>
      <c r="C40" s="181"/>
    </row>
    <row r="41" spans="1:18" ht="169.5" customHeight="1" x14ac:dyDescent="0.25">
      <c r="A41" s="15" t="s">
        <v>380</v>
      </c>
      <c r="B41" s="22" t="s">
        <v>403</v>
      </c>
      <c r="C41" s="122" t="s">
        <v>543</v>
      </c>
    </row>
    <row r="42" spans="1:18" ht="162.75" customHeight="1" x14ac:dyDescent="0.25">
      <c r="A42" s="15" t="s">
        <v>371</v>
      </c>
      <c r="B42" s="22" t="s">
        <v>417</v>
      </c>
      <c r="C42" s="22" t="s">
        <v>543</v>
      </c>
    </row>
    <row r="43" spans="1:18" ht="186" customHeight="1" x14ac:dyDescent="0.25">
      <c r="A43" s="15" t="s">
        <v>383</v>
      </c>
      <c r="B43" s="22" t="s">
        <v>384</v>
      </c>
      <c r="C43" s="85" t="s">
        <v>547</v>
      </c>
    </row>
    <row r="44" spans="1:18" ht="111" customHeight="1" x14ac:dyDescent="0.25">
      <c r="A44" s="15" t="s">
        <v>372</v>
      </c>
      <c r="B44" s="22" t="s">
        <v>409</v>
      </c>
      <c r="C44" s="2">
        <v>3.1</v>
      </c>
    </row>
    <row r="45" spans="1:18" ht="120" customHeight="1" x14ac:dyDescent="0.25">
      <c r="A45" s="15" t="s">
        <v>404</v>
      </c>
      <c r="B45" s="22" t="s">
        <v>410</v>
      </c>
      <c r="C45" s="93" t="s">
        <v>543</v>
      </c>
    </row>
    <row r="46" spans="1:18" ht="101.25" customHeight="1" x14ac:dyDescent="0.25">
      <c r="A46" s="15" t="s">
        <v>373</v>
      </c>
      <c r="B46" s="22" t="s">
        <v>411</v>
      </c>
      <c r="C46" s="2" t="s">
        <v>543</v>
      </c>
    </row>
    <row r="47" spans="1:18" ht="18.75" customHeight="1" x14ac:dyDescent="0.25">
      <c r="A47" s="329"/>
      <c r="B47" s="330"/>
      <c r="C47" s="331"/>
    </row>
    <row r="48" spans="1:18" ht="75.75" hidden="1" customHeight="1" x14ac:dyDescent="0.25">
      <c r="A48" s="15" t="s">
        <v>405</v>
      </c>
      <c r="B48" s="22" t="s">
        <v>418</v>
      </c>
      <c r="C48" s="167" t="str">
        <f>CONCATENATE(ROUND('6.2. Паспорт фин осв ввод факт'!AB24,2)," млн.руб.")</f>
        <v>294,53 млн.руб.</v>
      </c>
      <c r="D48" s="1" t="s">
        <v>545</v>
      </c>
    </row>
    <row r="49" spans="1:4" ht="71.25" hidden="1" customHeight="1" x14ac:dyDescent="0.25">
      <c r="A49" s="15" t="s">
        <v>374</v>
      </c>
      <c r="B49" s="22" t="s">
        <v>419</v>
      </c>
      <c r="C49" s="167" t="str">
        <f>CONCATENATE(ROUND('6.2. Паспорт фин осв ввод факт'!AB30,2)," млн.руб.")</f>
        <v>249,6 млн.руб.</v>
      </c>
      <c r="D49" s="1" t="s">
        <v>545</v>
      </c>
    </row>
    <row r="50" spans="1:4" ht="75.75" customHeight="1" x14ac:dyDescent="0.25">
      <c r="A50" s="15" t="s">
        <v>405</v>
      </c>
      <c r="B50" s="22" t="s">
        <v>418</v>
      </c>
      <c r="C50" s="167" t="str">
        <f>CONCATENATE(ROUND('6.2. Паспорт фин осв ввод'!D24,2)," млн.руб.")</f>
        <v>222,69 млн.руб.</v>
      </c>
      <c r="D50" s="1" t="s">
        <v>546</v>
      </c>
    </row>
    <row r="51" spans="1:4" ht="71.25" customHeight="1" x14ac:dyDescent="0.25">
      <c r="A51" s="15" t="s">
        <v>374</v>
      </c>
      <c r="B51" s="22" t="s">
        <v>419</v>
      </c>
      <c r="C51" s="167" t="str">
        <f>CONCATENATE(ROUND('6.2. Паспорт фин осв ввод'!D52,2)," млн.руб.")</f>
        <v>185,57 млн.руб.</v>
      </c>
      <c r="D51" s="1" t="s">
        <v>546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5" t="str">
        <f>'1. паспорт местоположение'!A5:C5</f>
        <v>Год раскрытия информации: 2024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C5" s="12"/>
    </row>
    <row r="6" spans="1:29" ht="18.75" x14ac:dyDescent="0.25">
      <c r="A6" s="336" t="s">
        <v>7</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6" t="str">
        <f>'1. паспорт местоположение'!A9:C9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333" t="s">
        <v>6</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6" t="str">
        <f>'1. паспорт местоположение'!A12:C12</f>
        <v>M 22-01</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333" t="s">
        <v>5</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7"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333" t="s">
        <v>4</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8" spans="1:32" x14ac:dyDescent="0.25">
      <c r="A18" s="420" t="s">
        <v>393</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20" spans="1:32" ht="33" customHeight="1" x14ac:dyDescent="0.25">
      <c r="A20" s="409" t="s">
        <v>183</v>
      </c>
      <c r="B20" s="409" t="s">
        <v>182</v>
      </c>
      <c r="C20" s="402" t="s">
        <v>181</v>
      </c>
      <c r="D20" s="402"/>
      <c r="E20" s="419" t="s">
        <v>180</v>
      </c>
      <c r="F20" s="419"/>
      <c r="G20" s="409" t="s">
        <v>424</v>
      </c>
      <c r="H20" s="412" t="s">
        <v>425</v>
      </c>
      <c r="I20" s="413"/>
      <c r="J20" s="413"/>
      <c r="K20" s="413"/>
      <c r="L20" s="412" t="s">
        <v>426</v>
      </c>
      <c r="M20" s="413"/>
      <c r="N20" s="413"/>
      <c r="O20" s="413"/>
      <c r="P20" s="412" t="s">
        <v>427</v>
      </c>
      <c r="Q20" s="413"/>
      <c r="R20" s="413"/>
      <c r="S20" s="413"/>
      <c r="T20" s="412" t="s">
        <v>441</v>
      </c>
      <c r="U20" s="413"/>
      <c r="V20" s="413"/>
      <c r="W20" s="413"/>
      <c r="X20" s="412" t="s">
        <v>442</v>
      </c>
      <c r="Y20" s="413"/>
      <c r="Z20" s="413"/>
      <c r="AA20" s="413"/>
      <c r="AB20" s="421" t="s">
        <v>179</v>
      </c>
      <c r="AC20" s="421"/>
      <c r="AD20" s="49"/>
      <c r="AE20" s="49"/>
      <c r="AF20" s="49"/>
    </row>
    <row r="21" spans="1:32" ht="99.75" customHeight="1" x14ac:dyDescent="0.25">
      <c r="A21" s="410"/>
      <c r="B21" s="410"/>
      <c r="C21" s="402"/>
      <c r="D21" s="402"/>
      <c r="E21" s="419"/>
      <c r="F21" s="419"/>
      <c r="G21" s="410"/>
      <c r="H21" s="402" t="s">
        <v>2</v>
      </c>
      <c r="I21" s="402"/>
      <c r="J21" s="402" t="s">
        <v>9</v>
      </c>
      <c r="K21" s="402"/>
      <c r="L21" s="402" t="s">
        <v>2</v>
      </c>
      <c r="M21" s="402"/>
      <c r="N21" s="402" t="s">
        <v>9</v>
      </c>
      <c r="O21" s="402"/>
      <c r="P21" s="402" t="s">
        <v>2</v>
      </c>
      <c r="Q21" s="402"/>
      <c r="R21" s="402" t="s">
        <v>178</v>
      </c>
      <c r="S21" s="402"/>
      <c r="T21" s="402" t="s">
        <v>2</v>
      </c>
      <c r="U21" s="402"/>
      <c r="V21" s="402" t="s">
        <v>178</v>
      </c>
      <c r="W21" s="402"/>
      <c r="X21" s="402" t="s">
        <v>2</v>
      </c>
      <c r="Y21" s="402"/>
      <c r="Z21" s="402" t="s">
        <v>178</v>
      </c>
      <c r="AA21" s="402"/>
      <c r="AB21" s="421"/>
      <c r="AC21" s="421"/>
    </row>
    <row r="22" spans="1:32" ht="89.25" customHeight="1" x14ac:dyDescent="0.25">
      <c r="A22" s="411"/>
      <c r="B22" s="411"/>
      <c r="C22" s="46" t="s">
        <v>2</v>
      </c>
      <c r="D22" s="46" t="s">
        <v>178</v>
      </c>
      <c r="E22" s="48" t="s">
        <v>440</v>
      </c>
      <c r="F22" s="48" t="s">
        <v>486</v>
      </c>
      <c r="G22" s="411"/>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94">
        <f>SUM(C25:C29)</f>
        <v>294.53059319620257</v>
      </c>
      <c r="D24" s="94">
        <v>0</v>
      </c>
      <c r="E24" s="94">
        <f>SUM(E25:E29)</f>
        <v>294.53059319620257</v>
      </c>
      <c r="F24" s="94">
        <f>SUM(F25:F29)</f>
        <v>293.97652119620255</v>
      </c>
      <c r="G24" s="94">
        <f>SUM(G25:G29)</f>
        <v>0</v>
      </c>
      <c r="H24" s="94">
        <f t="shared" ref="H24:M24" si="0">SUM(H25:H29)</f>
        <v>0.55407200000000001</v>
      </c>
      <c r="I24" s="94">
        <f t="shared" si="0"/>
        <v>0</v>
      </c>
      <c r="J24" s="94">
        <f t="shared" si="0"/>
        <v>0.55407200000000001</v>
      </c>
      <c r="K24" s="94">
        <f t="shared" si="0"/>
        <v>0</v>
      </c>
      <c r="L24" s="94">
        <f t="shared" si="0"/>
        <v>160.58748429999991</v>
      </c>
      <c r="M24" s="94">
        <f t="shared" si="0"/>
        <v>128.46998823999991</v>
      </c>
      <c r="N24" s="94">
        <f>SUM(N25:N29)</f>
        <v>134.10904273</v>
      </c>
      <c r="O24" s="94">
        <f t="shared" ref="O24:AA24" si="1">SUM(O25:O29)</f>
        <v>101.99154667000002</v>
      </c>
      <c r="P24" s="94">
        <f t="shared" si="1"/>
        <v>133.38903689620324</v>
      </c>
      <c r="Q24" s="94">
        <f t="shared" si="1"/>
        <v>0</v>
      </c>
      <c r="R24" s="94">
        <f t="shared" si="1"/>
        <v>0</v>
      </c>
      <c r="S24" s="94">
        <f t="shared" si="1"/>
        <v>0</v>
      </c>
      <c r="T24" s="94">
        <f t="shared" si="1"/>
        <v>0</v>
      </c>
      <c r="U24" s="94">
        <f t="shared" si="1"/>
        <v>0</v>
      </c>
      <c r="V24" s="94">
        <f t="shared" si="1"/>
        <v>0</v>
      </c>
      <c r="W24" s="94">
        <f t="shared" si="1"/>
        <v>0</v>
      </c>
      <c r="X24" s="94">
        <f t="shared" si="1"/>
        <v>0</v>
      </c>
      <c r="Y24" s="94">
        <f t="shared" si="1"/>
        <v>0</v>
      </c>
      <c r="Z24" s="94">
        <f t="shared" si="1"/>
        <v>0</v>
      </c>
      <c r="AA24" s="94">
        <f t="shared" si="1"/>
        <v>0</v>
      </c>
      <c r="AB24" s="98">
        <f t="shared" ref="AB24:AB64" si="2">SUM(H24,L24,P24,T24,X24)</f>
        <v>294.53059319620314</v>
      </c>
      <c r="AC24" s="98">
        <f>J24+N24+R24+V24+Z24</f>
        <v>134.66311472999999</v>
      </c>
    </row>
    <row r="25" spans="1:32" ht="24" customHeight="1" x14ac:dyDescent="0.25">
      <c r="A25" s="41" t="s">
        <v>176</v>
      </c>
      <c r="B25" s="25" t="s">
        <v>175</v>
      </c>
      <c r="C25" s="94">
        <v>0</v>
      </c>
      <c r="D25" s="94">
        <v>0</v>
      </c>
      <c r="E25" s="94">
        <f>C25</f>
        <v>0</v>
      </c>
      <c r="F25" s="94">
        <f>E25-G25-H25</f>
        <v>0</v>
      </c>
      <c r="G25" s="96">
        <v>0</v>
      </c>
      <c r="H25" s="96">
        <v>0</v>
      </c>
      <c r="I25" s="96">
        <v>0</v>
      </c>
      <c r="J25" s="96">
        <v>0</v>
      </c>
      <c r="K25" s="96">
        <v>0</v>
      </c>
      <c r="L25" s="96">
        <f>F25</f>
        <v>0</v>
      </c>
      <c r="M25" s="96">
        <v>0</v>
      </c>
      <c r="N25" s="96">
        <f>F25</f>
        <v>0</v>
      </c>
      <c r="O25" s="96">
        <v>0</v>
      </c>
      <c r="P25" s="96">
        <v>0</v>
      </c>
      <c r="Q25" s="96">
        <v>0</v>
      </c>
      <c r="R25" s="96">
        <v>0</v>
      </c>
      <c r="S25" s="96">
        <v>0</v>
      </c>
      <c r="T25" s="96">
        <v>0</v>
      </c>
      <c r="U25" s="96">
        <v>0</v>
      </c>
      <c r="V25" s="96">
        <v>0</v>
      </c>
      <c r="W25" s="96">
        <v>0</v>
      </c>
      <c r="X25" s="96">
        <v>0</v>
      </c>
      <c r="Y25" s="96">
        <v>0</v>
      </c>
      <c r="Z25" s="96">
        <v>0</v>
      </c>
      <c r="AA25" s="96">
        <v>0</v>
      </c>
      <c r="AB25" s="98">
        <f t="shared" si="2"/>
        <v>0</v>
      </c>
      <c r="AC25" s="98">
        <f t="shared" ref="AC25:AC64" si="3">J25+N25+R25+V25+Z25</f>
        <v>0</v>
      </c>
    </row>
    <row r="26" spans="1:32" x14ac:dyDescent="0.25">
      <c r="A26" s="41" t="s">
        <v>174</v>
      </c>
      <c r="B26" s="25" t="s">
        <v>173</v>
      </c>
      <c r="C26" s="94">
        <v>0</v>
      </c>
      <c r="D26" s="94">
        <v>0</v>
      </c>
      <c r="E26" s="94">
        <f>C26</f>
        <v>0</v>
      </c>
      <c r="F26" s="94">
        <f>E26-G26-H26</f>
        <v>0</v>
      </c>
      <c r="G26" s="96">
        <v>0</v>
      </c>
      <c r="H26" s="96">
        <v>0</v>
      </c>
      <c r="I26" s="96">
        <v>0</v>
      </c>
      <c r="J26" s="96">
        <v>0</v>
      </c>
      <c r="K26" s="96">
        <v>0</v>
      </c>
      <c r="L26" s="96">
        <f>F26</f>
        <v>0</v>
      </c>
      <c r="M26" s="96">
        <v>0</v>
      </c>
      <c r="N26" s="96">
        <f>F26</f>
        <v>0</v>
      </c>
      <c r="O26" s="96">
        <v>0</v>
      </c>
      <c r="P26" s="96">
        <v>0</v>
      </c>
      <c r="Q26" s="96">
        <v>0</v>
      </c>
      <c r="R26" s="96">
        <v>0</v>
      </c>
      <c r="S26" s="96">
        <v>0</v>
      </c>
      <c r="T26" s="96">
        <v>0</v>
      </c>
      <c r="U26" s="96">
        <v>0</v>
      </c>
      <c r="V26" s="96">
        <v>0</v>
      </c>
      <c r="W26" s="96">
        <v>0</v>
      </c>
      <c r="X26" s="96">
        <v>0</v>
      </c>
      <c r="Y26" s="96">
        <v>0</v>
      </c>
      <c r="Z26" s="96">
        <v>0</v>
      </c>
      <c r="AA26" s="96">
        <v>0</v>
      </c>
      <c r="AB26" s="98">
        <f t="shared" si="2"/>
        <v>0</v>
      </c>
      <c r="AC26" s="98">
        <f t="shared" si="3"/>
        <v>0</v>
      </c>
    </row>
    <row r="27" spans="1:32" ht="31.5" x14ac:dyDescent="0.25">
      <c r="A27" s="41" t="s">
        <v>172</v>
      </c>
      <c r="B27" s="25" t="s">
        <v>357</v>
      </c>
      <c r="C27" s="94">
        <v>0</v>
      </c>
      <c r="D27" s="94">
        <v>0</v>
      </c>
      <c r="E27" s="94">
        <f>C27</f>
        <v>0</v>
      </c>
      <c r="F27" s="94">
        <f>E27-G27-H27</f>
        <v>0</v>
      </c>
      <c r="G27" s="96">
        <v>0</v>
      </c>
      <c r="H27" s="96">
        <v>0</v>
      </c>
      <c r="I27" s="96">
        <v>0</v>
      </c>
      <c r="J27" s="96">
        <v>0</v>
      </c>
      <c r="K27" s="96">
        <v>0</v>
      </c>
      <c r="L27" s="96">
        <f>F27</f>
        <v>0</v>
      </c>
      <c r="M27" s="96">
        <v>0</v>
      </c>
      <c r="N27" s="96">
        <f>F27</f>
        <v>0</v>
      </c>
      <c r="O27" s="96">
        <v>0</v>
      </c>
      <c r="P27" s="96">
        <v>0</v>
      </c>
      <c r="Q27" s="96">
        <v>0</v>
      </c>
      <c r="R27" s="96">
        <v>0</v>
      </c>
      <c r="S27" s="96">
        <v>0</v>
      </c>
      <c r="T27" s="96">
        <v>0</v>
      </c>
      <c r="U27" s="96">
        <v>0</v>
      </c>
      <c r="V27" s="96">
        <v>0</v>
      </c>
      <c r="W27" s="96">
        <v>0</v>
      </c>
      <c r="X27" s="96">
        <v>0</v>
      </c>
      <c r="Y27" s="96">
        <v>0</v>
      </c>
      <c r="Z27" s="96">
        <v>0</v>
      </c>
      <c r="AA27" s="96">
        <v>0</v>
      </c>
      <c r="AB27" s="98">
        <f t="shared" si="2"/>
        <v>0</v>
      </c>
      <c r="AC27" s="98">
        <f t="shared" si="3"/>
        <v>0</v>
      </c>
      <c r="AF27" s="95"/>
    </row>
    <row r="28" spans="1:32" x14ac:dyDescent="0.25">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2"/>
        <v>294.53059319620314</v>
      </c>
      <c r="AC28" s="98">
        <f t="shared" si="3"/>
        <v>134.66311472999999</v>
      </c>
    </row>
    <row r="29" spans="1:32" x14ac:dyDescent="0.25">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2"/>
        <v>0</v>
      </c>
      <c r="AC29" s="98">
        <f t="shared" si="3"/>
        <v>0</v>
      </c>
      <c r="AF29" s="95"/>
    </row>
    <row r="30" spans="1:32" ht="47.25" x14ac:dyDescent="0.25">
      <c r="A30" s="44" t="s">
        <v>61</v>
      </c>
      <c r="B30" s="43" t="s">
        <v>167</v>
      </c>
      <c r="C30" s="94">
        <f>SUM(C31:C34)</f>
        <v>249.60219762390051</v>
      </c>
      <c r="D30" s="94">
        <v>0</v>
      </c>
      <c r="E30" s="94">
        <f t="shared" ref="E30:K30" si="4">SUM(E31:E34)</f>
        <v>249.60219762390051</v>
      </c>
      <c r="F30" s="94">
        <f t="shared" si="4"/>
        <v>249.13264508152764</v>
      </c>
      <c r="G30" s="94">
        <f t="shared" si="4"/>
        <v>0</v>
      </c>
      <c r="H30" s="94">
        <f t="shared" si="4"/>
        <v>0.46955254237288102</v>
      </c>
      <c r="I30" s="94">
        <f t="shared" si="4"/>
        <v>0</v>
      </c>
      <c r="J30" s="94">
        <f t="shared" si="4"/>
        <v>0.46955254237288102</v>
      </c>
      <c r="K30" s="94">
        <f t="shared" si="4"/>
        <v>0</v>
      </c>
      <c r="L30" s="94">
        <f>145.62859444541</f>
        <v>145.62859444540999</v>
      </c>
      <c r="M30" s="94">
        <v>145.6285944454101</v>
      </c>
      <c r="N30" s="94">
        <v>94.271501650000005</v>
      </c>
      <c r="O30" s="94">
        <v>94.27150164999999</v>
      </c>
      <c r="P30" s="94">
        <v>103.504050636118</v>
      </c>
      <c r="Q30" s="94">
        <f t="shared" ref="Q30:AA30" si="5">SUM(Q31:Q34)</f>
        <v>0</v>
      </c>
      <c r="R30" s="94">
        <f t="shared" si="5"/>
        <v>0</v>
      </c>
      <c r="S30" s="94">
        <f t="shared" si="5"/>
        <v>0</v>
      </c>
      <c r="T30" s="94">
        <f t="shared" si="5"/>
        <v>0</v>
      </c>
      <c r="U30" s="94">
        <f t="shared" si="5"/>
        <v>0</v>
      </c>
      <c r="V30" s="94">
        <f t="shared" si="5"/>
        <v>0</v>
      </c>
      <c r="W30" s="94">
        <f t="shared" si="5"/>
        <v>0</v>
      </c>
      <c r="X30" s="94">
        <f t="shared" si="5"/>
        <v>0</v>
      </c>
      <c r="Y30" s="94">
        <f t="shared" si="5"/>
        <v>0</v>
      </c>
      <c r="Z30" s="94">
        <f t="shared" si="5"/>
        <v>0</v>
      </c>
      <c r="AA30" s="94">
        <f t="shared" si="5"/>
        <v>0</v>
      </c>
      <c r="AB30" s="98">
        <f t="shared" si="2"/>
        <v>249.60219762390085</v>
      </c>
      <c r="AC30" s="98">
        <f t="shared" si="3"/>
        <v>94.741054192372886</v>
      </c>
      <c r="AE30" s="95"/>
    </row>
    <row r="31" spans="1:32" x14ac:dyDescent="0.25">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2"/>
        <v>4.6681966391545968</v>
      </c>
      <c r="AC31" s="98">
        <f t="shared" si="3"/>
        <v>0</v>
      </c>
    </row>
    <row r="32" spans="1:32" ht="31.5" x14ac:dyDescent="0.2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2"/>
        <v>22.370200341373565</v>
      </c>
      <c r="AC32" s="98">
        <f t="shared" si="3"/>
        <v>1.979398</v>
      </c>
    </row>
    <row r="33" spans="1:29" x14ac:dyDescent="0.25">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2"/>
        <v>208.54084468556556</v>
      </c>
      <c r="AC33" s="98">
        <f t="shared" si="3"/>
        <v>91.699434690000004</v>
      </c>
    </row>
    <row r="34" spans="1:29" x14ac:dyDescent="0.25">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2"/>
        <v>14.022955957807142</v>
      </c>
      <c r="AC34" s="98">
        <f t="shared" si="3"/>
        <v>1.0622215023728809</v>
      </c>
    </row>
    <row r="35" spans="1:29" ht="31.5" x14ac:dyDescent="0.2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2"/>
        <v>0</v>
      </c>
      <c r="AC35" s="98">
        <f t="shared" si="3"/>
        <v>0</v>
      </c>
    </row>
    <row r="36" spans="1:29" ht="31.5" x14ac:dyDescent="0.2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2"/>
        <v>0</v>
      </c>
      <c r="AC36" s="98">
        <f t="shared" si="3"/>
        <v>0</v>
      </c>
    </row>
    <row r="37" spans="1:29" x14ac:dyDescent="0.25">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6">F37</f>
        <v>80</v>
      </c>
      <c r="Q37" s="96">
        <v>0</v>
      </c>
      <c r="R37" s="96">
        <v>0</v>
      </c>
      <c r="S37" s="96">
        <v>0</v>
      </c>
      <c r="T37" s="96">
        <v>0</v>
      </c>
      <c r="U37" s="96">
        <v>0</v>
      </c>
      <c r="V37" s="96">
        <v>0</v>
      </c>
      <c r="W37" s="96">
        <v>0</v>
      </c>
      <c r="X37" s="96">
        <v>0</v>
      </c>
      <c r="Y37" s="96">
        <v>0</v>
      </c>
      <c r="Z37" s="96">
        <v>0</v>
      </c>
      <c r="AA37" s="96">
        <v>0</v>
      </c>
      <c r="AB37" s="98">
        <f t="shared" si="2"/>
        <v>80</v>
      </c>
      <c r="AC37" s="98">
        <f t="shared" si="3"/>
        <v>0</v>
      </c>
    </row>
    <row r="38" spans="1:29" x14ac:dyDescent="0.25">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6"/>
        <v>0</v>
      </c>
      <c r="Q38" s="96">
        <v>0</v>
      </c>
      <c r="R38" s="96">
        <v>0</v>
      </c>
      <c r="S38" s="96">
        <v>0</v>
      </c>
      <c r="T38" s="96">
        <v>0</v>
      </c>
      <c r="U38" s="96">
        <v>0</v>
      </c>
      <c r="V38" s="96">
        <v>0</v>
      </c>
      <c r="W38" s="96">
        <v>0</v>
      </c>
      <c r="X38" s="96">
        <v>0</v>
      </c>
      <c r="Y38" s="96">
        <v>0</v>
      </c>
      <c r="Z38" s="96">
        <v>0</v>
      </c>
      <c r="AA38" s="96">
        <v>0</v>
      </c>
      <c r="AB38" s="98">
        <f t="shared" si="2"/>
        <v>0</v>
      </c>
      <c r="AC38" s="98">
        <f t="shared" si="3"/>
        <v>0</v>
      </c>
    </row>
    <row r="39" spans="1:29" ht="31.5" x14ac:dyDescent="0.2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6"/>
        <v>0</v>
      </c>
      <c r="Q39" s="96">
        <v>0</v>
      </c>
      <c r="R39" s="96">
        <v>0</v>
      </c>
      <c r="S39" s="96">
        <v>0</v>
      </c>
      <c r="T39" s="96">
        <v>0</v>
      </c>
      <c r="U39" s="96">
        <v>0</v>
      </c>
      <c r="V39" s="96">
        <v>0</v>
      </c>
      <c r="W39" s="96">
        <v>0</v>
      </c>
      <c r="X39" s="96">
        <v>0</v>
      </c>
      <c r="Y39" s="96">
        <v>0</v>
      </c>
      <c r="Z39" s="96">
        <v>0</v>
      </c>
      <c r="AA39" s="96">
        <v>0</v>
      </c>
      <c r="AB39" s="98">
        <f t="shared" si="2"/>
        <v>0</v>
      </c>
      <c r="AC39" s="98">
        <f t="shared" si="3"/>
        <v>0</v>
      </c>
    </row>
    <row r="40" spans="1:29" ht="31.5" x14ac:dyDescent="0.2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6"/>
        <v>0</v>
      </c>
      <c r="Q40" s="96">
        <v>0</v>
      </c>
      <c r="R40" s="96">
        <v>0</v>
      </c>
      <c r="S40" s="96">
        <v>0</v>
      </c>
      <c r="T40" s="96">
        <v>0</v>
      </c>
      <c r="U40" s="96">
        <v>0</v>
      </c>
      <c r="V40" s="96">
        <v>0</v>
      </c>
      <c r="W40" s="96">
        <v>0</v>
      </c>
      <c r="X40" s="96">
        <v>0</v>
      </c>
      <c r="Y40" s="96">
        <v>0</v>
      </c>
      <c r="Z40" s="96">
        <v>0</v>
      </c>
      <c r="AA40" s="96">
        <v>0</v>
      </c>
      <c r="AB40" s="98">
        <f t="shared" si="2"/>
        <v>0</v>
      </c>
      <c r="AC40" s="98">
        <f t="shared" si="3"/>
        <v>0</v>
      </c>
    </row>
    <row r="41" spans="1:29" x14ac:dyDescent="0.25">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6"/>
        <v>0</v>
      </c>
      <c r="Q41" s="96">
        <v>0</v>
      </c>
      <c r="R41" s="96">
        <v>0</v>
      </c>
      <c r="S41" s="96">
        <v>0</v>
      </c>
      <c r="T41" s="96">
        <v>0</v>
      </c>
      <c r="U41" s="96">
        <v>0</v>
      </c>
      <c r="V41" s="96">
        <v>0</v>
      </c>
      <c r="W41" s="96">
        <v>0</v>
      </c>
      <c r="X41" s="96">
        <v>0</v>
      </c>
      <c r="Y41" s="96">
        <v>0</v>
      </c>
      <c r="Z41" s="96">
        <v>0</v>
      </c>
      <c r="AA41" s="96">
        <v>0</v>
      </c>
      <c r="AB41" s="98">
        <f t="shared" si="2"/>
        <v>0</v>
      </c>
      <c r="AC41" s="98">
        <f t="shared" si="3"/>
        <v>0</v>
      </c>
    </row>
    <row r="42" spans="1:29" ht="18.75" x14ac:dyDescent="0.25">
      <c r="A42" s="41" t="s">
        <v>150</v>
      </c>
      <c r="B42" s="40" t="s">
        <v>533</v>
      </c>
      <c r="C42" s="94">
        <v>34</v>
      </c>
      <c r="D42" s="94">
        <v>0</v>
      </c>
      <c r="E42" s="94">
        <v>34</v>
      </c>
      <c r="F42" s="94">
        <v>34</v>
      </c>
      <c r="G42" s="96">
        <v>0</v>
      </c>
      <c r="H42" s="96">
        <v>0</v>
      </c>
      <c r="I42" s="96">
        <v>0</v>
      </c>
      <c r="J42" s="96">
        <v>0</v>
      </c>
      <c r="K42" s="96">
        <v>0</v>
      </c>
      <c r="L42" s="96">
        <v>0</v>
      </c>
      <c r="M42" s="96">
        <v>0</v>
      </c>
      <c r="N42" s="96">
        <v>0</v>
      </c>
      <c r="O42" s="96">
        <v>0</v>
      </c>
      <c r="P42" s="96">
        <f t="shared" si="6"/>
        <v>34</v>
      </c>
      <c r="Q42" s="96">
        <v>0</v>
      </c>
      <c r="R42" s="96">
        <v>0</v>
      </c>
      <c r="S42" s="96">
        <v>0</v>
      </c>
      <c r="T42" s="96">
        <v>0</v>
      </c>
      <c r="U42" s="96">
        <v>0</v>
      </c>
      <c r="V42" s="96">
        <v>0</v>
      </c>
      <c r="W42" s="96">
        <v>0</v>
      </c>
      <c r="X42" s="96">
        <v>0</v>
      </c>
      <c r="Y42" s="96">
        <v>0</v>
      </c>
      <c r="Z42" s="96">
        <v>0</v>
      </c>
      <c r="AA42" s="96">
        <v>0</v>
      </c>
      <c r="AB42" s="98">
        <f t="shared" si="2"/>
        <v>34</v>
      </c>
      <c r="AC42" s="98">
        <f t="shared" si="3"/>
        <v>0</v>
      </c>
    </row>
    <row r="43" spans="1:29" x14ac:dyDescent="0.25">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2"/>
        <v>0</v>
      </c>
      <c r="AC43" s="98">
        <f t="shared" si="3"/>
        <v>0</v>
      </c>
    </row>
    <row r="44" spans="1:29" x14ac:dyDescent="0.25">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7">F44</f>
        <v>0</v>
      </c>
      <c r="Q44" s="96">
        <v>0</v>
      </c>
      <c r="R44" s="96">
        <v>0</v>
      </c>
      <c r="S44" s="96">
        <v>0</v>
      </c>
      <c r="T44" s="96">
        <v>0</v>
      </c>
      <c r="U44" s="96">
        <v>0</v>
      </c>
      <c r="V44" s="96">
        <v>0</v>
      </c>
      <c r="W44" s="96">
        <v>0</v>
      </c>
      <c r="X44" s="96">
        <v>0</v>
      </c>
      <c r="Y44" s="96">
        <v>0</v>
      </c>
      <c r="Z44" s="96">
        <v>0</v>
      </c>
      <c r="AA44" s="96">
        <v>0</v>
      </c>
      <c r="AB44" s="98">
        <f t="shared" si="2"/>
        <v>0</v>
      </c>
      <c r="AC44" s="98">
        <f t="shared" si="3"/>
        <v>0</v>
      </c>
    </row>
    <row r="45" spans="1:29" x14ac:dyDescent="0.25">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7"/>
        <v>80</v>
      </c>
      <c r="Q45" s="96">
        <v>0</v>
      </c>
      <c r="R45" s="96">
        <v>0</v>
      </c>
      <c r="S45" s="96">
        <v>0</v>
      </c>
      <c r="T45" s="96">
        <v>0</v>
      </c>
      <c r="U45" s="96">
        <v>0</v>
      </c>
      <c r="V45" s="96">
        <v>0</v>
      </c>
      <c r="W45" s="96">
        <v>0</v>
      </c>
      <c r="X45" s="96">
        <v>0</v>
      </c>
      <c r="Y45" s="96">
        <v>0</v>
      </c>
      <c r="Z45" s="96">
        <v>0</v>
      </c>
      <c r="AA45" s="96">
        <v>0</v>
      </c>
      <c r="AB45" s="98">
        <f t="shared" si="2"/>
        <v>80</v>
      </c>
      <c r="AC45" s="98">
        <f t="shared" si="3"/>
        <v>0</v>
      </c>
    </row>
    <row r="46" spans="1:29" x14ac:dyDescent="0.25">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7"/>
        <v>0</v>
      </c>
      <c r="Q46" s="96">
        <v>0</v>
      </c>
      <c r="R46" s="96">
        <v>0</v>
      </c>
      <c r="S46" s="96">
        <v>0</v>
      </c>
      <c r="T46" s="96">
        <v>0</v>
      </c>
      <c r="U46" s="96">
        <v>0</v>
      </c>
      <c r="V46" s="96">
        <v>0</v>
      </c>
      <c r="W46" s="96">
        <v>0</v>
      </c>
      <c r="X46" s="96">
        <v>0</v>
      </c>
      <c r="Y46" s="96">
        <v>0</v>
      </c>
      <c r="Z46" s="96">
        <v>0</v>
      </c>
      <c r="AA46" s="96">
        <v>0</v>
      </c>
      <c r="AB46" s="98">
        <f t="shared" si="2"/>
        <v>0</v>
      </c>
      <c r="AC46" s="98">
        <f t="shared" si="3"/>
        <v>0</v>
      </c>
    </row>
    <row r="47" spans="1:29" ht="31.5" x14ac:dyDescent="0.2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7"/>
        <v>0</v>
      </c>
      <c r="Q47" s="96">
        <v>0</v>
      </c>
      <c r="R47" s="96">
        <v>0</v>
      </c>
      <c r="S47" s="96">
        <v>0</v>
      </c>
      <c r="T47" s="96">
        <v>0</v>
      </c>
      <c r="U47" s="96">
        <v>0</v>
      </c>
      <c r="V47" s="96">
        <v>0</v>
      </c>
      <c r="W47" s="96">
        <v>0</v>
      </c>
      <c r="X47" s="96">
        <v>0</v>
      </c>
      <c r="Y47" s="96">
        <v>0</v>
      </c>
      <c r="Z47" s="96">
        <v>0</v>
      </c>
      <c r="AA47" s="96">
        <v>0</v>
      </c>
      <c r="AB47" s="98">
        <f t="shared" si="2"/>
        <v>0</v>
      </c>
      <c r="AC47" s="98">
        <f t="shared" si="3"/>
        <v>0</v>
      </c>
    </row>
    <row r="48" spans="1:29" ht="31.5" x14ac:dyDescent="0.2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7"/>
        <v>0</v>
      </c>
      <c r="Q48" s="96">
        <v>0</v>
      </c>
      <c r="R48" s="96">
        <v>0</v>
      </c>
      <c r="S48" s="96">
        <v>0</v>
      </c>
      <c r="T48" s="96">
        <v>0</v>
      </c>
      <c r="U48" s="96">
        <v>0</v>
      </c>
      <c r="V48" s="96">
        <v>0</v>
      </c>
      <c r="W48" s="96">
        <v>0</v>
      </c>
      <c r="X48" s="96">
        <v>0</v>
      </c>
      <c r="Y48" s="96">
        <v>0</v>
      </c>
      <c r="Z48" s="96">
        <v>0</v>
      </c>
      <c r="AA48" s="96">
        <v>0</v>
      </c>
      <c r="AB48" s="98">
        <f t="shared" si="2"/>
        <v>0</v>
      </c>
      <c r="AC48" s="98">
        <f t="shared" si="3"/>
        <v>0</v>
      </c>
    </row>
    <row r="49" spans="1:29" x14ac:dyDescent="0.25">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7"/>
        <v>0</v>
      </c>
      <c r="Q49" s="96">
        <v>0</v>
      </c>
      <c r="R49" s="96">
        <v>0</v>
      </c>
      <c r="S49" s="96">
        <v>0</v>
      </c>
      <c r="T49" s="96">
        <v>0</v>
      </c>
      <c r="U49" s="96">
        <v>0</v>
      </c>
      <c r="V49" s="96">
        <v>0</v>
      </c>
      <c r="W49" s="96">
        <v>0</v>
      </c>
      <c r="X49" s="96">
        <v>0</v>
      </c>
      <c r="Y49" s="96">
        <v>0</v>
      </c>
      <c r="Z49" s="96">
        <v>0</v>
      </c>
      <c r="AA49" s="96">
        <v>0</v>
      </c>
      <c r="AB49" s="98">
        <f t="shared" si="2"/>
        <v>0</v>
      </c>
      <c r="AC49" s="98">
        <f t="shared" si="3"/>
        <v>0</v>
      </c>
    </row>
    <row r="50" spans="1:29" ht="18.75" x14ac:dyDescent="0.25">
      <c r="A50" s="41" t="s">
        <v>136</v>
      </c>
      <c r="B50" s="40" t="s">
        <v>533</v>
      </c>
      <c r="C50" s="94">
        <v>34</v>
      </c>
      <c r="D50" s="94">
        <v>0</v>
      </c>
      <c r="E50" s="94">
        <v>34</v>
      </c>
      <c r="F50" s="94">
        <v>34</v>
      </c>
      <c r="G50" s="96">
        <v>0</v>
      </c>
      <c r="H50" s="96">
        <v>0</v>
      </c>
      <c r="I50" s="96">
        <v>0</v>
      </c>
      <c r="J50" s="96">
        <v>0</v>
      </c>
      <c r="K50" s="96">
        <v>0</v>
      </c>
      <c r="L50" s="96">
        <v>0</v>
      </c>
      <c r="M50" s="96">
        <v>0</v>
      </c>
      <c r="N50" s="96">
        <v>0</v>
      </c>
      <c r="O50" s="96">
        <v>0</v>
      </c>
      <c r="P50" s="96">
        <f t="shared" si="7"/>
        <v>34</v>
      </c>
      <c r="Q50" s="96">
        <v>0</v>
      </c>
      <c r="R50" s="96">
        <v>0</v>
      </c>
      <c r="S50" s="96">
        <v>0</v>
      </c>
      <c r="T50" s="96">
        <v>0</v>
      </c>
      <c r="U50" s="96">
        <v>0</v>
      </c>
      <c r="V50" s="96">
        <v>0</v>
      </c>
      <c r="W50" s="96">
        <v>0</v>
      </c>
      <c r="X50" s="96">
        <v>0</v>
      </c>
      <c r="Y50" s="96">
        <v>0</v>
      </c>
      <c r="Z50" s="96">
        <v>0</v>
      </c>
      <c r="AA50" s="96">
        <v>0</v>
      </c>
      <c r="AB50" s="98">
        <f t="shared" si="2"/>
        <v>34</v>
      </c>
      <c r="AC50" s="98">
        <f t="shared" si="3"/>
        <v>0</v>
      </c>
    </row>
    <row r="51" spans="1:29" ht="35.25" customHeight="1" x14ac:dyDescent="0.25">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2"/>
        <v>0</v>
      </c>
      <c r="AC51" s="98">
        <f t="shared" si="3"/>
        <v>0</v>
      </c>
    </row>
    <row r="52" spans="1:29" x14ac:dyDescent="0.25">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8">F52</f>
        <v>249.60219762390051</v>
      </c>
      <c r="Q52" s="96">
        <v>0</v>
      </c>
      <c r="R52" s="96">
        <v>0</v>
      </c>
      <c r="S52" s="96">
        <v>0</v>
      </c>
      <c r="T52" s="96">
        <v>0</v>
      </c>
      <c r="U52" s="96">
        <v>0</v>
      </c>
      <c r="V52" s="96">
        <v>0</v>
      </c>
      <c r="W52" s="96">
        <v>0</v>
      </c>
      <c r="X52" s="96">
        <v>0</v>
      </c>
      <c r="Y52" s="96">
        <v>0</v>
      </c>
      <c r="Z52" s="96">
        <v>0</v>
      </c>
      <c r="AA52" s="96">
        <v>0</v>
      </c>
      <c r="AB52" s="98">
        <f t="shared" si="2"/>
        <v>249.60219762390051</v>
      </c>
      <c r="AC52" s="98">
        <f t="shared" si="3"/>
        <v>0</v>
      </c>
    </row>
    <row r="53" spans="1:29" x14ac:dyDescent="0.25">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8"/>
        <v>0</v>
      </c>
      <c r="Q53" s="96">
        <v>0</v>
      </c>
      <c r="R53" s="96">
        <v>0</v>
      </c>
      <c r="S53" s="96">
        <v>0</v>
      </c>
      <c r="T53" s="96">
        <v>0</v>
      </c>
      <c r="U53" s="96">
        <v>0</v>
      </c>
      <c r="V53" s="96">
        <v>0</v>
      </c>
      <c r="W53" s="96">
        <v>0</v>
      </c>
      <c r="X53" s="96">
        <v>0</v>
      </c>
      <c r="Y53" s="96">
        <v>0</v>
      </c>
      <c r="Z53" s="96">
        <v>0</v>
      </c>
      <c r="AA53" s="96">
        <v>0</v>
      </c>
      <c r="AB53" s="98">
        <f t="shared" si="2"/>
        <v>0</v>
      </c>
      <c r="AC53" s="98">
        <f t="shared" si="3"/>
        <v>0</v>
      </c>
    </row>
    <row r="54" spans="1:29" x14ac:dyDescent="0.25">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8"/>
        <v>80</v>
      </c>
      <c r="Q54" s="96">
        <v>0</v>
      </c>
      <c r="R54" s="96">
        <v>0</v>
      </c>
      <c r="S54" s="96">
        <v>0</v>
      </c>
      <c r="T54" s="96">
        <v>0</v>
      </c>
      <c r="U54" s="96">
        <v>0</v>
      </c>
      <c r="V54" s="96">
        <v>0</v>
      </c>
      <c r="W54" s="96">
        <v>0</v>
      </c>
      <c r="X54" s="96">
        <v>0</v>
      </c>
      <c r="Y54" s="96">
        <v>0</v>
      </c>
      <c r="Z54" s="96">
        <v>0</v>
      </c>
      <c r="AA54" s="96">
        <v>0</v>
      </c>
      <c r="AB54" s="98">
        <f t="shared" si="2"/>
        <v>80</v>
      </c>
      <c r="AC54" s="98">
        <f t="shared" si="3"/>
        <v>0</v>
      </c>
    </row>
    <row r="55" spans="1:29" x14ac:dyDescent="0.25">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8"/>
        <v>0</v>
      </c>
      <c r="Q55" s="96">
        <v>0</v>
      </c>
      <c r="R55" s="96">
        <v>0</v>
      </c>
      <c r="S55" s="96">
        <v>0</v>
      </c>
      <c r="T55" s="96">
        <v>0</v>
      </c>
      <c r="U55" s="96">
        <v>0</v>
      </c>
      <c r="V55" s="96">
        <v>0</v>
      </c>
      <c r="W55" s="96">
        <v>0</v>
      </c>
      <c r="X55" s="96">
        <v>0</v>
      </c>
      <c r="Y55" s="96">
        <v>0</v>
      </c>
      <c r="Z55" s="96">
        <v>0</v>
      </c>
      <c r="AA55" s="96">
        <v>0</v>
      </c>
      <c r="AB55" s="98">
        <f t="shared" si="2"/>
        <v>0</v>
      </c>
      <c r="AC55" s="98">
        <f t="shared" si="3"/>
        <v>0</v>
      </c>
    </row>
    <row r="56" spans="1:29" x14ac:dyDescent="0.25">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8"/>
        <v>0</v>
      </c>
      <c r="Q56" s="96">
        <v>0</v>
      </c>
      <c r="R56" s="96">
        <v>0</v>
      </c>
      <c r="S56" s="96">
        <v>0</v>
      </c>
      <c r="T56" s="96">
        <v>0</v>
      </c>
      <c r="U56" s="96">
        <v>0</v>
      </c>
      <c r="V56" s="96">
        <v>0</v>
      </c>
      <c r="W56" s="96">
        <v>0</v>
      </c>
      <c r="X56" s="96">
        <v>0</v>
      </c>
      <c r="Y56" s="96">
        <v>0</v>
      </c>
      <c r="Z56" s="96">
        <v>0</v>
      </c>
      <c r="AA56" s="96">
        <v>0</v>
      </c>
      <c r="AB56" s="98">
        <f t="shared" si="2"/>
        <v>0</v>
      </c>
      <c r="AC56" s="98">
        <f t="shared" si="3"/>
        <v>0</v>
      </c>
    </row>
    <row r="57" spans="1:29" ht="18.75" x14ac:dyDescent="0.25">
      <c r="A57" s="41" t="s">
        <v>128</v>
      </c>
      <c r="B57" s="40" t="s">
        <v>533</v>
      </c>
      <c r="C57" s="94">
        <v>34</v>
      </c>
      <c r="D57" s="94">
        <v>0</v>
      </c>
      <c r="E57" s="94">
        <v>34</v>
      </c>
      <c r="F57" s="94">
        <v>34</v>
      </c>
      <c r="G57" s="96">
        <v>0</v>
      </c>
      <c r="H57" s="96">
        <v>0</v>
      </c>
      <c r="I57" s="96">
        <v>0</v>
      </c>
      <c r="J57" s="96">
        <v>0</v>
      </c>
      <c r="K57" s="96">
        <v>0</v>
      </c>
      <c r="L57" s="96">
        <v>0</v>
      </c>
      <c r="M57" s="96">
        <v>0</v>
      </c>
      <c r="N57" s="96">
        <v>0</v>
      </c>
      <c r="O57" s="96">
        <v>0</v>
      </c>
      <c r="P57" s="96">
        <f t="shared" si="8"/>
        <v>34</v>
      </c>
      <c r="Q57" s="96">
        <v>0</v>
      </c>
      <c r="R57" s="96">
        <v>0</v>
      </c>
      <c r="S57" s="96">
        <v>0</v>
      </c>
      <c r="T57" s="96">
        <v>0</v>
      </c>
      <c r="U57" s="96">
        <v>0</v>
      </c>
      <c r="V57" s="96">
        <v>0</v>
      </c>
      <c r="W57" s="96">
        <v>0</v>
      </c>
      <c r="X57" s="96">
        <v>0</v>
      </c>
      <c r="Y57" s="96">
        <v>0</v>
      </c>
      <c r="Z57" s="96">
        <v>0</v>
      </c>
      <c r="AA57" s="96">
        <v>0</v>
      </c>
      <c r="AB57" s="98">
        <f t="shared" si="2"/>
        <v>34</v>
      </c>
      <c r="AC57" s="98">
        <f t="shared" si="3"/>
        <v>0</v>
      </c>
    </row>
    <row r="58" spans="1:29" ht="36.75" customHeight="1" x14ac:dyDescent="0.25">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2"/>
        <v>0</v>
      </c>
      <c r="AC58" s="98">
        <f t="shared" si="3"/>
        <v>0</v>
      </c>
    </row>
    <row r="59" spans="1:29" x14ac:dyDescent="0.25">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2"/>
        <v>0</v>
      </c>
      <c r="AC59" s="98">
        <f t="shared" si="3"/>
        <v>0</v>
      </c>
    </row>
    <row r="60" spans="1:29" x14ac:dyDescent="0.25">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2"/>
        <v>0</v>
      </c>
      <c r="AC60" s="98">
        <f t="shared" si="3"/>
        <v>0</v>
      </c>
    </row>
    <row r="61" spans="1:29" x14ac:dyDescent="0.25">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2"/>
        <v>0</v>
      </c>
      <c r="AC61" s="98">
        <f t="shared" si="3"/>
        <v>0</v>
      </c>
    </row>
    <row r="62" spans="1:29" x14ac:dyDescent="0.25">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2"/>
        <v>0</v>
      </c>
      <c r="AC62" s="98">
        <f t="shared" si="3"/>
        <v>0</v>
      </c>
    </row>
    <row r="63" spans="1:29" x14ac:dyDescent="0.25">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2"/>
        <v>0</v>
      </c>
      <c r="AC63" s="98">
        <f t="shared" si="3"/>
        <v>0</v>
      </c>
    </row>
    <row r="64" spans="1:29" ht="18.75" x14ac:dyDescent="0.2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2"/>
        <v>0</v>
      </c>
      <c r="AC64" s="98">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408"/>
      <c r="C66" s="408"/>
      <c r="D66" s="408"/>
      <c r="E66" s="408"/>
      <c r="F66" s="408"/>
      <c r="G66" s="408"/>
      <c r="H66" s="408"/>
      <c r="I66" s="40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08"/>
      <c r="C68" s="408"/>
      <c r="D68" s="408"/>
      <c r="E68" s="408"/>
      <c r="F68" s="408"/>
      <c r="G68" s="408"/>
      <c r="H68" s="408"/>
      <c r="I68" s="408"/>
      <c r="J68" s="35"/>
      <c r="K68" s="35"/>
    </row>
    <row r="70" spans="1:28" ht="36.75" customHeight="1" x14ac:dyDescent="0.25">
      <c r="B70" s="408"/>
      <c r="C70" s="408"/>
      <c r="D70" s="408"/>
      <c r="E70" s="408"/>
      <c r="F70" s="408"/>
      <c r="G70" s="408"/>
      <c r="H70" s="408"/>
      <c r="I70" s="408"/>
      <c r="J70" s="35"/>
      <c r="K70" s="35"/>
    </row>
    <row r="71" spans="1:28" x14ac:dyDescent="0.25">
      <c r="N71" s="36"/>
      <c r="V71" s="36"/>
    </row>
    <row r="72" spans="1:28" ht="51" customHeight="1" x14ac:dyDescent="0.25">
      <c r="B72" s="408"/>
      <c r="C72" s="408"/>
      <c r="D72" s="408"/>
      <c r="E72" s="408"/>
      <c r="F72" s="408"/>
      <c r="G72" s="408"/>
      <c r="H72" s="408"/>
      <c r="I72" s="408"/>
      <c r="J72" s="35"/>
      <c r="K72" s="35"/>
      <c r="N72" s="36"/>
      <c r="V72" s="36"/>
    </row>
    <row r="73" spans="1:28" ht="32.25" customHeight="1" x14ac:dyDescent="0.25">
      <c r="B73" s="408"/>
      <c r="C73" s="408"/>
      <c r="D73" s="408"/>
      <c r="E73" s="408"/>
      <c r="F73" s="408"/>
      <c r="G73" s="408"/>
      <c r="H73" s="408"/>
      <c r="I73" s="408"/>
      <c r="J73" s="35"/>
      <c r="K73" s="35"/>
    </row>
    <row r="74" spans="1:28" ht="51.75" customHeight="1" x14ac:dyDescent="0.25">
      <c r="B74" s="408"/>
      <c r="C74" s="408"/>
      <c r="D74" s="408"/>
      <c r="E74" s="408"/>
      <c r="F74" s="408"/>
      <c r="G74" s="408"/>
      <c r="H74" s="408"/>
      <c r="I74" s="408"/>
      <c r="J74" s="35"/>
      <c r="K74" s="35"/>
    </row>
    <row r="75" spans="1:28" ht="21.75" customHeight="1" x14ac:dyDescent="0.25">
      <c r="B75" s="414"/>
      <c r="C75" s="414"/>
      <c r="D75" s="414"/>
      <c r="E75" s="414"/>
      <c r="F75" s="414"/>
      <c r="G75" s="414"/>
      <c r="H75" s="414"/>
      <c r="I75" s="414"/>
      <c r="J75" s="34"/>
      <c r="K75" s="34"/>
    </row>
    <row r="76" spans="1:28" ht="23.25" customHeight="1" x14ac:dyDescent="0.25"/>
    <row r="77" spans="1:28" ht="18.75" customHeight="1" x14ac:dyDescent="0.25">
      <c r="B77" s="407"/>
      <c r="C77" s="407"/>
      <c r="D77" s="407"/>
      <c r="E77" s="407"/>
      <c r="F77" s="407"/>
      <c r="G77" s="407"/>
      <c r="H77" s="407"/>
      <c r="I77" s="40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A14" zoomScale="70" zoomScaleNormal="70" zoomScaleSheetLayoutView="70" workbookViewId="0">
      <selection activeCell="Z24" sqref="Z24"/>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9" style="32" hidden="1" customWidth="1"/>
    <col min="7" max="7" width="18.42578125" style="32" customWidth="1"/>
    <col min="8" max="8" width="13" style="32" customWidth="1"/>
    <col min="9" max="9" width="13" style="32" hidden="1" customWidth="1"/>
    <col min="10" max="17" width="9.28515625" style="32" customWidth="1"/>
    <col min="18" max="29" width="8.5703125" style="32" customWidth="1"/>
    <col min="30" max="30" width="17.28515625" style="32" customWidth="1"/>
    <col min="31" max="31" width="18.140625" style="32" customWidth="1"/>
    <col min="32" max="32" width="9.140625" style="32"/>
    <col min="33" max="33" width="62.42578125" style="32" customWidth="1"/>
    <col min="34" max="16384" width="9.140625" style="32"/>
  </cols>
  <sheetData>
    <row r="1" spans="1:30" ht="18.75" x14ac:dyDescent="0.25">
      <c r="AD1" s="21" t="s">
        <v>66</v>
      </c>
    </row>
    <row r="2" spans="1:30" ht="18.75" x14ac:dyDescent="0.3">
      <c r="AD2" s="12" t="s">
        <v>8</v>
      </c>
    </row>
    <row r="3" spans="1:30" ht="18.75" x14ac:dyDescent="0.3">
      <c r="AD3" s="12" t="s">
        <v>65</v>
      </c>
    </row>
    <row r="4" spans="1:30" ht="18.75" customHeight="1" x14ac:dyDescent="0.25">
      <c r="A4" s="434" t="str">
        <f>'6.1. Паспорт сетевой график'!A5:K5</f>
        <v>Год раскрытия информации: 2024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c r="AD4" s="434"/>
    </row>
    <row r="5" spans="1:30" ht="18.75" x14ac:dyDescent="0.3">
      <c r="AD5" s="12"/>
    </row>
    <row r="6" spans="1:30"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row>
    <row r="7" spans="1:30" ht="18.75" x14ac:dyDescent="0.25">
      <c r="A7" s="124"/>
      <c r="B7" s="124"/>
      <c r="C7" s="124"/>
      <c r="D7" s="124"/>
      <c r="E7" s="124"/>
      <c r="F7" s="124"/>
      <c r="G7" s="124"/>
      <c r="H7" s="124"/>
      <c r="I7" s="124"/>
      <c r="J7" s="293"/>
      <c r="K7" s="293"/>
      <c r="L7" s="293"/>
      <c r="M7" s="293"/>
      <c r="N7" s="293"/>
      <c r="O7" s="293"/>
      <c r="P7" s="293"/>
      <c r="Q7" s="293"/>
      <c r="R7" s="293"/>
      <c r="S7" s="293"/>
      <c r="T7" s="293"/>
      <c r="U7" s="293"/>
      <c r="V7" s="293"/>
      <c r="W7" s="293"/>
      <c r="X7" s="293"/>
      <c r="Y7" s="293"/>
      <c r="Z7" s="293"/>
      <c r="AA7" s="293"/>
      <c r="AB7" s="293"/>
      <c r="AC7" s="293"/>
      <c r="AD7" s="293"/>
    </row>
    <row r="8" spans="1:30" x14ac:dyDescent="0.25">
      <c r="A8" s="435" t="str">
        <f>'6.1. Паспорт сетевой график'!A9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row>
    <row r="9" spans="1:30" ht="18.75" customHeight="1"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row>
    <row r="10" spans="1:30" ht="18.75" x14ac:dyDescent="0.25">
      <c r="A10" s="124"/>
      <c r="B10" s="124"/>
      <c r="C10" s="124"/>
      <c r="D10" s="124"/>
      <c r="E10" s="124"/>
      <c r="F10" s="124"/>
      <c r="G10" s="124"/>
      <c r="H10" s="124"/>
      <c r="I10" s="124"/>
      <c r="J10" s="293"/>
      <c r="K10" s="293"/>
      <c r="L10" s="293"/>
      <c r="M10" s="293"/>
      <c r="N10" s="293"/>
      <c r="O10" s="293"/>
      <c r="P10" s="293"/>
      <c r="Q10" s="293"/>
      <c r="R10" s="293"/>
      <c r="S10" s="293"/>
      <c r="T10" s="293"/>
      <c r="U10" s="293"/>
      <c r="V10" s="293"/>
      <c r="W10" s="293"/>
      <c r="X10" s="293"/>
      <c r="Y10" s="293"/>
      <c r="Z10" s="293"/>
      <c r="AA10" s="293"/>
      <c r="AB10" s="293"/>
      <c r="AC10" s="293"/>
      <c r="AD10" s="293"/>
    </row>
    <row r="11" spans="1:30" x14ac:dyDescent="0.25">
      <c r="A11" s="435" t="str">
        <f>'6.1. Паспорт сетевой график'!A12</f>
        <v>M 22-01</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row>
    <row r="12" spans="1:30"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row>
    <row r="13" spans="1:30" ht="16.5" customHeight="1" x14ac:dyDescent="0.3">
      <c r="A13" s="124"/>
      <c r="B13" s="124"/>
      <c r="C13" s="124"/>
      <c r="D13" s="124"/>
      <c r="E13" s="124"/>
      <c r="F13" s="124"/>
      <c r="G13" s="124"/>
      <c r="H13" s="124"/>
      <c r="I13" s="124"/>
      <c r="J13" s="50"/>
      <c r="K13" s="50"/>
      <c r="L13" s="50"/>
      <c r="M13" s="50"/>
      <c r="N13" s="50"/>
      <c r="O13" s="50"/>
      <c r="P13" s="50"/>
      <c r="Q13" s="50"/>
      <c r="R13" s="50"/>
      <c r="S13" s="50"/>
      <c r="T13" s="50"/>
      <c r="U13" s="50"/>
      <c r="V13" s="50"/>
      <c r="W13" s="50"/>
      <c r="X13" s="50"/>
      <c r="Y13" s="50"/>
      <c r="Z13" s="50"/>
      <c r="AA13" s="50"/>
      <c r="AB13" s="50"/>
      <c r="AC13" s="50"/>
      <c r="AD13" s="50"/>
    </row>
    <row r="14" spans="1:30" ht="36" customHeight="1" x14ac:dyDescent="0.25">
      <c r="A14" s="423" t="str">
        <f>'6.1. Паспорт сетевой график'!A15</f>
        <v>Строительство второй очереди ПС 110 Прибрежная с установкой второго трансформатора 10МВА г. Калининград, пос. Прибрежный</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row>
    <row r="15" spans="1:30" ht="15.75" customHeight="1"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row>
    <row r="16" spans="1:30"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row>
    <row r="18" spans="1:33" x14ac:dyDescent="0.25">
      <c r="A18" s="418" t="s">
        <v>393</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row>
    <row r="19" spans="1:33" ht="49.5" hidden="1" customHeight="1" x14ac:dyDescent="0.25">
      <c r="E19" s="48" t="s">
        <v>568</v>
      </c>
      <c r="F19" s="48" t="s">
        <v>568</v>
      </c>
      <c r="G19" s="48" t="s">
        <v>569</v>
      </c>
      <c r="H19" s="48" t="s">
        <v>570</v>
      </c>
      <c r="I19" s="48" t="s">
        <v>570</v>
      </c>
      <c r="M19" s="294"/>
    </row>
    <row r="20" spans="1:33" ht="33" customHeight="1" x14ac:dyDescent="0.25">
      <c r="A20" s="424" t="s">
        <v>183</v>
      </c>
      <c r="B20" s="424" t="s">
        <v>182</v>
      </c>
      <c r="C20" s="428" t="s">
        <v>181</v>
      </c>
      <c r="D20" s="429"/>
      <c r="E20" s="428" t="s">
        <v>180</v>
      </c>
      <c r="F20" s="432"/>
      <c r="G20" s="429"/>
      <c r="H20" s="424" t="s">
        <v>574</v>
      </c>
      <c r="I20" s="424" t="s">
        <v>575</v>
      </c>
      <c r="J20" s="436">
        <v>2020</v>
      </c>
      <c r="K20" s="436"/>
      <c r="L20" s="436"/>
      <c r="M20" s="436"/>
      <c r="N20" s="437">
        <v>2021</v>
      </c>
      <c r="O20" s="438"/>
      <c r="P20" s="438"/>
      <c r="Q20" s="439"/>
      <c r="R20" s="437">
        <v>2022</v>
      </c>
      <c r="S20" s="438"/>
      <c r="T20" s="438"/>
      <c r="U20" s="438"/>
      <c r="V20" s="438">
        <v>2023</v>
      </c>
      <c r="W20" s="438"/>
      <c r="X20" s="438"/>
      <c r="Y20" s="438"/>
      <c r="Z20" s="438">
        <v>2024</v>
      </c>
      <c r="AA20" s="438"/>
      <c r="AB20" s="438"/>
      <c r="AC20" s="439"/>
      <c r="AD20" s="427" t="s">
        <v>179</v>
      </c>
      <c r="AE20" s="427"/>
    </row>
    <row r="21" spans="1:33" ht="99.75" customHeight="1" x14ac:dyDescent="0.25">
      <c r="A21" s="425"/>
      <c r="B21" s="425"/>
      <c r="C21" s="430"/>
      <c r="D21" s="431"/>
      <c r="E21" s="430"/>
      <c r="F21" s="433"/>
      <c r="G21" s="431"/>
      <c r="H21" s="425"/>
      <c r="I21" s="425"/>
      <c r="J21" s="422" t="s">
        <v>540</v>
      </c>
      <c r="K21" s="422"/>
      <c r="L21" s="422" t="s">
        <v>9</v>
      </c>
      <c r="M21" s="422"/>
      <c r="N21" s="422" t="s">
        <v>540</v>
      </c>
      <c r="O21" s="422"/>
      <c r="P21" s="422" t="s">
        <v>9</v>
      </c>
      <c r="Q21" s="422"/>
      <c r="R21" s="422" t="s">
        <v>540</v>
      </c>
      <c r="S21" s="422"/>
      <c r="T21" s="422" t="s">
        <v>9</v>
      </c>
      <c r="U21" s="422"/>
      <c r="V21" s="422" t="s">
        <v>540</v>
      </c>
      <c r="W21" s="422"/>
      <c r="X21" s="422" t="s">
        <v>9</v>
      </c>
      <c r="Y21" s="422"/>
      <c r="Z21" s="422" t="s">
        <v>540</v>
      </c>
      <c r="AA21" s="422"/>
      <c r="AB21" s="422" t="s">
        <v>178</v>
      </c>
      <c r="AC21" s="422"/>
      <c r="AD21" s="427"/>
      <c r="AE21" s="427"/>
    </row>
    <row r="22" spans="1:33" ht="89.25" customHeight="1" x14ac:dyDescent="0.25">
      <c r="A22" s="426"/>
      <c r="B22" s="426"/>
      <c r="C22" s="48" t="s">
        <v>540</v>
      </c>
      <c r="D22" s="295" t="s">
        <v>178</v>
      </c>
      <c r="E22" s="48" t="s">
        <v>562</v>
      </c>
      <c r="F22" s="48" t="s">
        <v>573</v>
      </c>
      <c r="G22" s="48" t="s">
        <v>675</v>
      </c>
      <c r="H22" s="426"/>
      <c r="I22" s="426"/>
      <c r="J22" s="296" t="s">
        <v>375</v>
      </c>
      <c r="K22" s="296" t="s">
        <v>376</v>
      </c>
      <c r="L22" s="296" t="s">
        <v>375</v>
      </c>
      <c r="M22" s="296" t="s">
        <v>376</v>
      </c>
      <c r="N22" s="296" t="s">
        <v>375</v>
      </c>
      <c r="O22" s="296" t="s">
        <v>376</v>
      </c>
      <c r="P22" s="296" t="s">
        <v>375</v>
      </c>
      <c r="Q22" s="296" t="s">
        <v>376</v>
      </c>
      <c r="R22" s="296" t="s">
        <v>375</v>
      </c>
      <c r="S22" s="296" t="s">
        <v>376</v>
      </c>
      <c r="T22" s="296" t="s">
        <v>375</v>
      </c>
      <c r="U22" s="296" t="s">
        <v>376</v>
      </c>
      <c r="V22" s="296" t="s">
        <v>375</v>
      </c>
      <c r="W22" s="296" t="s">
        <v>376</v>
      </c>
      <c r="X22" s="296" t="s">
        <v>375</v>
      </c>
      <c r="Y22" s="296" t="s">
        <v>376</v>
      </c>
      <c r="Z22" s="296" t="s">
        <v>375</v>
      </c>
      <c r="AA22" s="296" t="s">
        <v>376</v>
      </c>
      <c r="AB22" s="296" t="s">
        <v>375</v>
      </c>
      <c r="AC22" s="296" t="s">
        <v>376</v>
      </c>
      <c r="AD22" s="297" t="s">
        <v>540</v>
      </c>
      <c r="AE22" s="297" t="s">
        <v>542</v>
      </c>
    </row>
    <row r="23" spans="1:33" ht="19.5" customHeight="1" x14ac:dyDescent="0.25">
      <c r="A23" s="321">
        <v>1</v>
      </c>
      <c r="B23" s="321">
        <v>2</v>
      </c>
      <c r="C23" s="321">
        <v>4</v>
      </c>
      <c r="D23" s="297">
        <v>5</v>
      </c>
      <c r="E23" s="321">
        <v>6</v>
      </c>
      <c r="F23" s="321">
        <v>6</v>
      </c>
      <c r="G23" s="321">
        <v>7</v>
      </c>
      <c r="H23" s="321">
        <v>8</v>
      </c>
      <c r="I23" s="297"/>
      <c r="J23" s="321">
        <v>9</v>
      </c>
      <c r="K23" s="321">
        <v>10</v>
      </c>
      <c r="L23" s="297">
        <v>11</v>
      </c>
      <c r="M23" s="297">
        <v>12</v>
      </c>
      <c r="N23" s="321">
        <v>13</v>
      </c>
      <c r="O23" s="321">
        <v>14</v>
      </c>
      <c r="P23" s="297">
        <v>15</v>
      </c>
      <c r="Q23" s="297">
        <v>16</v>
      </c>
      <c r="R23" s="321">
        <v>17</v>
      </c>
      <c r="S23" s="321">
        <v>18</v>
      </c>
      <c r="T23" s="297">
        <v>19</v>
      </c>
      <c r="U23" s="297">
        <v>20</v>
      </c>
      <c r="V23" s="321">
        <v>21</v>
      </c>
      <c r="W23" s="321">
        <v>22</v>
      </c>
      <c r="X23" s="297">
        <v>23</v>
      </c>
      <c r="Y23" s="297">
        <v>24</v>
      </c>
      <c r="Z23" s="321">
        <v>25</v>
      </c>
      <c r="AA23" s="321">
        <v>26</v>
      </c>
      <c r="AB23" s="297">
        <v>27</v>
      </c>
      <c r="AC23" s="297">
        <v>28</v>
      </c>
      <c r="AD23" s="320">
        <v>29</v>
      </c>
      <c r="AE23" s="320">
        <v>30</v>
      </c>
    </row>
    <row r="24" spans="1:33" ht="47.25" customHeight="1" x14ac:dyDescent="0.25">
      <c r="A24" s="41">
        <v>1</v>
      </c>
      <c r="B24" s="25" t="s">
        <v>177</v>
      </c>
      <c r="C24" s="96">
        <v>222.686191279128</v>
      </c>
      <c r="D24" s="298">
        <f>SUM(D25:D29)</f>
        <v>222.686191279128</v>
      </c>
      <c r="E24" s="96">
        <f>D24</f>
        <v>222.686191279128</v>
      </c>
      <c r="F24" s="96">
        <f>E24</f>
        <v>222.686191279128</v>
      </c>
      <c r="G24" s="96">
        <f>F24-L24-P24-T24</f>
        <v>185.64319310912799</v>
      </c>
      <c r="H24" s="96">
        <f>H30*1.2</f>
        <v>0</v>
      </c>
      <c r="I24" s="298">
        <f>SUM(I25:I29)</f>
        <v>217.21359563999999</v>
      </c>
      <c r="J24" s="96">
        <v>0</v>
      </c>
      <c r="K24" s="96" t="s">
        <v>543</v>
      </c>
      <c r="L24" s="298">
        <v>0</v>
      </c>
      <c r="M24" s="298">
        <v>0</v>
      </c>
      <c r="N24" s="96">
        <v>0</v>
      </c>
      <c r="O24" s="96" t="s">
        <v>543</v>
      </c>
      <c r="P24" s="298">
        <v>0</v>
      </c>
      <c r="Q24" s="298">
        <v>0</v>
      </c>
      <c r="R24" s="96">
        <v>36.99879999999996</v>
      </c>
      <c r="S24" s="96" t="s">
        <v>543</v>
      </c>
      <c r="T24" s="298">
        <v>37.042998170000004</v>
      </c>
      <c r="U24" s="298">
        <v>0</v>
      </c>
      <c r="V24" s="96">
        <v>92.843695639564018</v>
      </c>
      <c r="W24" s="96" t="s">
        <v>543</v>
      </c>
      <c r="X24" s="298">
        <v>102.88971259297598</v>
      </c>
      <c r="Y24" s="298">
        <v>0</v>
      </c>
      <c r="Z24" s="96">
        <v>92.843695639564018</v>
      </c>
      <c r="AA24" s="96" t="s">
        <v>543</v>
      </c>
      <c r="AB24" s="298">
        <f>D24-T24-X24</f>
        <v>82.75348051615201</v>
      </c>
      <c r="AC24" s="298">
        <v>4</v>
      </c>
      <c r="AD24" s="96">
        <v>222.68619127912802</v>
      </c>
      <c r="AE24" s="96">
        <f>L24+P24+T24+X24+AB24</f>
        <v>222.68619127912802</v>
      </c>
    </row>
    <row r="25" spans="1:33" ht="24" customHeight="1" x14ac:dyDescent="0.25">
      <c r="A25" s="41" t="s">
        <v>176</v>
      </c>
      <c r="B25" s="25" t="s">
        <v>175</v>
      </c>
      <c r="C25" s="96">
        <v>0</v>
      </c>
      <c r="D25" s="298">
        <v>0</v>
      </c>
      <c r="E25" s="96">
        <f t="shared" ref="E25:E64" si="0">D25</f>
        <v>0</v>
      </c>
      <c r="F25" s="96">
        <f t="shared" ref="F25:F64" si="1">E25</f>
        <v>0</v>
      </c>
      <c r="G25" s="96">
        <f t="shared" ref="G25:G64" si="2">F25-L25-P25-T25</f>
        <v>0</v>
      </c>
      <c r="H25" s="96">
        <v>0</v>
      </c>
      <c r="I25" s="298">
        <v>0</v>
      </c>
      <c r="J25" s="96">
        <v>0</v>
      </c>
      <c r="K25" s="96" t="s">
        <v>543</v>
      </c>
      <c r="L25" s="298">
        <v>0</v>
      </c>
      <c r="M25" s="298">
        <v>0</v>
      </c>
      <c r="N25" s="96">
        <v>0</v>
      </c>
      <c r="O25" s="96" t="s">
        <v>543</v>
      </c>
      <c r="P25" s="298">
        <v>0</v>
      </c>
      <c r="Q25" s="298">
        <v>0</v>
      </c>
      <c r="R25" s="96">
        <v>0</v>
      </c>
      <c r="S25" s="96" t="s">
        <v>543</v>
      </c>
      <c r="T25" s="298">
        <v>0</v>
      </c>
      <c r="U25" s="298">
        <v>0</v>
      </c>
      <c r="V25" s="96">
        <v>0</v>
      </c>
      <c r="W25" s="96" t="s">
        <v>543</v>
      </c>
      <c r="X25" s="298">
        <f t="shared" ref="X25:X29" si="3">D25-T25</f>
        <v>0</v>
      </c>
      <c r="Y25" s="298">
        <v>0</v>
      </c>
      <c r="Z25" s="96">
        <v>0</v>
      </c>
      <c r="AA25" s="96" t="s">
        <v>543</v>
      </c>
      <c r="AB25" s="298">
        <v>0</v>
      </c>
      <c r="AC25" s="298">
        <v>0</v>
      </c>
      <c r="AD25" s="96">
        <v>0</v>
      </c>
      <c r="AE25" s="96">
        <f t="shared" ref="AE25:AE64" si="4">L25+P25+T25+X25+AB25</f>
        <v>0</v>
      </c>
    </row>
    <row r="26" spans="1:33" x14ac:dyDescent="0.25">
      <c r="A26" s="41" t="s">
        <v>174</v>
      </c>
      <c r="B26" s="25" t="s">
        <v>173</v>
      </c>
      <c r="C26" s="96">
        <v>0</v>
      </c>
      <c r="D26" s="298">
        <v>0</v>
      </c>
      <c r="E26" s="96">
        <f t="shared" si="0"/>
        <v>0</v>
      </c>
      <c r="F26" s="96">
        <f t="shared" si="1"/>
        <v>0</v>
      </c>
      <c r="G26" s="96">
        <f t="shared" si="2"/>
        <v>0</v>
      </c>
      <c r="H26" s="96">
        <v>0</v>
      </c>
      <c r="I26" s="298">
        <v>0</v>
      </c>
      <c r="J26" s="96">
        <v>0</v>
      </c>
      <c r="K26" s="96" t="s">
        <v>543</v>
      </c>
      <c r="L26" s="298">
        <v>0</v>
      </c>
      <c r="M26" s="298">
        <v>0</v>
      </c>
      <c r="N26" s="96">
        <v>0</v>
      </c>
      <c r="O26" s="96" t="s">
        <v>543</v>
      </c>
      <c r="P26" s="298">
        <v>0</v>
      </c>
      <c r="Q26" s="298">
        <v>0</v>
      </c>
      <c r="R26" s="96">
        <v>0</v>
      </c>
      <c r="S26" s="96" t="s">
        <v>543</v>
      </c>
      <c r="T26" s="298">
        <v>0</v>
      </c>
      <c r="U26" s="298">
        <v>0</v>
      </c>
      <c r="V26" s="96">
        <v>0</v>
      </c>
      <c r="W26" s="96" t="s">
        <v>543</v>
      </c>
      <c r="X26" s="298">
        <f t="shared" si="3"/>
        <v>0</v>
      </c>
      <c r="Y26" s="298">
        <v>0</v>
      </c>
      <c r="Z26" s="96">
        <v>0</v>
      </c>
      <c r="AA26" s="96" t="s">
        <v>543</v>
      </c>
      <c r="AB26" s="298">
        <v>0</v>
      </c>
      <c r="AC26" s="298">
        <v>0</v>
      </c>
      <c r="AD26" s="96">
        <v>0</v>
      </c>
      <c r="AE26" s="96">
        <f t="shared" si="4"/>
        <v>0</v>
      </c>
    </row>
    <row r="27" spans="1:33" ht="31.5" x14ac:dyDescent="0.25">
      <c r="A27" s="41" t="s">
        <v>172</v>
      </c>
      <c r="B27" s="25" t="s">
        <v>357</v>
      </c>
      <c r="C27" s="96">
        <v>222.686191279128</v>
      </c>
      <c r="D27" s="298">
        <v>222.686191279128</v>
      </c>
      <c r="E27" s="96">
        <f t="shared" si="0"/>
        <v>222.686191279128</v>
      </c>
      <c r="F27" s="96">
        <f t="shared" si="1"/>
        <v>222.686191279128</v>
      </c>
      <c r="G27" s="96">
        <f t="shared" si="2"/>
        <v>185.64319310912799</v>
      </c>
      <c r="H27" s="96">
        <v>0</v>
      </c>
      <c r="I27" s="298">
        <v>0</v>
      </c>
      <c r="J27" s="96">
        <v>0</v>
      </c>
      <c r="K27" s="96" t="s">
        <v>543</v>
      </c>
      <c r="L27" s="298">
        <v>0</v>
      </c>
      <c r="M27" s="298">
        <v>0</v>
      </c>
      <c r="N27" s="96">
        <v>0</v>
      </c>
      <c r="O27" s="96" t="s">
        <v>543</v>
      </c>
      <c r="P27" s="298">
        <v>0</v>
      </c>
      <c r="Q27" s="298">
        <v>0</v>
      </c>
      <c r="R27" s="96">
        <v>36.99879999999996</v>
      </c>
      <c r="S27" s="96" t="s">
        <v>543</v>
      </c>
      <c r="T27" s="298">
        <v>37.042998170000004</v>
      </c>
      <c r="U27" s="298">
        <v>0</v>
      </c>
      <c r="V27" s="96">
        <v>92.843695639564018</v>
      </c>
      <c r="W27" s="96" t="s">
        <v>543</v>
      </c>
      <c r="X27" s="298">
        <v>102.88971259297598</v>
      </c>
      <c r="Y27" s="298">
        <v>0</v>
      </c>
      <c r="Z27" s="96">
        <v>92.843695639564018</v>
      </c>
      <c r="AA27" s="96" t="s">
        <v>543</v>
      </c>
      <c r="AB27" s="298">
        <v>100.43291282802515</v>
      </c>
      <c r="AC27" s="298">
        <v>0</v>
      </c>
      <c r="AD27" s="96">
        <v>222.68619127912802</v>
      </c>
      <c r="AE27" s="96">
        <f t="shared" si="4"/>
        <v>240.36562359100117</v>
      </c>
    </row>
    <row r="28" spans="1:33" x14ac:dyDescent="0.25">
      <c r="A28" s="41" t="s">
        <v>171</v>
      </c>
      <c r="B28" s="25" t="s">
        <v>544</v>
      </c>
      <c r="C28" s="96">
        <v>0</v>
      </c>
      <c r="D28" s="298">
        <v>0</v>
      </c>
      <c r="E28" s="96">
        <f t="shared" si="0"/>
        <v>0</v>
      </c>
      <c r="F28" s="96">
        <f t="shared" si="1"/>
        <v>0</v>
      </c>
      <c r="G28" s="96">
        <f t="shared" si="2"/>
        <v>0</v>
      </c>
      <c r="H28" s="96">
        <v>0</v>
      </c>
      <c r="I28" s="298">
        <f>I30*1.2</f>
        <v>217.21359563999999</v>
      </c>
      <c r="J28" s="96">
        <v>0</v>
      </c>
      <c r="K28" s="96" t="s">
        <v>543</v>
      </c>
      <c r="L28" s="298">
        <v>0</v>
      </c>
      <c r="M28" s="298">
        <v>0</v>
      </c>
      <c r="N28" s="96">
        <v>0</v>
      </c>
      <c r="O28" s="96" t="s">
        <v>543</v>
      </c>
      <c r="P28" s="298">
        <v>0</v>
      </c>
      <c r="Q28" s="298">
        <v>0</v>
      </c>
      <c r="R28" s="96">
        <v>0</v>
      </c>
      <c r="S28" s="96" t="s">
        <v>543</v>
      </c>
      <c r="T28" s="298">
        <v>0</v>
      </c>
      <c r="U28" s="298">
        <v>0</v>
      </c>
      <c r="V28" s="96">
        <v>0</v>
      </c>
      <c r="W28" s="96" t="s">
        <v>543</v>
      </c>
      <c r="X28" s="298">
        <f t="shared" si="3"/>
        <v>0</v>
      </c>
      <c r="Y28" s="298">
        <v>0</v>
      </c>
      <c r="Z28" s="96">
        <v>0</v>
      </c>
      <c r="AA28" s="96" t="s">
        <v>543</v>
      </c>
      <c r="AB28" s="298">
        <v>0</v>
      </c>
      <c r="AC28" s="298">
        <v>0</v>
      </c>
      <c r="AD28" s="96">
        <v>0</v>
      </c>
      <c r="AE28" s="96">
        <f t="shared" si="4"/>
        <v>0</v>
      </c>
      <c r="AG28" s="294"/>
    </row>
    <row r="29" spans="1:33" x14ac:dyDescent="0.25">
      <c r="A29" s="41" t="s">
        <v>169</v>
      </c>
      <c r="B29" s="45" t="s">
        <v>168</v>
      </c>
      <c r="C29" s="96">
        <v>0</v>
      </c>
      <c r="D29" s="298">
        <v>0</v>
      </c>
      <c r="E29" s="96">
        <f t="shared" si="0"/>
        <v>0</v>
      </c>
      <c r="F29" s="96">
        <f t="shared" si="1"/>
        <v>0</v>
      </c>
      <c r="G29" s="96">
        <f t="shared" si="2"/>
        <v>0</v>
      </c>
      <c r="H29" s="96">
        <v>0</v>
      </c>
      <c r="I29" s="298">
        <v>0</v>
      </c>
      <c r="J29" s="299">
        <v>0</v>
      </c>
      <c r="K29" s="96" t="s">
        <v>543</v>
      </c>
      <c r="L29" s="298">
        <v>0</v>
      </c>
      <c r="M29" s="298">
        <v>0</v>
      </c>
      <c r="N29" s="96">
        <v>0</v>
      </c>
      <c r="O29" s="96" t="s">
        <v>543</v>
      </c>
      <c r="P29" s="298">
        <v>0</v>
      </c>
      <c r="Q29" s="298">
        <v>0</v>
      </c>
      <c r="R29" s="96">
        <v>0</v>
      </c>
      <c r="S29" s="96" t="s">
        <v>543</v>
      </c>
      <c r="T29" s="298">
        <v>0</v>
      </c>
      <c r="U29" s="298">
        <v>0</v>
      </c>
      <c r="V29" s="96">
        <v>0</v>
      </c>
      <c r="W29" s="96" t="s">
        <v>543</v>
      </c>
      <c r="X29" s="298">
        <f t="shared" si="3"/>
        <v>0</v>
      </c>
      <c r="Y29" s="298">
        <v>0</v>
      </c>
      <c r="Z29" s="96">
        <v>0</v>
      </c>
      <c r="AA29" s="96" t="s">
        <v>543</v>
      </c>
      <c r="AB29" s="298">
        <v>0</v>
      </c>
      <c r="AC29" s="298">
        <v>0</v>
      </c>
      <c r="AD29" s="96">
        <v>0</v>
      </c>
      <c r="AE29" s="96">
        <f t="shared" si="4"/>
        <v>0</v>
      </c>
    </row>
    <row r="30" spans="1:33" ht="54.75" customHeight="1" x14ac:dyDescent="0.25">
      <c r="A30" s="41" t="s">
        <v>61</v>
      </c>
      <c r="B30" s="25" t="s">
        <v>167</v>
      </c>
      <c r="C30" s="96">
        <v>185.57182606594</v>
      </c>
      <c r="D30" s="298">
        <v>185.57182606594</v>
      </c>
      <c r="E30" s="96">
        <f t="shared" si="0"/>
        <v>185.57182606594</v>
      </c>
      <c r="F30" s="96">
        <f t="shared" si="1"/>
        <v>185.57182606594</v>
      </c>
      <c r="G30" s="96">
        <f t="shared" si="2"/>
        <v>154.70266052593999</v>
      </c>
      <c r="H30" s="96">
        <v>0</v>
      </c>
      <c r="I30" s="298">
        <f>SUM(I31:I34)</f>
        <v>181.0113297</v>
      </c>
      <c r="J30" s="96">
        <v>0</v>
      </c>
      <c r="K30" s="96" t="s">
        <v>543</v>
      </c>
      <c r="L30" s="298">
        <v>0</v>
      </c>
      <c r="M30" s="298">
        <v>0</v>
      </c>
      <c r="N30" s="96">
        <v>0</v>
      </c>
      <c r="O30" s="96" t="s">
        <v>543</v>
      </c>
      <c r="P30" s="298">
        <v>0</v>
      </c>
      <c r="Q30" s="298">
        <v>0</v>
      </c>
      <c r="R30" s="96">
        <v>30.832333333333303</v>
      </c>
      <c r="S30" s="96" t="s">
        <v>543</v>
      </c>
      <c r="T30" s="298">
        <v>30.869165540000001</v>
      </c>
      <c r="U30" s="298">
        <v>0</v>
      </c>
      <c r="V30" s="96">
        <v>77.369746366303346</v>
      </c>
      <c r="W30" s="96" t="s">
        <v>543</v>
      </c>
      <c r="X30" s="298">
        <f>X24/1.2</f>
        <v>85.741427160813316</v>
      </c>
      <c r="Y30" s="298">
        <v>0</v>
      </c>
      <c r="Z30" s="96">
        <v>77.369746366303346</v>
      </c>
      <c r="AA30" s="96" t="s">
        <v>543</v>
      </c>
      <c r="AB30" s="298">
        <f>AB24/1.2</f>
        <v>68.961233763460015</v>
      </c>
      <c r="AC30" s="298">
        <v>0</v>
      </c>
      <c r="AD30" s="96">
        <v>185.57182606594</v>
      </c>
      <c r="AE30" s="96">
        <f t="shared" si="4"/>
        <v>185.57182646427333</v>
      </c>
      <c r="AG30" s="37"/>
    </row>
    <row r="31" spans="1:33" x14ac:dyDescent="0.25">
      <c r="A31" s="41" t="s">
        <v>166</v>
      </c>
      <c r="B31" s="25" t="s">
        <v>165</v>
      </c>
      <c r="C31" s="96">
        <v>8.5</v>
      </c>
      <c r="D31" s="298">
        <f>4.25*2</f>
        <v>8.5</v>
      </c>
      <c r="E31" s="96">
        <f t="shared" si="0"/>
        <v>8.5</v>
      </c>
      <c r="F31" s="96">
        <f t="shared" si="1"/>
        <v>8.5</v>
      </c>
      <c r="G31" s="96">
        <f t="shared" si="2"/>
        <v>4.25</v>
      </c>
      <c r="H31" s="96">
        <v>0</v>
      </c>
      <c r="I31" s="298">
        <v>0</v>
      </c>
      <c r="J31" s="96">
        <v>0</v>
      </c>
      <c r="K31" s="96" t="s">
        <v>543</v>
      </c>
      <c r="L31" s="298">
        <v>0</v>
      </c>
      <c r="M31" s="298">
        <v>0</v>
      </c>
      <c r="N31" s="96">
        <v>0</v>
      </c>
      <c r="O31" s="96" t="s">
        <v>543</v>
      </c>
      <c r="P31" s="298">
        <v>0</v>
      </c>
      <c r="Q31" s="298">
        <v>0</v>
      </c>
      <c r="R31" s="96">
        <v>4.25</v>
      </c>
      <c r="S31" s="96" t="s">
        <v>543</v>
      </c>
      <c r="T31" s="298">
        <f>D31/2</f>
        <v>4.25</v>
      </c>
      <c r="U31" s="298">
        <v>0</v>
      </c>
      <c r="V31" s="96">
        <v>2.125</v>
      </c>
      <c r="W31" s="96" t="s">
        <v>543</v>
      </c>
      <c r="X31" s="298">
        <v>2.125</v>
      </c>
      <c r="Y31" s="298">
        <v>0</v>
      </c>
      <c r="Z31" s="96">
        <v>2.125</v>
      </c>
      <c r="AA31" s="96" t="s">
        <v>543</v>
      </c>
      <c r="AB31" s="298">
        <v>2.125</v>
      </c>
      <c r="AC31" s="298">
        <v>0</v>
      </c>
      <c r="AD31" s="96">
        <v>8.5</v>
      </c>
      <c r="AE31" s="96">
        <f t="shared" si="4"/>
        <v>8.5</v>
      </c>
    </row>
    <row r="32" spans="1:33" ht="31.5" x14ac:dyDescent="0.25">
      <c r="A32" s="41" t="s">
        <v>164</v>
      </c>
      <c r="B32" s="25" t="s">
        <v>163</v>
      </c>
      <c r="C32" s="96">
        <v>59.087051880035801</v>
      </c>
      <c r="D32" s="298">
        <v>59.087051880035801</v>
      </c>
      <c r="E32" s="96">
        <f t="shared" si="0"/>
        <v>59.087051880035801</v>
      </c>
      <c r="F32" s="96">
        <f t="shared" si="1"/>
        <v>59.087051880035801</v>
      </c>
      <c r="G32" s="96">
        <f t="shared" si="2"/>
        <v>59.050219673369099</v>
      </c>
      <c r="H32" s="96">
        <v>0</v>
      </c>
      <c r="I32" s="298">
        <f>88808363/1000000</f>
        <v>88.808363</v>
      </c>
      <c r="J32" s="96">
        <v>0</v>
      </c>
      <c r="K32" s="96" t="s">
        <v>543</v>
      </c>
      <c r="L32" s="298">
        <v>0</v>
      </c>
      <c r="M32" s="298">
        <v>0</v>
      </c>
      <c r="N32" s="96">
        <v>0</v>
      </c>
      <c r="O32" s="96" t="s">
        <v>543</v>
      </c>
      <c r="P32" s="298">
        <v>0</v>
      </c>
      <c r="Q32" s="298">
        <v>0</v>
      </c>
      <c r="R32" s="96">
        <v>0</v>
      </c>
      <c r="S32" s="96" t="s">
        <v>543</v>
      </c>
      <c r="T32" s="298">
        <f>T30-T31-T34-T33</f>
        <v>3.6832206666698397E-2</v>
      </c>
      <c r="U32" s="298">
        <v>0</v>
      </c>
      <c r="V32" s="96">
        <v>29.543525940017901</v>
      </c>
      <c r="W32" s="96" t="s">
        <v>543</v>
      </c>
      <c r="X32" s="298">
        <f>X30-X31-X34-X33</f>
        <v>37.91520673452797</v>
      </c>
      <c r="Y32" s="298">
        <v>0</v>
      </c>
      <c r="Z32" s="96">
        <v>29.543525940017901</v>
      </c>
      <c r="AA32" s="96" t="s">
        <v>543</v>
      </c>
      <c r="AB32" s="298">
        <f>AB30-AB31-AB34-AB33</f>
        <v>21.135013337174669</v>
      </c>
      <c r="AC32" s="298">
        <v>0</v>
      </c>
      <c r="AD32" s="96">
        <v>59.087051880035801</v>
      </c>
      <c r="AE32" s="96">
        <f t="shared" si="4"/>
        <v>59.087052278369342</v>
      </c>
      <c r="AG32" s="300"/>
    </row>
    <row r="33" spans="1:33" x14ac:dyDescent="0.25">
      <c r="A33" s="41" t="s">
        <v>162</v>
      </c>
      <c r="B33" s="25" t="s">
        <v>161</v>
      </c>
      <c r="C33" s="96">
        <v>109.23187441427</v>
      </c>
      <c r="D33" s="298">
        <v>109.23187441427</v>
      </c>
      <c r="E33" s="96">
        <f t="shared" si="0"/>
        <v>109.23187441427</v>
      </c>
      <c r="F33" s="96">
        <f t="shared" si="1"/>
        <v>109.23187441427</v>
      </c>
      <c r="G33" s="96">
        <f t="shared" si="2"/>
        <v>83.6495410809367</v>
      </c>
      <c r="H33" s="96">
        <v>0</v>
      </c>
      <c r="I33" s="298">
        <f>92202966.7/1000000</f>
        <v>92.202966700000005</v>
      </c>
      <c r="J33" s="96">
        <v>0</v>
      </c>
      <c r="K33" s="96" t="s">
        <v>543</v>
      </c>
      <c r="L33" s="298">
        <v>0</v>
      </c>
      <c r="M33" s="298">
        <v>0</v>
      </c>
      <c r="N33" s="96">
        <v>0</v>
      </c>
      <c r="O33" s="96" t="s">
        <v>543</v>
      </c>
      <c r="P33" s="298">
        <v>0</v>
      </c>
      <c r="Q33" s="298">
        <v>0</v>
      </c>
      <c r="R33" s="96">
        <v>25.582333333333303</v>
      </c>
      <c r="S33" s="96" t="s">
        <v>543</v>
      </c>
      <c r="T33" s="298">
        <f>62.0833333333333-30.33-6.171</f>
        <v>25.582333333333303</v>
      </c>
      <c r="U33" s="298">
        <v>0</v>
      </c>
      <c r="V33" s="96">
        <v>41.82477054046835</v>
      </c>
      <c r="W33" s="96" t="s">
        <v>543</v>
      </c>
      <c r="X33" s="298">
        <v>41.82477054046835</v>
      </c>
      <c r="Y33" s="298">
        <v>0</v>
      </c>
      <c r="Z33" s="96">
        <v>41.82477054046835</v>
      </c>
      <c r="AA33" s="96" t="s">
        <v>543</v>
      </c>
      <c r="AB33" s="298">
        <v>41.82477054046835</v>
      </c>
      <c r="AC33" s="298">
        <v>0</v>
      </c>
      <c r="AD33" s="96">
        <v>109.23187441427</v>
      </c>
      <c r="AE33" s="96">
        <f t="shared" si="4"/>
        <v>109.23187441427</v>
      </c>
      <c r="AG33" s="32">
        <f>AG31</f>
        <v>0</v>
      </c>
    </row>
    <row r="34" spans="1:33" x14ac:dyDescent="0.25">
      <c r="A34" s="41" t="s">
        <v>160</v>
      </c>
      <c r="B34" s="25" t="s">
        <v>159</v>
      </c>
      <c r="C34" s="96">
        <v>8.7528997716339987</v>
      </c>
      <c r="D34" s="298">
        <f>17.252899771634-D31</f>
        <v>8.7528997716339987</v>
      </c>
      <c r="E34" s="96">
        <f t="shared" si="0"/>
        <v>8.7528997716339987</v>
      </c>
      <c r="F34" s="96">
        <f t="shared" si="1"/>
        <v>8.7528997716339987</v>
      </c>
      <c r="G34" s="96">
        <f t="shared" si="2"/>
        <v>7.7528997716339987</v>
      </c>
      <c r="H34" s="96">
        <v>0</v>
      </c>
      <c r="I34" s="298">
        <v>0</v>
      </c>
      <c r="J34" s="96">
        <v>0</v>
      </c>
      <c r="K34" s="96" t="s">
        <v>543</v>
      </c>
      <c r="L34" s="298">
        <v>0</v>
      </c>
      <c r="M34" s="298">
        <v>0</v>
      </c>
      <c r="N34" s="96">
        <v>0</v>
      </c>
      <c r="O34" s="96" t="s">
        <v>543</v>
      </c>
      <c r="P34" s="298">
        <v>0</v>
      </c>
      <c r="Q34" s="298">
        <v>0</v>
      </c>
      <c r="R34" s="96">
        <v>1</v>
      </c>
      <c r="S34" s="96" t="s">
        <v>543</v>
      </c>
      <c r="T34" s="298">
        <v>1</v>
      </c>
      <c r="U34" s="298">
        <v>0</v>
      </c>
      <c r="V34" s="96">
        <v>3.8764498858169993</v>
      </c>
      <c r="W34" s="96" t="s">
        <v>543</v>
      </c>
      <c r="X34" s="298">
        <v>3.8764498858169993</v>
      </c>
      <c r="Y34" s="298">
        <v>0</v>
      </c>
      <c r="Z34" s="96">
        <v>3.8764498858169993</v>
      </c>
      <c r="AA34" s="96" t="s">
        <v>543</v>
      </c>
      <c r="AB34" s="298">
        <v>3.8764498858169993</v>
      </c>
      <c r="AC34" s="298">
        <v>0</v>
      </c>
      <c r="AD34" s="96">
        <v>8.7528997716339987</v>
      </c>
      <c r="AE34" s="96">
        <f t="shared" si="4"/>
        <v>8.7528997716339987</v>
      </c>
    </row>
    <row r="35" spans="1:33" ht="31.5" x14ac:dyDescent="0.25">
      <c r="A35" s="41" t="s">
        <v>60</v>
      </c>
      <c r="B35" s="25" t="s">
        <v>158</v>
      </c>
      <c r="C35" s="96">
        <v>0</v>
      </c>
      <c r="D35" s="298">
        <v>0</v>
      </c>
      <c r="E35" s="96">
        <f t="shared" si="0"/>
        <v>0</v>
      </c>
      <c r="F35" s="96">
        <f t="shared" si="1"/>
        <v>0</v>
      </c>
      <c r="G35" s="96">
        <f t="shared" si="2"/>
        <v>0</v>
      </c>
      <c r="H35" s="96">
        <v>0</v>
      </c>
      <c r="I35" s="298">
        <v>0</v>
      </c>
      <c r="J35" s="96">
        <v>0</v>
      </c>
      <c r="K35" s="96" t="s">
        <v>543</v>
      </c>
      <c r="L35" s="298">
        <v>0</v>
      </c>
      <c r="M35" s="298">
        <v>0</v>
      </c>
      <c r="N35" s="96">
        <v>0</v>
      </c>
      <c r="O35" s="96" t="s">
        <v>543</v>
      </c>
      <c r="P35" s="298">
        <v>0</v>
      </c>
      <c r="Q35" s="298">
        <v>0</v>
      </c>
      <c r="R35" s="96">
        <v>0</v>
      </c>
      <c r="S35" s="96" t="s">
        <v>543</v>
      </c>
      <c r="T35" s="298">
        <v>0</v>
      </c>
      <c r="U35" s="298">
        <v>0</v>
      </c>
      <c r="V35" s="96">
        <v>0</v>
      </c>
      <c r="W35" s="96" t="s">
        <v>543</v>
      </c>
      <c r="X35" s="298">
        <v>0</v>
      </c>
      <c r="Y35" s="298">
        <v>0</v>
      </c>
      <c r="Z35" s="96">
        <v>0</v>
      </c>
      <c r="AA35" s="96" t="s">
        <v>543</v>
      </c>
      <c r="AB35" s="298">
        <v>0</v>
      </c>
      <c r="AC35" s="298">
        <v>0</v>
      </c>
      <c r="AD35" s="96">
        <v>0</v>
      </c>
      <c r="AE35" s="96">
        <f t="shared" si="4"/>
        <v>0</v>
      </c>
    </row>
    <row r="36" spans="1:33" ht="31.5" x14ac:dyDescent="0.25">
      <c r="A36" s="41" t="s">
        <v>157</v>
      </c>
      <c r="B36" s="301" t="s">
        <v>156</v>
      </c>
      <c r="C36" s="96">
        <v>0</v>
      </c>
      <c r="D36" s="298">
        <v>0</v>
      </c>
      <c r="E36" s="96">
        <f t="shared" si="0"/>
        <v>0</v>
      </c>
      <c r="F36" s="96">
        <f t="shared" si="1"/>
        <v>0</v>
      </c>
      <c r="G36" s="96">
        <f t="shared" si="2"/>
        <v>0</v>
      </c>
      <c r="H36" s="96">
        <v>0</v>
      </c>
      <c r="I36" s="298">
        <v>0</v>
      </c>
      <c r="J36" s="302">
        <v>0</v>
      </c>
      <c r="K36" s="96" t="s">
        <v>543</v>
      </c>
      <c r="L36" s="298">
        <v>0</v>
      </c>
      <c r="M36" s="298">
        <v>0</v>
      </c>
      <c r="N36" s="96">
        <v>0</v>
      </c>
      <c r="O36" s="96" t="s">
        <v>543</v>
      </c>
      <c r="P36" s="298">
        <v>0</v>
      </c>
      <c r="Q36" s="298">
        <v>0</v>
      </c>
      <c r="R36" s="96">
        <v>0</v>
      </c>
      <c r="S36" s="96" t="s">
        <v>543</v>
      </c>
      <c r="T36" s="298">
        <v>0</v>
      </c>
      <c r="U36" s="298">
        <v>0</v>
      </c>
      <c r="V36" s="96">
        <v>0</v>
      </c>
      <c r="W36" s="96" t="s">
        <v>543</v>
      </c>
      <c r="X36" s="298">
        <v>0</v>
      </c>
      <c r="Y36" s="298">
        <v>0</v>
      </c>
      <c r="Z36" s="96">
        <v>0</v>
      </c>
      <c r="AA36" s="96" t="s">
        <v>543</v>
      </c>
      <c r="AB36" s="298">
        <v>0</v>
      </c>
      <c r="AC36" s="298">
        <v>0</v>
      </c>
      <c r="AD36" s="96">
        <v>0</v>
      </c>
      <c r="AE36" s="96">
        <f t="shared" si="4"/>
        <v>0</v>
      </c>
    </row>
    <row r="37" spans="1:33" x14ac:dyDescent="0.25">
      <c r="A37" s="41" t="s">
        <v>155</v>
      </c>
      <c r="B37" s="301" t="s">
        <v>145</v>
      </c>
      <c r="C37" s="96">
        <v>10</v>
      </c>
      <c r="D37" s="298">
        <v>10</v>
      </c>
      <c r="E37" s="96">
        <f t="shared" si="0"/>
        <v>10</v>
      </c>
      <c r="F37" s="96">
        <f t="shared" si="1"/>
        <v>10</v>
      </c>
      <c r="G37" s="96">
        <f t="shared" si="2"/>
        <v>10</v>
      </c>
      <c r="H37" s="96">
        <v>0</v>
      </c>
      <c r="I37" s="298">
        <v>0</v>
      </c>
      <c r="J37" s="302">
        <v>0</v>
      </c>
      <c r="K37" s="96" t="s">
        <v>543</v>
      </c>
      <c r="L37" s="298">
        <v>0</v>
      </c>
      <c r="M37" s="298">
        <v>0</v>
      </c>
      <c r="N37" s="96">
        <v>0</v>
      </c>
      <c r="O37" s="96" t="s">
        <v>543</v>
      </c>
      <c r="P37" s="298">
        <v>0</v>
      </c>
      <c r="Q37" s="298">
        <v>0</v>
      </c>
      <c r="R37" s="96">
        <v>0</v>
      </c>
      <c r="S37" s="96" t="s">
        <v>543</v>
      </c>
      <c r="T37" s="298">
        <v>0</v>
      </c>
      <c r="U37" s="298">
        <v>0</v>
      </c>
      <c r="V37" s="96">
        <v>0</v>
      </c>
      <c r="W37" s="96" t="s">
        <v>543</v>
      </c>
      <c r="X37" s="298">
        <v>0</v>
      </c>
      <c r="Y37" s="298">
        <v>0</v>
      </c>
      <c r="Z37" s="96">
        <v>10</v>
      </c>
      <c r="AA37" s="96" t="s">
        <v>543</v>
      </c>
      <c r="AB37" s="298">
        <v>10</v>
      </c>
      <c r="AC37" s="298">
        <v>4</v>
      </c>
      <c r="AD37" s="96">
        <v>10</v>
      </c>
      <c r="AE37" s="96">
        <f t="shared" si="4"/>
        <v>10</v>
      </c>
    </row>
    <row r="38" spans="1:33" x14ac:dyDescent="0.25">
      <c r="A38" s="41" t="s">
        <v>154</v>
      </c>
      <c r="B38" s="301" t="s">
        <v>143</v>
      </c>
      <c r="C38" s="96">
        <v>0</v>
      </c>
      <c r="D38" s="298">
        <v>0</v>
      </c>
      <c r="E38" s="96">
        <f t="shared" si="0"/>
        <v>0</v>
      </c>
      <c r="F38" s="96">
        <f t="shared" si="1"/>
        <v>0</v>
      </c>
      <c r="G38" s="96">
        <f t="shared" si="2"/>
        <v>0</v>
      </c>
      <c r="H38" s="96">
        <v>0</v>
      </c>
      <c r="I38" s="298">
        <v>0</v>
      </c>
      <c r="J38" s="302">
        <v>0</v>
      </c>
      <c r="K38" s="96" t="s">
        <v>543</v>
      </c>
      <c r="L38" s="298">
        <v>0</v>
      </c>
      <c r="M38" s="298">
        <v>0</v>
      </c>
      <c r="N38" s="96">
        <v>0</v>
      </c>
      <c r="O38" s="96" t="s">
        <v>543</v>
      </c>
      <c r="P38" s="298">
        <v>0</v>
      </c>
      <c r="Q38" s="298">
        <v>0</v>
      </c>
      <c r="R38" s="96">
        <v>0</v>
      </c>
      <c r="S38" s="96" t="s">
        <v>543</v>
      </c>
      <c r="T38" s="298">
        <v>0</v>
      </c>
      <c r="U38" s="298">
        <v>0</v>
      </c>
      <c r="V38" s="96">
        <v>0</v>
      </c>
      <c r="W38" s="96" t="s">
        <v>543</v>
      </c>
      <c r="X38" s="298">
        <v>0</v>
      </c>
      <c r="Y38" s="298">
        <v>0</v>
      </c>
      <c r="Z38" s="96">
        <v>0</v>
      </c>
      <c r="AA38" s="96" t="s">
        <v>543</v>
      </c>
      <c r="AB38" s="298">
        <v>0</v>
      </c>
      <c r="AC38" s="298">
        <v>0</v>
      </c>
      <c r="AD38" s="96">
        <v>0</v>
      </c>
      <c r="AE38" s="96">
        <f t="shared" si="4"/>
        <v>0</v>
      </c>
    </row>
    <row r="39" spans="1:33" ht="31.5" x14ac:dyDescent="0.25">
      <c r="A39" s="41" t="s">
        <v>153</v>
      </c>
      <c r="B39" s="25" t="s">
        <v>141</v>
      </c>
      <c r="C39" s="96">
        <v>0</v>
      </c>
      <c r="D39" s="298">
        <v>0</v>
      </c>
      <c r="E39" s="96">
        <f t="shared" si="0"/>
        <v>0</v>
      </c>
      <c r="F39" s="96">
        <f t="shared" si="1"/>
        <v>0</v>
      </c>
      <c r="G39" s="96">
        <f t="shared" si="2"/>
        <v>0</v>
      </c>
      <c r="H39" s="96">
        <v>0</v>
      </c>
      <c r="I39" s="298">
        <v>0</v>
      </c>
      <c r="J39" s="96">
        <v>0</v>
      </c>
      <c r="K39" s="96" t="s">
        <v>543</v>
      </c>
      <c r="L39" s="298">
        <v>0</v>
      </c>
      <c r="M39" s="298">
        <v>0</v>
      </c>
      <c r="N39" s="96">
        <v>0</v>
      </c>
      <c r="O39" s="96" t="s">
        <v>543</v>
      </c>
      <c r="P39" s="298">
        <v>0</v>
      </c>
      <c r="Q39" s="298">
        <v>0</v>
      </c>
      <c r="R39" s="96">
        <v>0</v>
      </c>
      <c r="S39" s="96" t="s">
        <v>543</v>
      </c>
      <c r="T39" s="298">
        <v>0</v>
      </c>
      <c r="U39" s="298">
        <v>0</v>
      </c>
      <c r="V39" s="96">
        <v>0</v>
      </c>
      <c r="W39" s="96" t="s">
        <v>543</v>
      </c>
      <c r="X39" s="298">
        <v>0</v>
      </c>
      <c r="Y39" s="298">
        <v>0</v>
      </c>
      <c r="Z39" s="96">
        <v>0</v>
      </c>
      <c r="AA39" s="96" t="s">
        <v>543</v>
      </c>
      <c r="AB39" s="298">
        <v>0</v>
      </c>
      <c r="AC39" s="298">
        <v>0</v>
      </c>
      <c r="AD39" s="96">
        <v>0</v>
      </c>
      <c r="AE39" s="96">
        <f t="shared" si="4"/>
        <v>0</v>
      </c>
    </row>
    <row r="40" spans="1:33" ht="31.5" x14ac:dyDescent="0.25">
      <c r="A40" s="41" t="s">
        <v>152</v>
      </c>
      <c r="B40" s="25" t="s">
        <v>139</v>
      </c>
      <c r="C40" s="96">
        <v>0</v>
      </c>
      <c r="D40" s="298">
        <v>0</v>
      </c>
      <c r="E40" s="96">
        <f t="shared" si="0"/>
        <v>0</v>
      </c>
      <c r="F40" s="96">
        <f t="shared" si="1"/>
        <v>0</v>
      </c>
      <c r="G40" s="96">
        <f t="shared" si="2"/>
        <v>0</v>
      </c>
      <c r="H40" s="96">
        <v>0</v>
      </c>
      <c r="I40" s="298">
        <v>0</v>
      </c>
      <c r="J40" s="96">
        <v>0</v>
      </c>
      <c r="K40" s="96" t="s">
        <v>543</v>
      </c>
      <c r="L40" s="298">
        <v>0</v>
      </c>
      <c r="M40" s="298">
        <v>0</v>
      </c>
      <c r="N40" s="96">
        <v>0</v>
      </c>
      <c r="O40" s="96" t="s">
        <v>543</v>
      </c>
      <c r="P40" s="298">
        <v>0</v>
      </c>
      <c r="Q40" s="298">
        <v>0</v>
      </c>
      <c r="R40" s="96">
        <v>0</v>
      </c>
      <c r="S40" s="96" t="s">
        <v>543</v>
      </c>
      <c r="T40" s="298">
        <v>0</v>
      </c>
      <c r="U40" s="298">
        <v>0</v>
      </c>
      <c r="V40" s="96">
        <v>0</v>
      </c>
      <c r="W40" s="96" t="s">
        <v>543</v>
      </c>
      <c r="X40" s="298">
        <v>0</v>
      </c>
      <c r="Y40" s="298">
        <v>0</v>
      </c>
      <c r="Z40" s="96">
        <v>0</v>
      </c>
      <c r="AA40" s="96" t="s">
        <v>543</v>
      </c>
      <c r="AB40" s="298">
        <v>0</v>
      </c>
      <c r="AC40" s="298">
        <v>0</v>
      </c>
      <c r="AD40" s="96">
        <v>0</v>
      </c>
      <c r="AE40" s="96">
        <f t="shared" si="4"/>
        <v>0</v>
      </c>
    </row>
    <row r="41" spans="1:33" x14ac:dyDescent="0.25">
      <c r="A41" s="41" t="s">
        <v>151</v>
      </c>
      <c r="B41" s="25" t="s">
        <v>137</v>
      </c>
      <c r="C41" s="96">
        <v>0</v>
      </c>
      <c r="D41" s="298">
        <v>0</v>
      </c>
      <c r="E41" s="96">
        <f t="shared" si="0"/>
        <v>0</v>
      </c>
      <c r="F41" s="96">
        <f t="shared" si="1"/>
        <v>0</v>
      </c>
      <c r="G41" s="96">
        <f t="shared" si="2"/>
        <v>0</v>
      </c>
      <c r="H41" s="96">
        <v>0</v>
      </c>
      <c r="I41" s="298">
        <v>0</v>
      </c>
      <c r="J41" s="96">
        <v>0</v>
      </c>
      <c r="K41" s="96" t="s">
        <v>543</v>
      </c>
      <c r="L41" s="298">
        <v>0</v>
      </c>
      <c r="M41" s="298">
        <v>0</v>
      </c>
      <c r="N41" s="96">
        <v>0</v>
      </c>
      <c r="O41" s="96" t="s">
        <v>543</v>
      </c>
      <c r="P41" s="298">
        <v>0</v>
      </c>
      <c r="Q41" s="298">
        <v>0</v>
      </c>
      <c r="R41" s="96">
        <v>0</v>
      </c>
      <c r="S41" s="96" t="s">
        <v>543</v>
      </c>
      <c r="T41" s="298">
        <v>0</v>
      </c>
      <c r="U41" s="298">
        <v>0</v>
      </c>
      <c r="V41" s="96">
        <v>0</v>
      </c>
      <c r="W41" s="96" t="s">
        <v>543</v>
      </c>
      <c r="X41" s="298">
        <v>0</v>
      </c>
      <c r="Y41" s="298">
        <v>0</v>
      </c>
      <c r="Z41" s="96">
        <v>0</v>
      </c>
      <c r="AA41" s="96" t="s">
        <v>543</v>
      </c>
      <c r="AB41" s="298">
        <v>0</v>
      </c>
      <c r="AC41" s="298">
        <v>0</v>
      </c>
      <c r="AD41" s="96">
        <v>0</v>
      </c>
      <c r="AE41" s="96">
        <f t="shared" si="4"/>
        <v>0</v>
      </c>
    </row>
    <row r="42" spans="1:33" ht="18.75" x14ac:dyDescent="0.25">
      <c r="A42" s="41" t="s">
        <v>150</v>
      </c>
      <c r="B42" s="301" t="s">
        <v>556</v>
      </c>
      <c r="C42" s="96">
        <v>20</v>
      </c>
      <c r="D42" s="298">
        <v>20</v>
      </c>
      <c r="E42" s="96">
        <f t="shared" si="0"/>
        <v>20</v>
      </c>
      <c r="F42" s="96">
        <f t="shared" si="1"/>
        <v>20</v>
      </c>
      <c r="G42" s="96">
        <f t="shared" si="2"/>
        <v>20</v>
      </c>
      <c r="H42" s="96">
        <v>0</v>
      </c>
      <c r="I42" s="298">
        <v>0</v>
      </c>
      <c r="J42" s="302">
        <v>0</v>
      </c>
      <c r="K42" s="96" t="s">
        <v>543</v>
      </c>
      <c r="L42" s="298">
        <v>0</v>
      </c>
      <c r="M42" s="298">
        <v>0</v>
      </c>
      <c r="N42" s="96">
        <v>0</v>
      </c>
      <c r="O42" s="96" t="s">
        <v>543</v>
      </c>
      <c r="P42" s="298">
        <v>0</v>
      </c>
      <c r="Q42" s="298">
        <v>0</v>
      </c>
      <c r="R42" s="96">
        <v>0</v>
      </c>
      <c r="S42" s="96" t="s">
        <v>543</v>
      </c>
      <c r="T42" s="298">
        <v>0</v>
      </c>
      <c r="U42" s="298">
        <v>0</v>
      </c>
      <c r="V42" s="96">
        <v>0</v>
      </c>
      <c r="W42" s="96" t="s">
        <v>543</v>
      </c>
      <c r="X42" s="298">
        <v>0</v>
      </c>
      <c r="Y42" s="298">
        <v>0</v>
      </c>
      <c r="Z42" s="96">
        <v>0</v>
      </c>
      <c r="AA42" s="96" t="s">
        <v>543</v>
      </c>
      <c r="AB42" s="298">
        <v>0</v>
      </c>
      <c r="AC42" s="298">
        <v>0</v>
      </c>
      <c r="AD42" s="96">
        <v>0</v>
      </c>
      <c r="AE42" s="96">
        <f t="shared" si="4"/>
        <v>0</v>
      </c>
    </row>
    <row r="43" spans="1:33" x14ac:dyDescent="0.25">
      <c r="A43" s="41" t="s">
        <v>59</v>
      </c>
      <c r="B43" s="25" t="s">
        <v>149</v>
      </c>
      <c r="C43" s="96">
        <v>0</v>
      </c>
      <c r="D43" s="298">
        <v>0</v>
      </c>
      <c r="E43" s="96">
        <f t="shared" si="0"/>
        <v>0</v>
      </c>
      <c r="F43" s="96">
        <f t="shared" si="1"/>
        <v>0</v>
      </c>
      <c r="G43" s="96">
        <f t="shared" si="2"/>
        <v>0</v>
      </c>
      <c r="H43" s="96">
        <v>0</v>
      </c>
      <c r="I43" s="298">
        <v>0</v>
      </c>
      <c r="J43" s="96">
        <v>0</v>
      </c>
      <c r="K43" s="96" t="s">
        <v>543</v>
      </c>
      <c r="L43" s="298">
        <v>0</v>
      </c>
      <c r="M43" s="298">
        <v>0</v>
      </c>
      <c r="N43" s="96">
        <v>0</v>
      </c>
      <c r="O43" s="96" t="s">
        <v>543</v>
      </c>
      <c r="P43" s="298">
        <v>0</v>
      </c>
      <c r="Q43" s="298">
        <v>0</v>
      </c>
      <c r="R43" s="96">
        <v>0</v>
      </c>
      <c r="S43" s="96" t="s">
        <v>543</v>
      </c>
      <c r="T43" s="298">
        <v>0</v>
      </c>
      <c r="U43" s="298">
        <v>0</v>
      </c>
      <c r="V43" s="96">
        <v>0</v>
      </c>
      <c r="W43" s="96" t="s">
        <v>543</v>
      </c>
      <c r="X43" s="298">
        <v>0</v>
      </c>
      <c r="Y43" s="298">
        <v>0</v>
      </c>
      <c r="Z43" s="96">
        <v>0</v>
      </c>
      <c r="AA43" s="96" t="s">
        <v>543</v>
      </c>
      <c r="AB43" s="298">
        <v>0</v>
      </c>
      <c r="AC43" s="298">
        <v>0</v>
      </c>
      <c r="AD43" s="96">
        <v>0</v>
      </c>
      <c r="AE43" s="96">
        <f t="shared" si="4"/>
        <v>0</v>
      </c>
    </row>
    <row r="44" spans="1:33" x14ac:dyDescent="0.25">
      <c r="A44" s="41" t="s">
        <v>148</v>
      </c>
      <c r="B44" s="25" t="s">
        <v>147</v>
      </c>
      <c r="C44" s="96">
        <v>0</v>
      </c>
      <c r="D44" s="298">
        <v>0</v>
      </c>
      <c r="E44" s="96">
        <f t="shared" si="0"/>
        <v>0</v>
      </c>
      <c r="F44" s="96">
        <f t="shared" si="1"/>
        <v>0</v>
      </c>
      <c r="G44" s="96">
        <f t="shared" si="2"/>
        <v>0</v>
      </c>
      <c r="H44" s="96">
        <v>0</v>
      </c>
      <c r="I44" s="298">
        <v>0</v>
      </c>
      <c r="J44" s="96">
        <v>0</v>
      </c>
      <c r="K44" s="96" t="s">
        <v>543</v>
      </c>
      <c r="L44" s="298">
        <v>0</v>
      </c>
      <c r="M44" s="298">
        <v>0</v>
      </c>
      <c r="N44" s="96">
        <v>0</v>
      </c>
      <c r="O44" s="96" t="s">
        <v>543</v>
      </c>
      <c r="P44" s="298">
        <v>0</v>
      </c>
      <c r="Q44" s="298">
        <v>0</v>
      </c>
      <c r="R44" s="96">
        <v>0</v>
      </c>
      <c r="S44" s="96" t="s">
        <v>543</v>
      </c>
      <c r="T44" s="298">
        <v>0</v>
      </c>
      <c r="U44" s="298">
        <v>0</v>
      </c>
      <c r="V44" s="96">
        <v>0</v>
      </c>
      <c r="W44" s="96" t="s">
        <v>543</v>
      </c>
      <c r="X44" s="298">
        <v>0</v>
      </c>
      <c r="Y44" s="298">
        <v>0</v>
      </c>
      <c r="Z44" s="96">
        <v>0</v>
      </c>
      <c r="AA44" s="96" t="s">
        <v>543</v>
      </c>
      <c r="AB44" s="298">
        <v>0</v>
      </c>
      <c r="AC44" s="298">
        <v>0</v>
      </c>
      <c r="AD44" s="96">
        <v>0</v>
      </c>
      <c r="AE44" s="96">
        <f t="shared" si="4"/>
        <v>0</v>
      </c>
    </row>
    <row r="45" spans="1:33" x14ac:dyDescent="0.25">
      <c r="A45" s="41" t="s">
        <v>146</v>
      </c>
      <c r="B45" s="25" t="s">
        <v>145</v>
      </c>
      <c r="C45" s="96">
        <v>10</v>
      </c>
      <c r="D45" s="298">
        <v>10</v>
      </c>
      <c r="E45" s="96">
        <f t="shared" si="0"/>
        <v>10</v>
      </c>
      <c r="F45" s="96">
        <f t="shared" si="1"/>
        <v>10</v>
      </c>
      <c r="G45" s="96">
        <f t="shared" si="2"/>
        <v>10</v>
      </c>
      <c r="H45" s="96">
        <v>0</v>
      </c>
      <c r="I45" s="298">
        <v>0</v>
      </c>
      <c r="J45" s="96">
        <v>0</v>
      </c>
      <c r="K45" s="96" t="s">
        <v>543</v>
      </c>
      <c r="L45" s="298">
        <v>0</v>
      </c>
      <c r="M45" s="298">
        <v>0</v>
      </c>
      <c r="N45" s="96">
        <v>0</v>
      </c>
      <c r="O45" s="96" t="s">
        <v>543</v>
      </c>
      <c r="P45" s="298">
        <v>0</v>
      </c>
      <c r="Q45" s="298">
        <v>0</v>
      </c>
      <c r="R45" s="96">
        <v>0</v>
      </c>
      <c r="S45" s="96" t="s">
        <v>543</v>
      </c>
      <c r="T45" s="298">
        <v>0</v>
      </c>
      <c r="U45" s="298">
        <v>0</v>
      </c>
      <c r="V45" s="96">
        <v>0</v>
      </c>
      <c r="W45" s="96" t="s">
        <v>543</v>
      </c>
      <c r="X45" s="298">
        <v>0</v>
      </c>
      <c r="Y45" s="298">
        <v>0</v>
      </c>
      <c r="Z45" s="96">
        <v>10</v>
      </c>
      <c r="AA45" s="96" t="s">
        <v>543</v>
      </c>
      <c r="AB45" s="298">
        <v>10</v>
      </c>
      <c r="AC45" s="298">
        <v>4</v>
      </c>
      <c r="AD45" s="96">
        <v>10</v>
      </c>
      <c r="AE45" s="96">
        <f t="shared" si="4"/>
        <v>10</v>
      </c>
    </row>
    <row r="46" spans="1:33" x14ac:dyDescent="0.25">
      <c r="A46" s="41" t="s">
        <v>144</v>
      </c>
      <c r="B46" s="25" t="s">
        <v>143</v>
      </c>
      <c r="C46" s="96">
        <v>0</v>
      </c>
      <c r="D46" s="298">
        <v>0</v>
      </c>
      <c r="E46" s="96">
        <f t="shared" si="0"/>
        <v>0</v>
      </c>
      <c r="F46" s="96">
        <f t="shared" si="1"/>
        <v>0</v>
      </c>
      <c r="G46" s="96">
        <f t="shared" si="2"/>
        <v>0</v>
      </c>
      <c r="H46" s="96">
        <v>0</v>
      </c>
      <c r="I46" s="298">
        <v>0</v>
      </c>
      <c r="J46" s="96">
        <v>0</v>
      </c>
      <c r="K46" s="96" t="s">
        <v>543</v>
      </c>
      <c r="L46" s="298">
        <v>0</v>
      </c>
      <c r="M46" s="298">
        <v>0</v>
      </c>
      <c r="N46" s="96">
        <v>0</v>
      </c>
      <c r="O46" s="96" t="s">
        <v>543</v>
      </c>
      <c r="P46" s="298">
        <v>0</v>
      </c>
      <c r="Q46" s="298">
        <v>0</v>
      </c>
      <c r="R46" s="96">
        <v>0</v>
      </c>
      <c r="S46" s="96" t="s">
        <v>543</v>
      </c>
      <c r="T46" s="298">
        <v>0</v>
      </c>
      <c r="U46" s="298">
        <v>0</v>
      </c>
      <c r="V46" s="96">
        <v>0</v>
      </c>
      <c r="W46" s="96" t="s">
        <v>543</v>
      </c>
      <c r="X46" s="298">
        <v>0</v>
      </c>
      <c r="Y46" s="298">
        <v>0</v>
      </c>
      <c r="Z46" s="96">
        <v>0</v>
      </c>
      <c r="AA46" s="96" t="s">
        <v>543</v>
      </c>
      <c r="AB46" s="298">
        <v>0</v>
      </c>
      <c r="AC46" s="298">
        <v>0</v>
      </c>
      <c r="AD46" s="96">
        <v>0</v>
      </c>
      <c r="AE46" s="96">
        <f t="shared" si="4"/>
        <v>0</v>
      </c>
    </row>
    <row r="47" spans="1:33" ht="31.5" x14ac:dyDescent="0.25">
      <c r="A47" s="41" t="s">
        <v>142</v>
      </c>
      <c r="B47" s="25" t="s">
        <v>141</v>
      </c>
      <c r="C47" s="96">
        <v>0</v>
      </c>
      <c r="D47" s="298">
        <v>0</v>
      </c>
      <c r="E47" s="96">
        <f t="shared" si="0"/>
        <v>0</v>
      </c>
      <c r="F47" s="96">
        <f t="shared" si="1"/>
        <v>0</v>
      </c>
      <c r="G47" s="96">
        <f t="shared" si="2"/>
        <v>0</v>
      </c>
      <c r="H47" s="96">
        <v>0</v>
      </c>
      <c r="I47" s="298">
        <v>0</v>
      </c>
      <c r="J47" s="96">
        <v>0</v>
      </c>
      <c r="K47" s="96" t="s">
        <v>543</v>
      </c>
      <c r="L47" s="298">
        <v>0</v>
      </c>
      <c r="M47" s="298">
        <v>0</v>
      </c>
      <c r="N47" s="96">
        <v>0</v>
      </c>
      <c r="O47" s="96" t="s">
        <v>543</v>
      </c>
      <c r="P47" s="298">
        <v>0</v>
      </c>
      <c r="Q47" s="298">
        <v>0</v>
      </c>
      <c r="R47" s="96">
        <v>0</v>
      </c>
      <c r="S47" s="96" t="s">
        <v>543</v>
      </c>
      <c r="T47" s="298">
        <v>0</v>
      </c>
      <c r="U47" s="298">
        <v>0</v>
      </c>
      <c r="V47" s="96">
        <v>0</v>
      </c>
      <c r="W47" s="96" t="s">
        <v>543</v>
      </c>
      <c r="X47" s="298">
        <v>0</v>
      </c>
      <c r="Y47" s="298">
        <v>0</v>
      </c>
      <c r="Z47" s="96">
        <v>0</v>
      </c>
      <c r="AA47" s="96" t="s">
        <v>543</v>
      </c>
      <c r="AB47" s="298">
        <v>0</v>
      </c>
      <c r="AC47" s="298">
        <v>0</v>
      </c>
      <c r="AD47" s="96">
        <v>0</v>
      </c>
      <c r="AE47" s="96">
        <f t="shared" si="4"/>
        <v>0</v>
      </c>
    </row>
    <row r="48" spans="1:33" ht="31.5" x14ac:dyDescent="0.25">
      <c r="A48" s="41" t="s">
        <v>140</v>
      </c>
      <c r="B48" s="25" t="s">
        <v>139</v>
      </c>
      <c r="C48" s="96">
        <v>0</v>
      </c>
      <c r="D48" s="298">
        <v>0</v>
      </c>
      <c r="E48" s="96">
        <f t="shared" si="0"/>
        <v>0</v>
      </c>
      <c r="F48" s="96">
        <f t="shared" si="1"/>
        <v>0</v>
      </c>
      <c r="G48" s="96">
        <f t="shared" si="2"/>
        <v>0</v>
      </c>
      <c r="H48" s="96">
        <v>0</v>
      </c>
      <c r="I48" s="298">
        <v>0</v>
      </c>
      <c r="J48" s="96">
        <v>0</v>
      </c>
      <c r="K48" s="96" t="s">
        <v>543</v>
      </c>
      <c r="L48" s="298">
        <v>0</v>
      </c>
      <c r="M48" s="298">
        <v>0</v>
      </c>
      <c r="N48" s="96">
        <v>0</v>
      </c>
      <c r="O48" s="96" t="s">
        <v>543</v>
      </c>
      <c r="P48" s="298">
        <v>0</v>
      </c>
      <c r="Q48" s="298">
        <v>0</v>
      </c>
      <c r="R48" s="96">
        <v>0</v>
      </c>
      <c r="S48" s="96" t="s">
        <v>543</v>
      </c>
      <c r="T48" s="298">
        <v>0</v>
      </c>
      <c r="U48" s="298">
        <v>0</v>
      </c>
      <c r="V48" s="96">
        <v>0</v>
      </c>
      <c r="W48" s="96" t="s">
        <v>543</v>
      </c>
      <c r="X48" s="298">
        <v>0</v>
      </c>
      <c r="Y48" s="298">
        <v>0</v>
      </c>
      <c r="Z48" s="96">
        <v>0</v>
      </c>
      <c r="AA48" s="96" t="s">
        <v>543</v>
      </c>
      <c r="AB48" s="298">
        <v>0</v>
      </c>
      <c r="AC48" s="298">
        <v>0</v>
      </c>
      <c r="AD48" s="96">
        <v>0</v>
      </c>
      <c r="AE48" s="96">
        <f t="shared" si="4"/>
        <v>0</v>
      </c>
    </row>
    <row r="49" spans="1:31" x14ac:dyDescent="0.25">
      <c r="A49" s="41" t="s">
        <v>138</v>
      </c>
      <c r="B49" s="25" t="s">
        <v>137</v>
      </c>
      <c r="C49" s="96">
        <v>0</v>
      </c>
      <c r="D49" s="298">
        <v>0</v>
      </c>
      <c r="E49" s="96">
        <f t="shared" si="0"/>
        <v>0</v>
      </c>
      <c r="F49" s="96">
        <f t="shared" si="1"/>
        <v>0</v>
      </c>
      <c r="G49" s="96">
        <f t="shared" si="2"/>
        <v>0</v>
      </c>
      <c r="H49" s="96">
        <v>0</v>
      </c>
      <c r="I49" s="298">
        <v>0</v>
      </c>
      <c r="J49" s="96">
        <v>0</v>
      </c>
      <c r="K49" s="96" t="s">
        <v>543</v>
      </c>
      <c r="L49" s="298">
        <v>0</v>
      </c>
      <c r="M49" s="298">
        <v>0</v>
      </c>
      <c r="N49" s="96">
        <v>0</v>
      </c>
      <c r="O49" s="96" t="s">
        <v>543</v>
      </c>
      <c r="P49" s="298">
        <v>0</v>
      </c>
      <c r="Q49" s="298">
        <v>0</v>
      </c>
      <c r="R49" s="96">
        <v>0</v>
      </c>
      <c r="S49" s="96" t="s">
        <v>543</v>
      </c>
      <c r="T49" s="298">
        <v>0</v>
      </c>
      <c r="U49" s="298">
        <v>0</v>
      </c>
      <c r="V49" s="96">
        <v>0</v>
      </c>
      <c r="W49" s="96" t="s">
        <v>543</v>
      </c>
      <c r="X49" s="298">
        <v>0</v>
      </c>
      <c r="Y49" s="298">
        <v>0</v>
      </c>
      <c r="Z49" s="96">
        <v>0</v>
      </c>
      <c r="AA49" s="96" t="s">
        <v>543</v>
      </c>
      <c r="AB49" s="298">
        <v>0</v>
      </c>
      <c r="AC49" s="298">
        <v>0</v>
      </c>
      <c r="AD49" s="96">
        <v>0</v>
      </c>
      <c r="AE49" s="96">
        <f t="shared" si="4"/>
        <v>0</v>
      </c>
    </row>
    <row r="50" spans="1:31" ht="18.75" x14ac:dyDescent="0.25">
      <c r="A50" s="41" t="s">
        <v>136</v>
      </c>
      <c r="B50" s="301" t="s">
        <v>556</v>
      </c>
      <c r="C50" s="96">
        <v>20</v>
      </c>
      <c r="D50" s="298">
        <v>20</v>
      </c>
      <c r="E50" s="96">
        <f t="shared" si="0"/>
        <v>20</v>
      </c>
      <c r="F50" s="96">
        <f t="shared" si="1"/>
        <v>20</v>
      </c>
      <c r="G50" s="96">
        <f t="shared" si="2"/>
        <v>20</v>
      </c>
      <c r="H50" s="96">
        <v>0</v>
      </c>
      <c r="I50" s="298">
        <v>0</v>
      </c>
      <c r="J50" s="302">
        <v>0</v>
      </c>
      <c r="K50" s="96" t="s">
        <v>543</v>
      </c>
      <c r="L50" s="298">
        <v>0</v>
      </c>
      <c r="M50" s="298">
        <v>0</v>
      </c>
      <c r="N50" s="96">
        <v>0</v>
      </c>
      <c r="O50" s="96" t="s">
        <v>543</v>
      </c>
      <c r="P50" s="298">
        <v>0</v>
      </c>
      <c r="Q50" s="298">
        <v>0</v>
      </c>
      <c r="R50" s="96">
        <v>0</v>
      </c>
      <c r="S50" s="96" t="s">
        <v>543</v>
      </c>
      <c r="T50" s="298">
        <v>0</v>
      </c>
      <c r="U50" s="298">
        <v>0</v>
      </c>
      <c r="V50" s="96">
        <v>0</v>
      </c>
      <c r="W50" s="96" t="s">
        <v>543</v>
      </c>
      <c r="X50" s="298">
        <v>0</v>
      </c>
      <c r="Y50" s="298">
        <v>0</v>
      </c>
      <c r="Z50" s="96">
        <v>0</v>
      </c>
      <c r="AA50" s="96" t="s">
        <v>543</v>
      </c>
      <c r="AB50" s="298">
        <v>0</v>
      </c>
      <c r="AC50" s="298">
        <v>0</v>
      </c>
      <c r="AD50" s="96">
        <v>0</v>
      </c>
      <c r="AE50" s="96">
        <f t="shared" si="4"/>
        <v>0</v>
      </c>
    </row>
    <row r="51" spans="1:31" ht="35.25" customHeight="1" x14ac:dyDescent="0.25">
      <c r="A51" s="41" t="s">
        <v>57</v>
      </c>
      <c r="B51" s="25" t="s">
        <v>135</v>
      </c>
      <c r="C51" s="96">
        <v>0</v>
      </c>
      <c r="D51" s="298">
        <v>0</v>
      </c>
      <c r="E51" s="96">
        <f t="shared" si="0"/>
        <v>0</v>
      </c>
      <c r="F51" s="96">
        <f t="shared" si="1"/>
        <v>0</v>
      </c>
      <c r="G51" s="96">
        <f t="shared" si="2"/>
        <v>0</v>
      </c>
      <c r="H51" s="96">
        <v>0</v>
      </c>
      <c r="I51" s="298">
        <v>0</v>
      </c>
      <c r="J51" s="96">
        <v>0</v>
      </c>
      <c r="K51" s="96" t="s">
        <v>543</v>
      </c>
      <c r="L51" s="298">
        <v>0</v>
      </c>
      <c r="M51" s="298">
        <v>0</v>
      </c>
      <c r="N51" s="96">
        <v>0</v>
      </c>
      <c r="O51" s="96" t="s">
        <v>543</v>
      </c>
      <c r="P51" s="298">
        <v>0</v>
      </c>
      <c r="Q51" s="298">
        <v>0</v>
      </c>
      <c r="R51" s="96">
        <v>0</v>
      </c>
      <c r="S51" s="96" t="s">
        <v>543</v>
      </c>
      <c r="T51" s="298">
        <v>0</v>
      </c>
      <c r="U51" s="298">
        <v>0</v>
      </c>
      <c r="V51" s="96">
        <v>0</v>
      </c>
      <c r="W51" s="96" t="s">
        <v>543</v>
      </c>
      <c r="X51" s="298">
        <v>0</v>
      </c>
      <c r="Y51" s="298">
        <v>0</v>
      </c>
      <c r="Z51" s="96">
        <v>0</v>
      </c>
      <c r="AA51" s="96" t="s">
        <v>543</v>
      </c>
      <c r="AB51" s="298">
        <v>0</v>
      </c>
      <c r="AC51" s="298">
        <v>0</v>
      </c>
      <c r="AD51" s="96">
        <v>0</v>
      </c>
      <c r="AE51" s="96">
        <f t="shared" si="4"/>
        <v>0</v>
      </c>
    </row>
    <row r="52" spans="1:31" x14ac:dyDescent="0.25">
      <c r="A52" s="41" t="s">
        <v>134</v>
      </c>
      <c r="B52" s="25" t="s">
        <v>133</v>
      </c>
      <c r="C52" s="96">
        <v>185.57182606594</v>
      </c>
      <c r="D52" s="298">
        <f>D30</f>
        <v>185.57182606594</v>
      </c>
      <c r="E52" s="96">
        <f t="shared" si="0"/>
        <v>185.57182606594</v>
      </c>
      <c r="F52" s="96">
        <f t="shared" si="1"/>
        <v>185.57182606594</v>
      </c>
      <c r="G52" s="96">
        <f t="shared" si="2"/>
        <v>185.57182606594</v>
      </c>
      <c r="H52" s="96">
        <v>0</v>
      </c>
      <c r="I52" s="298">
        <v>0</v>
      </c>
      <c r="J52" s="96">
        <v>0</v>
      </c>
      <c r="K52" s="96" t="s">
        <v>543</v>
      </c>
      <c r="L52" s="298">
        <v>0</v>
      </c>
      <c r="M52" s="298">
        <v>0</v>
      </c>
      <c r="N52" s="96">
        <v>0</v>
      </c>
      <c r="O52" s="96" t="s">
        <v>543</v>
      </c>
      <c r="P52" s="298">
        <v>0</v>
      </c>
      <c r="Q52" s="298">
        <v>0</v>
      </c>
      <c r="R52" s="96">
        <v>0</v>
      </c>
      <c r="S52" s="96" t="s">
        <v>543</v>
      </c>
      <c r="T52" s="298">
        <v>0</v>
      </c>
      <c r="U52" s="298">
        <v>0</v>
      </c>
      <c r="V52" s="96">
        <v>0</v>
      </c>
      <c r="W52" s="96" t="s">
        <v>543</v>
      </c>
      <c r="X52" s="298">
        <v>0</v>
      </c>
      <c r="Y52" s="298">
        <v>0</v>
      </c>
      <c r="Z52" s="96">
        <v>185.57182606594</v>
      </c>
      <c r="AA52" s="96" t="s">
        <v>543</v>
      </c>
      <c r="AB52" s="298">
        <v>185.57182606594</v>
      </c>
      <c r="AC52" s="298">
        <v>0</v>
      </c>
      <c r="AD52" s="96">
        <v>185.57182606594</v>
      </c>
      <c r="AE52" s="96">
        <f t="shared" si="4"/>
        <v>185.57182606594</v>
      </c>
    </row>
    <row r="53" spans="1:31" x14ac:dyDescent="0.25">
      <c r="A53" s="41" t="s">
        <v>132</v>
      </c>
      <c r="B53" s="25" t="s">
        <v>126</v>
      </c>
      <c r="C53" s="96">
        <v>0</v>
      </c>
      <c r="D53" s="298">
        <v>0</v>
      </c>
      <c r="E53" s="96">
        <f t="shared" si="0"/>
        <v>0</v>
      </c>
      <c r="F53" s="96">
        <f t="shared" si="1"/>
        <v>0</v>
      </c>
      <c r="G53" s="96">
        <f t="shared" si="2"/>
        <v>0</v>
      </c>
      <c r="H53" s="96">
        <v>0</v>
      </c>
      <c r="I53" s="298">
        <v>0</v>
      </c>
      <c r="J53" s="96">
        <v>0</v>
      </c>
      <c r="K53" s="96" t="s">
        <v>543</v>
      </c>
      <c r="L53" s="298">
        <v>0</v>
      </c>
      <c r="M53" s="298">
        <v>0</v>
      </c>
      <c r="N53" s="96">
        <v>0</v>
      </c>
      <c r="O53" s="96" t="s">
        <v>543</v>
      </c>
      <c r="P53" s="298">
        <v>0</v>
      </c>
      <c r="Q53" s="298">
        <v>0</v>
      </c>
      <c r="R53" s="96">
        <v>0</v>
      </c>
      <c r="S53" s="96" t="s">
        <v>543</v>
      </c>
      <c r="T53" s="298">
        <v>0</v>
      </c>
      <c r="U53" s="298">
        <v>0</v>
      </c>
      <c r="V53" s="96">
        <v>0</v>
      </c>
      <c r="W53" s="96" t="s">
        <v>543</v>
      </c>
      <c r="X53" s="298">
        <v>0</v>
      </c>
      <c r="Y53" s="298">
        <v>0</v>
      </c>
      <c r="Z53" s="96">
        <v>0</v>
      </c>
      <c r="AA53" s="96" t="s">
        <v>543</v>
      </c>
      <c r="AB53" s="298">
        <v>0</v>
      </c>
      <c r="AC53" s="298">
        <v>0</v>
      </c>
      <c r="AD53" s="96">
        <v>0</v>
      </c>
      <c r="AE53" s="96">
        <f t="shared" si="4"/>
        <v>0</v>
      </c>
    </row>
    <row r="54" spans="1:31" x14ac:dyDescent="0.25">
      <c r="A54" s="41" t="s">
        <v>131</v>
      </c>
      <c r="B54" s="301" t="s">
        <v>125</v>
      </c>
      <c r="C54" s="96">
        <v>10</v>
      </c>
      <c r="D54" s="298">
        <v>10</v>
      </c>
      <c r="E54" s="96">
        <f t="shared" si="0"/>
        <v>10</v>
      </c>
      <c r="F54" s="96">
        <f t="shared" si="1"/>
        <v>10</v>
      </c>
      <c r="G54" s="96">
        <f t="shared" si="2"/>
        <v>10</v>
      </c>
      <c r="H54" s="96">
        <v>0</v>
      </c>
      <c r="I54" s="298">
        <v>0</v>
      </c>
      <c r="J54" s="302">
        <v>0</v>
      </c>
      <c r="K54" s="96" t="s">
        <v>543</v>
      </c>
      <c r="L54" s="298">
        <v>0</v>
      </c>
      <c r="M54" s="298">
        <v>0</v>
      </c>
      <c r="N54" s="96">
        <v>0</v>
      </c>
      <c r="O54" s="96" t="s">
        <v>543</v>
      </c>
      <c r="P54" s="298">
        <v>0</v>
      </c>
      <c r="Q54" s="298">
        <v>0</v>
      </c>
      <c r="R54" s="96">
        <v>0</v>
      </c>
      <c r="S54" s="96" t="s">
        <v>543</v>
      </c>
      <c r="T54" s="298">
        <v>0</v>
      </c>
      <c r="U54" s="298">
        <v>0</v>
      </c>
      <c r="V54" s="96">
        <v>0</v>
      </c>
      <c r="W54" s="96" t="s">
        <v>543</v>
      </c>
      <c r="X54" s="298">
        <v>0</v>
      </c>
      <c r="Y54" s="298">
        <v>0</v>
      </c>
      <c r="Z54" s="96">
        <v>10</v>
      </c>
      <c r="AA54" s="96" t="s">
        <v>543</v>
      </c>
      <c r="AB54" s="298">
        <v>10</v>
      </c>
      <c r="AC54" s="298">
        <v>4</v>
      </c>
      <c r="AD54" s="96">
        <v>10</v>
      </c>
      <c r="AE54" s="96">
        <f t="shared" si="4"/>
        <v>10</v>
      </c>
    </row>
    <row r="55" spans="1:31" x14ac:dyDescent="0.25">
      <c r="A55" s="41" t="s">
        <v>130</v>
      </c>
      <c r="B55" s="301" t="s">
        <v>124</v>
      </c>
      <c r="C55" s="96">
        <v>0</v>
      </c>
      <c r="D55" s="298">
        <v>0</v>
      </c>
      <c r="E55" s="96">
        <f t="shared" si="0"/>
        <v>0</v>
      </c>
      <c r="F55" s="96">
        <f t="shared" si="1"/>
        <v>0</v>
      </c>
      <c r="G55" s="96">
        <f t="shared" si="2"/>
        <v>0</v>
      </c>
      <c r="H55" s="96">
        <v>0</v>
      </c>
      <c r="I55" s="298">
        <v>0</v>
      </c>
      <c r="J55" s="302">
        <v>0</v>
      </c>
      <c r="K55" s="96" t="s">
        <v>543</v>
      </c>
      <c r="L55" s="298">
        <v>0</v>
      </c>
      <c r="M55" s="298">
        <v>0</v>
      </c>
      <c r="N55" s="96">
        <v>0</v>
      </c>
      <c r="O55" s="96" t="s">
        <v>543</v>
      </c>
      <c r="P55" s="298">
        <v>0</v>
      </c>
      <c r="Q55" s="298">
        <v>0</v>
      </c>
      <c r="R55" s="96">
        <v>0</v>
      </c>
      <c r="S55" s="96" t="s">
        <v>543</v>
      </c>
      <c r="T55" s="298">
        <v>0</v>
      </c>
      <c r="U55" s="298">
        <v>0</v>
      </c>
      <c r="V55" s="96">
        <v>0</v>
      </c>
      <c r="W55" s="96" t="s">
        <v>543</v>
      </c>
      <c r="X55" s="298">
        <v>0</v>
      </c>
      <c r="Y55" s="298">
        <v>0</v>
      </c>
      <c r="Z55" s="96">
        <v>0</v>
      </c>
      <c r="AA55" s="96" t="s">
        <v>543</v>
      </c>
      <c r="AB55" s="298">
        <v>0</v>
      </c>
      <c r="AC55" s="298">
        <v>0</v>
      </c>
      <c r="AD55" s="96">
        <v>0</v>
      </c>
      <c r="AE55" s="96">
        <f t="shared" si="4"/>
        <v>0</v>
      </c>
    </row>
    <row r="56" spans="1:31" x14ac:dyDescent="0.25">
      <c r="A56" s="41" t="s">
        <v>129</v>
      </c>
      <c r="B56" s="301" t="s">
        <v>123</v>
      </c>
      <c r="C56" s="96">
        <v>0</v>
      </c>
      <c r="D56" s="298">
        <v>0</v>
      </c>
      <c r="E56" s="96">
        <f t="shared" si="0"/>
        <v>0</v>
      </c>
      <c r="F56" s="96">
        <f t="shared" si="1"/>
        <v>0</v>
      </c>
      <c r="G56" s="96">
        <f t="shared" si="2"/>
        <v>0</v>
      </c>
      <c r="H56" s="96">
        <v>0</v>
      </c>
      <c r="I56" s="298">
        <v>0</v>
      </c>
      <c r="J56" s="302">
        <v>0</v>
      </c>
      <c r="K56" s="96" t="s">
        <v>543</v>
      </c>
      <c r="L56" s="298">
        <v>0</v>
      </c>
      <c r="M56" s="298">
        <v>0</v>
      </c>
      <c r="N56" s="96">
        <v>0</v>
      </c>
      <c r="O56" s="96" t="s">
        <v>543</v>
      </c>
      <c r="P56" s="298">
        <v>0</v>
      </c>
      <c r="Q56" s="298">
        <v>0</v>
      </c>
      <c r="R56" s="96">
        <v>0</v>
      </c>
      <c r="S56" s="96" t="s">
        <v>543</v>
      </c>
      <c r="T56" s="298">
        <v>0</v>
      </c>
      <c r="U56" s="298">
        <v>0</v>
      </c>
      <c r="V56" s="96">
        <v>0</v>
      </c>
      <c r="W56" s="96" t="s">
        <v>543</v>
      </c>
      <c r="X56" s="298">
        <v>0</v>
      </c>
      <c r="Y56" s="298">
        <v>0</v>
      </c>
      <c r="Z56" s="96">
        <v>0</v>
      </c>
      <c r="AA56" s="96" t="s">
        <v>543</v>
      </c>
      <c r="AB56" s="298">
        <v>0</v>
      </c>
      <c r="AC56" s="298">
        <v>0</v>
      </c>
      <c r="AD56" s="96">
        <v>0</v>
      </c>
      <c r="AE56" s="96">
        <f t="shared" si="4"/>
        <v>0</v>
      </c>
    </row>
    <row r="57" spans="1:31" ht="18.75" x14ac:dyDescent="0.25">
      <c r="A57" s="41" t="s">
        <v>128</v>
      </c>
      <c r="B57" s="301" t="s">
        <v>556</v>
      </c>
      <c r="C57" s="96">
        <v>0</v>
      </c>
      <c r="D57" s="298">
        <v>0</v>
      </c>
      <c r="E57" s="96">
        <f t="shared" si="0"/>
        <v>0</v>
      </c>
      <c r="F57" s="96">
        <f t="shared" si="1"/>
        <v>0</v>
      </c>
      <c r="G57" s="96">
        <f t="shared" si="2"/>
        <v>0</v>
      </c>
      <c r="H57" s="96">
        <f>C57</f>
        <v>0</v>
      </c>
      <c r="I57" s="298">
        <v>0</v>
      </c>
      <c r="J57" s="302">
        <v>0</v>
      </c>
      <c r="K57" s="96" t="s">
        <v>543</v>
      </c>
      <c r="L57" s="298">
        <v>0</v>
      </c>
      <c r="M57" s="298">
        <v>0</v>
      </c>
      <c r="N57" s="96">
        <v>0</v>
      </c>
      <c r="O57" s="96" t="s">
        <v>543</v>
      </c>
      <c r="P57" s="298">
        <v>0</v>
      </c>
      <c r="Q57" s="298">
        <v>0</v>
      </c>
      <c r="R57" s="96">
        <v>0</v>
      </c>
      <c r="S57" s="96" t="s">
        <v>543</v>
      </c>
      <c r="T57" s="298">
        <v>0</v>
      </c>
      <c r="U57" s="298">
        <v>0</v>
      </c>
      <c r="V57" s="96">
        <v>0</v>
      </c>
      <c r="W57" s="96" t="s">
        <v>543</v>
      </c>
      <c r="X57" s="298">
        <v>0</v>
      </c>
      <c r="Y57" s="298">
        <v>0</v>
      </c>
      <c r="Z57" s="96">
        <v>0</v>
      </c>
      <c r="AA57" s="96" t="s">
        <v>543</v>
      </c>
      <c r="AB57" s="298">
        <v>0</v>
      </c>
      <c r="AC57" s="298">
        <v>0</v>
      </c>
      <c r="AD57" s="96">
        <v>0</v>
      </c>
      <c r="AE57" s="96">
        <f t="shared" si="4"/>
        <v>0</v>
      </c>
    </row>
    <row r="58" spans="1:31" ht="36.75" customHeight="1" x14ac:dyDescent="0.25">
      <c r="A58" s="41" t="s">
        <v>56</v>
      </c>
      <c r="B58" s="301" t="s">
        <v>207</v>
      </c>
      <c r="C58" s="96">
        <v>185.57182606594</v>
      </c>
      <c r="D58" s="298">
        <f>D52</f>
        <v>185.57182606594</v>
      </c>
      <c r="E58" s="96">
        <f t="shared" si="0"/>
        <v>185.57182606594</v>
      </c>
      <c r="F58" s="96">
        <f t="shared" si="1"/>
        <v>185.57182606594</v>
      </c>
      <c r="G58" s="96">
        <f t="shared" si="2"/>
        <v>185.57182606594</v>
      </c>
      <c r="H58" s="96">
        <v>0</v>
      </c>
      <c r="I58" s="298">
        <v>0</v>
      </c>
      <c r="J58" s="302">
        <v>0</v>
      </c>
      <c r="K58" s="96" t="s">
        <v>543</v>
      </c>
      <c r="L58" s="298">
        <v>0</v>
      </c>
      <c r="M58" s="298">
        <v>0</v>
      </c>
      <c r="N58" s="96">
        <v>0</v>
      </c>
      <c r="O58" s="96" t="s">
        <v>543</v>
      </c>
      <c r="P58" s="298">
        <v>0</v>
      </c>
      <c r="Q58" s="298">
        <v>0</v>
      </c>
      <c r="R58" s="96">
        <v>0</v>
      </c>
      <c r="S58" s="96" t="s">
        <v>543</v>
      </c>
      <c r="T58" s="298">
        <v>0</v>
      </c>
      <c r="U58" s="298">
        <v>0</v>
      </c>
      <c r="V58" s="96">
        <v>0</v>
      </c>
      <c r="W58" s="96" t="s">
        <v>543</v>
      </c>
      <c r="X58" s="298">
        <v>0</v>
      </c>
      <c r="Y58" s="298">
        <v>0</v>
      </c>
      <c r="Z58" s="96">
        <v>185.57182606594</v>
      </c>
      <c r="AA58" s="96" t="s">
        <v>543</v>
      </c>
      <c r="AB58" s="298">
        <v>185.57182606594</v>
      </c>
      <c r="AC58" s="298">
        <v>0</v>
      </c>
      <c r="AD58" s="96">
        <v>185.57182606594</v>
      </c>
      <c r="AE58" s="96">
        <f t="shared" si="4"/>
        <v>185.57182606594</v>
      </c>
    </row>
    <row r="59" spans="1:31" x14ac:dyDescent="0.25">
      <c r="A59" s="41" t="s">
        <v>54</v>
      </c>
      <c r="B59" s="25" t="s">
        <v>127</v>
      </c>
      <c r="C59" s="96">
        <v>0</v>
      </c>
      <c r="D59" s="298">
        <v>0</v>
      </c>
      <c r="E59" s="96">
        <f t="shared" si="0"/>
        <v>0</v>
      </c>
      <c r="F59" s="96">
        <f t="shared" si="1"/>
        <v>0</v>
      </c>
      <c r="G59" s="96">
        <f t="shared" si="2"/>
        <v>0</v>
      </c>
      <c r="H59" s="96">
        <v>0</v>
      </c>
      <c r="I59" s="298">
        <v>0</v>
      </c>
      <c r="J59" s="96">
        <v>0</v>
      </c>
      <c r="K59" s="96" t="s">
        <v>543</v>
      </c>
      <c r="L59" s="298">
        <v>0</v>
      </c>
      <c r="M59" s="298">
        <v>0</v>
      </c>
      <c r="N59" s="96">
        <v>0</v>
      </c>
      <c r="O59" s="96" t="s">
        <v>543</v>
      </c>
      <c r="P59" s="298">
        <v>0</v>
      </c>
      <c r="Q59" s="298">
        <v>0</v>
      </c>
      <c r="R59" s="96">
        <v>0</v>
      </c>
      <c r="S59" s="96" t="s">
        <v>543</v>
      </c>
      <c r="T59" s="298">
        <v>0</v>
      </c>
      <c r="U59" s="298">
        <v>0</v>
      </c>
      <c r="V59" s="96">
        <v>0</v>
      </c>
      <c r="W59" s="96" t="s">
        <v>543</v>
      </c>
      <c r="X59" s="298">
        <v>0</v>
      </c>
      <c r="Y59" s="298">
        <v>0</v>
      </c>
      <c r="Z59" s="96">
        <v>0</v>
      </c>
      <c r="AA59" s="96" t="s">
        <v>543</v>
      </c>
      <c r="AB59" s="298">
        <v>0</v>
      </c>
      <c r="AC59" s="298">
        <v>0</v>
      </c>
      <c r="AD59" s="96">
        <v>0</v>
      </c>
      <c r="AE59" s="96">
        <f t="shared" si="4"/>
        <v>0</v>
      </c>
    </row>
    <row r="60" spans="1:31" x14ac:dyDescent="0.25">
      <c r="A60" s="41" t="s">
        <v>201</v>
      </c>
      <c r="B60" s="303" t="s">
        <v>147</v>
      </c>
      <c r="C60" s="96">
        <v>0</v>
      </c>
      <c r="D60" s="298">
        <v>0</v>
      </c>
      <c r="E60" s="96">
        <f t="shared" si="0"/>
        <v>0</v>
      </c>
      <c r="F60" s="96">
        <f t="shared" si="1"/>
        <v>0</v>
      </c>
      <c r="G60" s="96">
        <f t="shared" si="2"/>
        <v>0</v>
      </c>
      <c r="H60" s="96">
        <v>0</v>
      </c>
      <c r="I60" s="298">
        <v>0</v>
      </c>
      <c r="J60" s="304">
        <v>0</v>
      </c>
      <c r="K60" s="96" t="s">
        <v>543</v>
      </c>
      <c r="L60" s="298">
        <v>0</v>
      </c>
      <c r="M60" s="298">
        <v>0</v>
      </c>
      <c r="N60" s="96">
        <v>0</v>
      </c>
      <c r="O60" s="96" t="s">
        <v>543</v>
      </c>
      <c r="P60" s="298">
        <v>0</v>
      </c>
      <c r="Q60" s="298">
        <v>0</v>
      </c>
      <c r="R60" s="96">
        <v>0</v>
      </c>
      <c r="S60" s="96" t="s">
        <v>543</v>
      </c>
      <c r="T60" s="298">
        <v>0</v>
      </c>
      <c r="U60" s="298">
        <v>0</v>
      </c>
      <c r="V60" s="96">
        <v>0</v>
      </c>
      <c r="W60" s="96" t="s">
        <v>543</v>
      </c>
      <c r="X60" s="298">
        <v>0</v>
      </c>
      <c r="Y60" s="298">
        <v>0</v>
      </c>
      <c r="Z60" s="96">
        <v>0</v>
      </c>
      <c r="AA60" s="96" t="s">
        <v>543</v>
      </c>
      <c r="AB60" s="298">
        <v>0</v>
      </c>
      <c r="AC60" s="298">
        <v>0</v>
      </c>
      <c r="AD60" s="96">
        <v>0</v>
      </c>
      <c r="AE60" s="96">
        <f t="shared" si="4"/>
        <v>0</v>
      </c>
    </row>
    <row r="61" spans="1:31" x14ac:dyDescent="0.25">
      <c r="A61" s="41" t="s">
        <v>202</v>
      </c>
      <c r="B61" s="303" t="s">
        <v>145</v>
      </c>
      <c r="C61" s="96">
        <v>0</v>
      </c>
      <c r="D61" s="298">
        <v>0</v>
      </c>
      <c r="E61" s="96">
        <f t="shared" si="0"/>
        <v>0</v>
      </c>
      <c r="F61" s="96">
        <f t="shared" si="1"/>
        <v>0</v>
      </c>
      <c r="G61" s="96">
        <f t="shared" si="2"/>
        <v>0</v>
      </c>
      <c r="H61" s="96">
        <v>0</v>
      </c>
      <c r="I61" s="298">
        <v>0</v>
      </c>
      <c r="J61" s="304">
        <v>0</v>
      </c>
      <c r="K61" s="96" t="s">
        <v>543</v>
      </c>
      <c r="L61" s="298">
        <v>0</v>
      </c>
      <c r="M61" s="298">
        <v>0</v>
      </c>
      <c r="N61" s="96">
        <v>0</v>
      </c>
      <c r="O61" s="96" t="s">
        <v>543</v>
      </c>
      <c r="P61" s="298">
        <v>0</v>
      </c>
      <c r="Q61" s="298">
        <v>0</v>
      </c>
      <c r="R61" s="96">
        <v>0</v>
      </c>
      <c r="S61" s="96" t="s">
        <v>543</v>
      </c>
      <c r="T61" s="298">
        <v>0</v>
      </c>
      <c r="U61" s="298">
        <v>0</v>
      </c>
      <c r="V61" s="96">
        <v>0</v>
      </c>
      <c r="W61" s="96" t="s">
        <v>543</v>
      </c>
      <c r="X61" s="298">
        <v>0</v>
      </c>
      <c r="Y61" s="298">
        <v>0</v>
      </c>
      <c r="Z61" s="96">
        <v>0</v>
      </c>
      <c r="AA61" s="96" t="s">
        <v>543</v>
      </c>
      <c r="AB61" s="298">
        <v>0</v>
      </c>
      <c r="AC61" s="298">
        <v>0</v>
      </c>
      <c r="AD61" s="96">
        <v>0</v>
      </c>
      <c r="AE61" s="96">
        <f t="shared" si="4"/>
        <v>0</v>
      </c>
    </row>
    <row r="62" spans="1:31" x14ac:dyDescent="0.25">
      <c r="A62" s="41" t="s">
        <v>203</v>
      </c>
      <c r="B62" s="303" t="s">
        <v>143</v>
      </c>
      <c r="C62" s="96">
        <v>0</v>
      </c>
      <c r="D62" s="298">
        <v>0</v>
      </c>
      <c r="E62" s="96">
        <f t="shared" si="0"/>
        <v>0</v>
      </c>
      <c r="F62" s="96">
        <f t="shared" si="1"/>
        <v>0</v>
      </c>
      <c r="G62" s="96">
        <f t="shared" si="2"/>
        <v>0</v>
      </c>
      <c r="H62" s="96">
        <v>0</v>
      </c>
      <c r="I62" s="298">
        <v>0</v>
      </c>
      <c r="J62" s="304">
        <v>0</v>
      </c>
      <c r="K62" s="96" t="s">
        <v>543</v>
      </c>
      <c r="L62" s="298">
        <v>0</v>
      </c>
      <c r="M62" s="298">
        <v>0</v>
      </c>
      <c r="N62" s="96">
        <v>0</v>
      </c>
      <c r="O62" s="96" t="s">
        <v>543</v>
      </c>
      <c r="P62" s="298">
        <v>0</v>
      </c>
      <c r="Q62" s="298">
        <v>0</v>
      </c>
      <c r="R62" s="96">
        <v>0</v>
      </c>
      <c r="S62" s="96" t="s">
        <v>543</v>
      </c>
      <c r="T62" s="298">
        <v>0</v>
      </c>
      <c r="U62" s="298">
        <v>0</v>
      </c>
      <c r="V62" s="96">
        <v>0</v>
      </c>
      <c r="W62" s="96" t="s">
        <v>543</v>
      </c>
      <c r="X62" s="298">
        <v>0</v>
      </c>
      <c r="Y62" s="298">
        <v>0</v>
      </c>
      <c r="Z62" s="96">
        <v>0</v>
      </c>
      <c r="AA62" s="96" t="s">
        <v>543</v>
      </c>
      <c r="AB62" s="298">
        <v>0</v>
      </c>
      <c r="AC62" s="298">
        <v>0</v>
      </c>
      <c r="AD62" s="96">
        <v>0</v>
      </c>
      <c r="AE62" s="96">
        <f t="shared" si="4"/>
        <v>0</v>
      </c>
    </row>
    <row r="63" spans="1:31" x14ac:dyDescent="0.25">
      <c r="A63" s="41" t="s">
        <v>204</v>
      </c>
      <c r="B63" s="303" t="s">
        <v>206</v>
      </c>
      <c r="C63" s="96">
        <v>0</v>
      </c>
      <c r="D63" s="298">
        <v>0</v>
      </c>
      <c r="E63" s="96">
        <f t="shared" si="0"/>
        <v>0</v>
      </c>
      <c r="F63" s="96">
        <f t="shared" si="1"/>
        <v>0</v>
      </c>
      <c r="G63" s="96">
        <f t="shared" si="2"/>
        <v>0</v>
      </c>
      <c r="H63" s="96">
        <v>0</v>
      </c>
      <c r="I63" s="298">
        <v>0</v>
      </c>
      <c r="J63" s="304">
        <v>0</v>
      </c>
      <c r="K63" s="96" t="s">
        <v>543</v>
      </c>
      <c r="L63" s="298">
        <v>0</v>
      </c>
      <c r="M63" s="298">
        <v>0</v>
      </c>
      <c r="N63" s="96">
        <v>0</v>
      </c>
      <c r="O63" s="96" t="s">
        <v>543</v>
      </c>
      <c r="P63" s="298">
        <v>0</v>
      </c>
      <c r="Q63" s="298">
        <v>0</v>
      </c>
      <c r="R63" s="96">
        <v>0</v>
      </c>
      <c r="S63" s="96" t="s">
        <v>543</v>
      </c>
      <c r="T63" s="298">
        <v>0</v>
      </c>
      <c r="U63" s="298">
        <v>0</v>
      </c>
      <c r="V63" s="96">
        <v>0</v>
      </c>
      <c r="W63" s="96" t="s">
        <v>543</v>
      </c>
      <c r="X63" s="298">
        <v>0</v>
      </c>
      <c r="Y63" s="298">
        <v>0</v>
      </c>
      <c r="Z63" s="96">
        <v>0</v>
      </c>
      <c r="AA63" s="96" t="s">
        <v>543</v>
      </c>
      <c r="AB63" s="298">
        <v>0</v>
      </c>
      <c r="AC63" s="298">
        <v>0</v>
      </c>
      <c r="AD63" s="96">
        <v>0</v>
      </c>
      <c r="AE63" s="96">
        <f t="shared" si="4"/>
        <v>0</v>
      </c>
    </row>
    <row r="64" spans="1:31" ht="18.75" x14ac:dyDescent="0.25">
      <c r="A64" s="41" t="s">
        <v>205</v>
      </c>
      <c r="B64" s="301" t="s">
        <v>556</v>
      </c>
      <c r="C64" s="96">
        <v>0</v>
      </c>
      <c r="D64" s="298">
        <v>0</v>
      </c>
      <c r="E64" s="96">
        <f t="shared" si="0"/>
        <v>0</v>
      </c>
      <c r="F64" s="96">
        <f t="shared" si="1"/>
        <v>0</v>
      </c>
      <c r="G64" s="96">
        <f t="shared" si="2"/>
        <v>0</v>
      </c>
      <c r="H64" s="96">
        <v>0</v>
      </c>
      <c r="I64" s="298">
        <v>0</v>
      </c>
      <c r="J64" s="302">
        <v>0</v>
      </c>
      <c r="K64" s="96" t="s">
        <v>543</v>
      </c>
      <c r="L64" s="298">
        <v>0</v>
      </c>
      <c r="M64" s="298">
        <v>0</v>
      </c>
      <c r="N64" s="96">
        <v>0</v>
      </c>
      <c r="O64" s="96" t="s">
        <v>543</v>
      </c>
      <c r="P64" s="298">
        <v>0</v>
      </c>
      <c r="Q64" s="298">
        <v>0</v>
      </c>
      <c r="R64" s="96">
        <v>0</v>
      </c>
      <c r="S64" s="96" t="s">
        <v>543</v>
      </c>
      <c r="T64" s="298">
        <v>0</v>
      </c>
      <c r="U64" s="298">
        <v>0</v>
      </c>
      <c r="V64" s="96">
        <v>0</v>
      </c>
      <c r="W64" s="96" t="s">
        <v>543</v>
      </c>
      <c r="X64" s="298">
        <v>0</v>
      </c>
      <c r="Y64" s="298">
        <v>0</v>
      </c>
      <c r="Z64" s="96">
        <v>0</v>
      </c>
      <c r="AA64" s="96" t="s">
        <v>543</v>
      </c>
      <c r="AB64" s="298">
        <v>0</v>
      </c>
      <c r="AC64" s="298">
        <v>0</v>
      </c>
      <c r="AD64" s="96">
        <v>0</v>
      </c>
      <c r="AE64" s="96">
        <f t="shared" si="4"/>
        <v>0</v>
      </c>
    </row>
    <row r="65" spans="1:29" x14ac:dyDescent="0.25">
      <c r="A65" s="38"/>
      <c r="B65" s="33"/>
      <c r="C65" s="33"/>
      <c r="D65" s="33"/>
      <c r="E65" s="33"/>
      <c r="F65" s="33"/>
      <c r="G65" s="33"/>
      <c r="H65" s="33"/>
      <c r="I65" s="33"/>
    </row>
    <row r="66" spans="1:29" ht="54" customHeight="1" x14ac:dyDescent="0.25">
      <c r="B66" s="408"/>
      <c r="C66" s="408"/>
      <c r="D66" s="408"/>
      <c r="E66" s="408"/>
      <c r="F66" s="408"/>
      <c r="G66" s="408"/>
      <c r="H66" s="35"/>
      <c r="I66" s="35"/>
      <c r="J66" s="37"/>
      <c r="K66" s="37"/>
      <c r="L66" s="37"/>
      <c r="M66" s="37"/>
      <c r="N66" s="37"/>
      <c r="O66" s="37"/>
      <c r="P66" s="37"/>
      <c r="Q66" s="37"/>
      <c r="R66" s="37"/>
      <c r="S66" s="37"/>
      <c r="T66" s="37"/>
      <c r="U66" s="37"/>
      <c r="V66" s="37"/>
      <c r="W66" s="37"/>
      <c r="X66" s="37"/>
      <c r="Y66" s="37"/>
      <c r="Z66" s="37"/>
      <c r="AA66" s="37"/>
      <c r="AB66" s="37"/>
      <c r="AC66" s="37"/>
    </row>
    <row r="68" spans="1:29" ht="50.25" customHeight="1" x14ac:dyDescent="0.25">
      <c r="B68" s="408"/>
      <c r="C68" s="408"/>
      <c r="D68" s="408"/>
      <c r="E68" s="408"/>
      <c r="F68" s="408"/>
      <c r="G68" s="408"/>
      <c r="H68" s="35"/>
      <c r="I68" s="35"/>
    </row>
    <row r="70" spans="1:29" ht="36.75" customHeight="1" x14ac:dyDescent="0.25">
      <c r="B70" s="408"/>
      <c r="C70" s="408"/>
      <c r="D70" s="408"/>
      <c r="E70" s="408"/>
      <c r="F70" s="408"/>
      <c r="G70" s="408"/>
      <c r="H70" s="35"/>
      <c r="I70" s="35"/>
    </row>
    <row r="72" spans="1:29" ht="51" customHeight="1" x14ac:dyDescent="0.25">
      <c r="B72" s="408"/>
      <c r="C72" s="408"/>
      <c r="D72" s="408"/>
      <c r="E72" s="408"/>
      <c r="F72" s="408"/>
      <c r="G72" s="408"/>
      <c r="H72" s="35"/>
      <c r="I72" s="35"/>
    </row>
    <row r="73" spans="1:29" ht="32.25" customHeight="1" x14ac:dyDescent="0.25">
      <c r="B73" s="408"/>
      <c r="C73" s="408"/>
      <c r="D73" s="408"/>
      <c r="E73" s="408"/>
      <c r="F73" s="408"/>
      <c r="G73" s="408"/>
      <c r="H73" s="35"/>
      <c r="I73" s="35"/>
    </row>
    <row r="74" spans="1:29" ht="51.75" customHeight="1" x14ac:dyDescent="0.25">
      <c r="B74" s="408"/>
      <c r="C74" s="408"/>
      <c r="D74" s="408"/>
      <c r="E74" s="408"/>
      <c r="F74" s="408"/>
      <c r="G74" s="408"/>
      <c r="H74" s="35"/>
      <c r="I74" s="35"/>
    </row>
    <row r="75" spans="1:29" ht="21.75" customHeight="1" x14ac:dyDescent="0.25">
      <c r="B75" s="414"/>
      <c r="C75" s="414"/>
      <c r="D75" s="414"/>
      <c r="E75" s="414"/>
      <c r="F75" s="414"/>
      <c r="G75" s="414"/>
      <c r="H75" s="34"/>
      <c r="I75" s="34"/>
    </row>
    <row r="76" spans="1:29" ht="23.25" customHeight="1" x14ac:dyDescent="0.25"/>
    <row r="77" spans="1:29" ht="18.75" customHeight="1" x14ac:dyDescent="0.25">
      <c r="B77" s="407"/>
      <c r="C77" s="407"/>
      <c r="D77" s="407"/>
      <c r="E77" s="407"/>
      <c r="F77" s="407"/>
      <c r="G77" s="407"/>
      <c r="H77" s="33"/>
      <c r="I77" s="33"/>
    </row>
  </sheetData>
  <mergeCells count="40">
    <mergeCell ref="J20:M20"/>
    <mergeCell ref="N20:Q20"/>
    <mergeCell ref="R20:U20"/>
    <mergeCell ref="V20:Y20"/>
    <mergeCell ref="Z20:AC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C24:D64">
    <cfRule type="cellIs" dxfId="8" priority="21" operator="greaterThan">
      <formula>0</formula>
    </cfRule>
  </conditionalFormatting>
  <conditionalFormatting sqref="C24:S64">
    <cfRule type="cellIs" dxfId="7" priority="6" operator="notEqual">
      <formula>0</formula>
    </cfRule>
  </conditionalFormatting>
  <conditionalFormatting sqref="H24:O24">
    <cfRule type="cellIs" dxfId="6" priority="19" operator="greaterThan">
      <formula>0</formula>
    </cfRule>
  </conditionalFormatting>
  <conditionalFormatting sqref="P24:Q64 L25:M64">
    <cfRule type="cellIs" dxfId="5" priority="60" operator="greaterThan">
      <formula>0</formula>
    </cfRule>
  </conditionalFormatting>
  <conditionalFormatting sqref="R24:S24">
    <cfRule type="cellIs" dxfId="4" priority="8" operator="greaterThan">
      <formula>0</formula>
    </cfRule>
  </conditionalFormatting>
  <conditionalFormatting sqref="V24:W24">
    <cfRule type="cellIs" dxfId="3" priority="5" operator="greaterThan">
      <formula>0</formula>
    </cfRule>
  </conditionalFormatting>
  <conditionalFormatting sqref="V24:W64">
    <cfRule type="cellIs" dxfId="2" priority="1" operator="notEqual">
      <formula>0</formula>
    </cfRule>
  </conditionalFormatting>
  <conditionalFormatting sqref="V27:W27">
    <cfRule type="cellIs" dxfId="1" priority="2" operator="greaterThan">
      <formula>0</formula>
    </cfRule>
  </conditionalFormatting>
  <conditionalFormatting sqref="AD24:AE64">
    <cfRule type="cellIs" dxfId="0" priority="10"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32" t="str">
        <f>'1. паспорт местоположение'!A5:C5</f>
        <v>Год раскрытия информации: 2024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39" t="str">
        <f>'1. паспорт местоположение'!A9:C9</f>
        <v xml:space="preserve">Акционерное общество "Западная энергетическая компания" </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row>
    <row r="10" spans="1:48" ht="15.75" x14ac:dyDescent="0.25">
      <c r="A10" s="345" t="s">
        <v>6</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39" t="str">
        <f>'1. паспорт местоположение'!A12:C12</f>
        <v>M 22-01</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row>
    <row r="13" spans="1:48" ht="15.75" x14ac:dyDescent="0.25">
      <c r="A13" s="345" t="s">
        <v>5</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ht="15.75" x14ac:dyDescent="0.25">
      <c r="A15"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row>
    <row r="16" spans="1:48" ht="15.75" x14ac:dyDescent="0.25">
      <c r="A16" s="345" t="s">
        <v>4</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x14ac:dyDescent="0.25">
      <c r="A21" s="454" t="s">
        <v>406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50</v>
      </c>
      <c r="B22" s="459" t="s">
        <v>22</v>
      </c>
      <c r="C22" s="445" t="s">
        <v>49</v>
      </c>
      <c r="D22" s="445" t="s">
        <v>48</v>
      </c>
      <c r="E22" s="462" t="s">
        <v>416</v>
      </c>
      <c r="F22" s="463"/>
      <c r="G22" s="463"/>
      <c r="H22" s="463"/>
      <c r="I22" s="463"/>
      <c r="J22" s="463"/>
      <c r="K22" s="463"/>
      <c r="L22" s="464"/>
      <c r="M22" s="445" t="s">
        <v>47</v>
      </c>
      <c r="N22" s="445" t="s">
        <v>46</v>
      </c>
      <c r="O22" s="445" t="s">
        <v>45</v>
      </c>
      <c r="P22" s="440" t="s">
        <v>228</v>
      </c>
      <c r="Q22" s="440" t="s">
        <v>44</v>
      </c>
      <c r="R22" s="440" t="s">
        <v>43</v>
      </c>
      <c r="S22" s="440" t="s">
        <v>42</v>
      </c>
      <c r="T22" s="440"/>
      <c r="U22" s="447" t="s">
        <v>41</v>
      </c>
      <c r="V22" s="447"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ht="64.5" customHeight="1" x14ac:dyDescent="0.25">
      <c r="A23" s="456"/>
      <c r="B23" s="460"/>
      <c r="C23" s="458"/>
      <c r="D23" s="458"/>
      <c r="E23" s="450" t="s">
        <v>21</v>
      </c>
      <c r="F23" s="441" t="s">
        <v>126</v>
      </c>
      <c r="G23" s="441" t="s">
        <v>125</v>
      </c>
      <c r="H23" s="441" t="s">
        <v>124</v>
      </c>
      <c r="I23" s="443" t="s">
        <v>354</v>
      </c>
      <c r="J23" s="443" t="s">
        <v>355</v>
      </c>
      <c r="K23" s="443" t="s">
        <v>356</v>
      </c>
      <c r="L23" s="441" t="s">
        <v>74</v>
      </c>
      <c r="M23" s="458"/>
      <c r="N23" s="458"/>
      <c r="O23" s="458"/>
      <c r="P23" s="440"/>
      <c r="Q23" s="440"/>
      <c r="R23" s="440"/>
      <c r="S23" s="452" t="s">
        <v>2</v>
      </c>
      <c r="T23" s="452" t="s">
        <v>9</v>
      </c>
      <c r="U23" s="447"/>
      <c r="V23" s="447"/>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45" t="s">
        <v>9</v>
      </c>
      <c r="AR23" s="440"/>
      <c r="AS23" s="440"/>
      <c r="AT23" s="440"/>
      <c r="AU23" s="440"/>
      <c r="AV23" s="449"/>
    </row>
    <row r="24" spans="1:48" ht="96.75" customHeight="1" x14ac:dyDescent="0.25">
      <c r="A24" s="457"/>
      <c r="B24" s="461"/>
      <c r="C24" s="446"/>
      <c r="D24" s="446"/>
      <c r="E24" s="451"/>
      <c r="F24" s="442"/>
      <c r="G24" s="442"/>
      <c r="H24" s="442"/>
      <c r="I24" s="444"/>
      <c r="J24" s="444"/>
      <c r="K24" s="444"/>
      <c r="L24" s="442"/>
      <c r="M24" s="446"/>
      <c r="N24" s="446"/>
      <c r="O24" s="446"/>
      <c r="P24" s="440"/>
      <c r="Q24" s="440"/>
      <c r="R24" s="440"/>
      <c r="S24" s="453"/>
      <c r="T24" s="453"/>
      <c r="U24" s="447"/>
      <c r="V24" s="447"/>
      <c r="W24" s="440"/>
      <c r="X24" s="440"/>
      <c r="Y24" s="440"/>
      <c r="Z24" s="440"/>
      <c r="AA24" s="440"/>
      <c r="AB24" s="440"/>
      <c r="AC24" s="440"/>
      <c r="AD24" s="440"/>
      <c r="AE24" s="440"/>
      <c r="AF24" s="140" t="s">
        <v>11</v>
      </c>
      <c r="AG24" s="140" t="s">
        <v>10</v>
      </c>
      <c r="AH24" s="141" t="s">
        <v>2</v>
      </c>
      <c r="AI24" s="141" t="s">
        <v>9</v>
      </c>
      <c r="AJ24" s="446"/>
      <c r="AK24" s="446"/>
      <c r="AL24" s="446"/>
      <c r="AM24" s="446"/>
      <c r="AN24" s="446"/>
      <c r="AO24" s="446"/>
      <c r="AP24" s="446"/>
      <c r="AQ24" s="446"/>
      <c r="AR24" s="440"/>
      <c r="AS24" s="440"/>
      <c r="AT24" s="440"/>
      <c r="AU24" s="440"/>
      <c r="AV24" s="449"/>
    </row>
    <row r="25" spans="1:48" s="144" customFormat="1" ht="11.25" x14ac:dyDescent="0.2">
      <c r="A25" s="142">
        <v>1</v>
      </c>
      <c r="B25" s="143">
        <v>2</v>
      </c>
      <c r="C25" s="143">
        <v>4</v>
      </c>
      <c r="D25" s="143">
        <v>5</v>
      </c>
      <c r="E25" s="143">
        <v>6</v>
      </c>
      <c r="F25" s="143">
        <f t="shared" ref="F25:AV25" si="0">E25+1</f>
        <v>7</v>
      </c>
      <c r="G25" s="143">
        <f t="shared" si="0"/>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50" customFormat="1" ht="63" x14ac:dyDescent="0.25">
      <c r="A26" s="145">
        <v>1</v>
      </c>
      <c r="B26" s="146" t="str">
        <f>A9</f>
        <v xml:space="preserve">Акционерное общество "Западная энергетическая компания" </v>
      </c>
      <c r="C26" s="146" t="s">
        <v>62</v>
      </c>
      <c r="D26" s="160" t="s">
        <v>543</v>
      </c>
      <c r="E26" s="146"/>
      <c r="F26" s="146"/>
      <c r="G26" s="146">
        <f>'3.1. паспорт Техсостояние ПС'!O25</f>
        <v>26</v>
      </c>
      <c r="H26" s="146"/>
      <c r="I26" s="146"/>
      <c r="J26" s="146">
        <v>5.6660000000000004</v>
      </c>
      <c r="K26" s="146">
        <v>1.85</v>
      </c>
      <c r="L26" s="146"/>
      <c r="M26" s="146" t="s">
        <v>534</v>
      </c>
      <c r="N26" s="146" t="s">
        <v>566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9"/>
      <c r="AQ26" s="179"/>
      <c r="AR26" s="179"/>
      <c r="AS26" s="179"/>
      <c r="AT26" s="179"/>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43" sqref="B43"/>
    </sheetView>
  </sheetViews>
  <sheetFormatPr defaultRowHeight="15.75" x14ac:dyDescent="0.25"/>
  <cols>
    <col min="1"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2024 год</v>
      </c>
      <c r="B5" s="470"/>
      <c r="C5" s="52"/>
      <c r="D5" s="52"/>
      <c r="E5" s="52"/>
      <c r="F5" s="52"/>
      <c r="G5" s="52"/>
      <c r="H5" s="52"/>
    </row>
    <row r="6" spans="1:8" ht="18.75" x14ac:dyDescent="0.3">
      <c r="A6" s="82"/>
      <c r="B6" s="82"/>
      <c r="C6" s="82"/>
      <c r="D6" s="82"/>
      <c r="E6" s="82"/>
      <c r="F6" s="82"/>
      <c r="G6" s="82"/>
      <c r="H6" s="82"/>
    </row>
    <row r="7" spans="1:8" ht="18.75" x14ac:dyDescent="0.25">
      <c r="A7" s="341" t="s">
        <v>7</v>
      </c>
      <c r="B7" s="341"/>
      <c r="C7" s="107"/>
      <c r="D7" s="107"/>
      <c r="E7" s="107"/>
      <c r="F7" s="107"/>
      <c r="G7" s="107"/>
      <c r="H7" s="107"/>
    </row>
    <row r="8" spans="1:8" ht="18.75" x14ac:dyDescent="0.25">
      <c r="A8" s="107"/>
      <c r="B8" s="107"/>
      <c r="C8" s="107"/>
      <c r="D8" s="107"/>
      <c r="E8" s="107"/>
      <c r="F8" s="107"/>
      <c r="G8" s="107"/>
      <c r="H8" s="107"/>
    </row>
    <row r="9" spans="1:8" x14ac:dyDescent="0.25">
      <c r="A9" s="339" t="str">
        <f>'1. паспорт местоположение'!A9:C9</f>
        <v xml:space="preserve">Акционерное общество "Западная энергетическая компания" </v>
      </c>
      <c r="B9" s="339"/>
      <c r="C9" s="109"/>
      <c r="D9" s="109"/>
      <c r="E9" s="109"/>
      <c r="F9" s="109"/>
      <c r="G9" s="109"/>
      <c r="H9" s="109"/>
    </row>
    <row r="10" spans="1:8" x14ac:dyDescent="0.25">
      <c r="A10" s="345" t="s">
        <v>6</v>
      </c>
      <c r="B10" s="345"/>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39" t="str">
        <f>'1. паспорт местоположение'!A12:C12</f>
        <v>M 22-01</v>
      </c>
      <c r="B12" s="339"/>
      <c r="C12" s="109"/>
      <c r="D12" s="109"/>
      <c r="E12" s="109"/>
      <c r="F12" s="109"/>
      <c r="G12" s="109"/>
      <c r="H12" s="109"/>
    </row>
    <row r="13" spans="1:8" x14ac:dyDescent="0.25">
      <c r="A13" s="345" t="s">
        <v>5</v>
      </c>
      <c r="B13" s="345"/>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6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68"/>
      <c r="C15" s="109"/>
      <c r="D15" s="109"/>
      <c r="E15" s="109"/>
      <c r="F15" s="109"/>
      <c r="G15" s="109"/>
      <c r="H15" s="109"/>
    </row>
    <row r="16" spans="1:8" x14ac:dyDescent="0.25">
      <c r="A16" s="345" t="s">
        <v>4</v>
      </c>
      <c r="B16" s="345"/>
      <c r="C16" s="110"/>
      <c r="D16" s="110"/>
      <c r="E16" s="110"/>
      <c r="F16" s="110"/>
      <c r="G16" s="110"/>
      <c r="H16" s="110"/>
    </row>
    <row r="17" spans="1:2" x14ac:dyDescent="0.25">
      <c r="B17" s="57"/>
    </row>
    <row r="18" spans="1:2" ht="33.75" customHeight="1" x14ac:dyDescent="0.25">
      <c r="A18" s="465" t="s">
        <v>407</v>
      </c>
      <c r="B18" s="466"/>
    </row>
    <row r="19" spans="1:2" x14ac:dyDescent="0.25">
      <c r="B19" s="24"/>
    </row>
    <row r="20" spans="1:2" ht="16.5" thickBot="1" x14ac:dyDescent="0.3">
      <c r="B20" s="58"/>
    </row>
    <row r="21" spans="1:2" ht="65.25" customHeight="1" thickBot="1" x14ac:dyDescent="0.3">
      <c r="A21" s="59" t="s">
        <v>305</v>
      </c>
      <c r="B21" s="101" t="str">
        <f>A15</f>
        <v>Строительство второй очереди ПС 110 Прибрежная с установкой второго трансформатора 10МВА г. Калининград, пос. Прибрежный</v>
      </c>
    </row>
    <row r="22" spans="1:2" ht="30" customHeight="1" thickBot="1" x14ac:dyDescent="0.3">
      <c r="A22" s="59" t="s">
        <v>306</v>
      </c>
      <c r="B22" s="188" t="str">
        <f>'1. паспорт местоположение'!C27</f>
        <v>г. Калининград, пос. Прибрежный</v>
      </c>
    </row>
    <row r="23" spans="1:2" ht="16.5" thickBot="1" x14ac:dyDescent="0.3">
      <c r="A23" s="59" t="s">
        <v>289</v>
      </c>
      <c r="B23" s="61" t="s">
        <v>549</v>
      </c>
    </row>
    <row r="24" spans="1:2" ht="16.5" thickBot="1" x14ac:dyDescent="0.3">
      <c r="A24" s="59" t="s">
        <v>307</v>
      </c>
      <c r="B24" s="61" t="s">
        <v>658</v>
      </c>
    </row>
    <row r="25" spans="1:2" ht="16.5" thickBot="1" x14ac:dyDescent="0.3">
      <c r="A25" s="62" t="s">
        <v>308</v>
      </c>
      <c r="B25" s="60">
        <v>2024</v>
      </c>
    </row>
    <row r="26" spans="1:2" ht="16.5" thickBot="1" x14ac:dyDescent="0.3">
      <c r="A26" s="63" t="s">
        <v>309</v>
      </c>
      <c r="B26" s="99" t="s">
        <v>676</v>
      </c>
    </row>
    <row r="27" spans="1:2" ht="29.25" thickBot="1" x14ac:dyDescent="0.3">
      <c r="A27" s="70" t="s">
        <v>647</v>
      </c>
      <c r="B27" s="100">
        <f>'6.2. Паспорт фин осв ввод'!D24</f>
        <v>222.686191279128</v>
      </c>
    </row>
    <row r="28" spans="1:2" ht="42" customHeight="1" thickBot="1" x14ac:dyDescent="0.3">
      <c r="A28" s="65" t="s">
        <v>310</v>
      </c>
      <c r="B28" s="65" t="s">
        <v>567</v>
      </c>
    </row>
    <row r="29" spans="1:2" ht="29.25" thickBot="1" x14ac:dyDescent="0.3">
      <c r="A29" s="71" t="s">
        <v>311</v>
      </c>
      <c r="B29" s="100"/>
    </row>
    <row r="30" spans="1:2" ht="29.25" thickBot="1" x14ac:dyDescent="0.3">
      <c r="A30" s="71" t="s">
        <v>312</v>
      </c>
      <c r="B30" s="100"/>
    </row>
    <row r="31" spans="1:2" ht="16.5" thickBot="1" x14ac:dyDescent="0.3">
      <c r="A31" s="65" t="s">
        <v>313</v>
      </c>
      <c r="B31" s="100"/>
    </row>
    <row r="32" spans="1:2" ht="29.25" thickBot="1" x14ac:dyDescent="0.3">
      <c r="A32" s="71" t="s">
        <v>314</v>
      </c>
      <c r="B32" s="86"/>
    </row>
    <row r="33" spans="1:3" s="151" customFormat="1" ht="16.5" thickBot="1" x14ac:dyDescent="0.3">
      <c r="A33" s="158"/>
      <c r="B33" s="195"/>
      <c r="C33" s="151">
        <v>10</v>
      </c>
    </row>
    <row r="34" spans="1:3" ht="16.5" thickBot="1" x14ac:dyDescent="0.3">
      <c r="A34" s="65" t="s">
        <v>316</v>
      </c>
      <c r="B34" s="89">
        <f>B33/$B$27</f>
        <v>0</v>
      </c>
    </row>
    <row r="35" spans="1:3" ht="16.5" thickBot="1" x14ac:dyDescent="0.3">
      <c r="A35" s="65" t="s">
        <v>317</v>
      </c>
      <c r="B35" s="196"/>
      <c r="C35" s="32">
        <v>1</v>
      </c>
    </row>
    <row r="36" spans="1:3" ht="16.5" thickBot="1" x14ac:dyDescent="0.3">
      <c r="A36" s="65" t="s">
        <v>318</v>
      </c>
      <c r="B36" s="100"/>
      <c r="C36" s="32">
        <v>2</v>
      </c>
    </row>
    <row r="37" spans="1:3" s="151" customFormat="1" ht="30.75" thickBot="1" x14ac:dyDescent="0.3">
      <c r="A37" s="87" t="s">
        <v>577</v>
      </c>
      <c r="B37" s="88"/>
      <c r="C37" s="151">
        <v>10</v>
      </c>
    </row>
    <row r="38" spans="1:3" ht="16.5" thickBot="1" x14ac:dyDescent="0.3">
      <c r="A38" s="65" t="s">
        <v>316</v>
      </c>
      <c r="B38" s="89" t="s">
        <v>543</v>
      </c>
    </row>
    <row r="39" spans="1:3" ht="16.5" thickBot="1" x14ac:dyDescent="0.3">
      <c r="A39" s="65" t="s">
        <v>317</v>
      </c>
      <c r="B39" s="86"/>
      <c r="C39" s="32">
        <v>1</v>
      </c>
    </row>
    <row r="40" spans="1:3" ht="16.5" thickBot="1" x14ac:dyDescent="0.3">
      <c r="A40" s="65" t="s">
        <v>318</v>
      </c>
      <c r="B40" s="86"/>
      <c r="C40" s="32">
        <v>2</v>
      </c>
    </row>
    <row r="41" spans="1:3" ht="16.5" thickBot="1" x14ac:dyDescent="0.3">
      <c r="A41" s="87" t="s">
        <v>315</v>
      </c>
      <c r="B41" s="88"/>
      <c r="C41" s="151">
        <v>10</v>
      </c>
    </row>
    <row r="42" spans="1:3" ht="16.5" thickBot="1" x14ac:dyDescent="0.3">
      <c r="A42" s="65" t="s">
        <v>316</v>
      </c>
      <c r="B42" s="89" t="s">
        <v>543</v>
      </c>
    </row>
    <row r="43" spans="1:3" ht="16.5" thickBot="1" x14ac:dyDescent="0.3">
      <c r="A43" s="65" t="s">
        <v>317</v>
      </c>
      <c r="B43" s="86"/>
      <c r="C43" s="32">
        <v>1</v>
      </c>
    </row>
    <row r="44" spans="1:3" ht="16.5" thickBot="1" x14ac:dyDescent="0.3">
      <c r="A44" s="65" t="s">
        <v>318</v>
      </c>
      <c r="B44" s="86"/>
      <c r="C44" s="32">
        <v>2</v>
      </c>
    </row>
    <row r="45" spans="1:3" ht="16.5" thickBot="1" x14ac:dyDescent="0.3">
      <c r="A45" s="87" t="s">
        <v>315</v>
      </c>
      <c r="B45" s="88"/>
      <c r="C45" s="151">
        <v>10</v>
      </c>
    </row>
    <row r="46" spans="1:3" ht="16.5" thickBot="1" x14ac:dyDescent="0.3">
      <c r="A46" s="65" t="s">
        <v>316</v>
      </c>
      <c r="B46" s="89" t="s">
        <v>543</v>
      </c>
    </row>
    <row r="47" spans="1:3" ht="16.5" thickBot="1" x14ac:dyDescent="0.3">
      <c r="A47" s="65" t="s">
        <v>317</v>
      </c>
      <c r="B47" s="86"/>
      <c r="C47" s="32">
        <v>1</v>
      </c>
    </row>
    <row r="48" spans="1:3" ht="16.5" thickBot="1" x14ac:dyDescent="0.3">
      <c r="A48" s="65" t="s">
        <v>318</v>
      </c>
      <c r="B48" s="86"/>
      <c r="C48" s="32">
        <v>2</v>
      </c>
    </row>
    <row r="49" spans="1:3" ht="16.5" thickBot="1" x14ac:dyDescent="0.3">
      <c r="A49" s="87" t="s">
        <v>315</v>
      </c>
      <c r="B49" s="88"/>
      <c r="C49" s="151">
        <v>10</v>
      </c>
    </row>
    <row r="50" spans="1:3" ht="16.5" thickBot="1" x14ac:dyDescent="0.3">
      <c r="A50" s="65" t="s">
        <v>316</v>
      </c>
      <c r="B50" s="89" t="s">
        <v>543</v>
      </c>
    </row>
    <row r="51" spans="1:3" ht="16.5" thickBot="1" x14ac:dyDescent="0.3">
      <c r="A51" s="65" t="s">
        <v>317</v>
      </c>
      <c r="B51" s="86"/>
      <c r="C51" s="32">
        <v>1</v>
      </c>
    </row>
    <row r="52" spans="1:3" ht="16.5" thickBot="1" x14ac:dyDescent="0.3">
      <c r="A52" s="65" t="s">
        <v>318</v>
      </c>
      <c r="B52" s="86"/>
      <c r="C52" s="32">
        <v>2</v>
      </c>
    </row>
    <row r="53" spans="1:3" ht="29.25" thickBot="1" x14ac:dyDescent="0.3">
      <c r="A53" s="71" t="s">
        <v>319</v>
      </c>
      <c r="B53" s="86"/>
    </row>
    <row r="54" spans="1:3" s="151" customFormat="1" ht="16.5" thickBot="1" x14ac:dyDescent="0.3">
      <c r="A54" s="193"/>
      <c r="B54" s="194"/>
      <c r="C54" s="151">
        <v>20</v>
      </c>
    </row>
    <row r="55" spans="1:3" ht="16.5" thickBot="1" x14ac:dyDescent="0.3">
      <c r="A55" s="65" t="s">
        <v>316</v>
      </c>
      <c r="B55" s="89">
        <f>B54/$B$27</f>
        <v>0</v>
      </c>
    </row>
    <row r="56" spans="1:3" ht="16.5" thickBot="1" x14ac:dyDescent="0.3">
      <c r="A56" s="65" t="s">
        <v>317</v>
      </c>
      <c r="B56" s="86"/>
      <c r="C56" s="32">
        <v>1</v>
      </c>
    </row>
    <row r="57" spans="1:3" ht="16.5" thickBot="1" x14ac:dyDescent="0.3">
      <c r="A57" s="65" t="s">
        <v>318</v>
      </c>
      <c r="B57" s="86"/>
      <c r="C57" s="32">
        <v>2</v>
      </c>
    </row>
    <row r="58" spans="1:3" ht="16.5" thickBot="1" x14ac:dyDescent="0.3">
      <c r="A58" s="193"/>
      <c r="B58" s="194"/>
      <c r="C58" s="32">
        <v>20</v>
      </c>
    </row>
    <row r="59" spans="1:3" ht="16.5" thickBot="1" x14ac:dyDescent="0.3">
      <c r="A59" s="65" t="s">
        <v>316</v>
      </c>
      <c r="B59" s="89">
        <f>B58/$B$27</f>
        <v>0</v>
      </c>
    </row>
    <row r="60" spans="1:3" ht="16.5" thickBot="1" x14ac:dyDescent="0.3">
      <c r="A60" s="65" t="s">
        <v>317</v>
      </c>
      <c r="B60" s="86"/>
      <c r="C60" s="32">
        <v>1</v>
      </c>
    </row>
    <row r="61" spans="1:3" ht="16.5" thickBot="1" x14ac:dyDescent="0.3">
      <c r="A61" s="65" t="s">
        <v>318</v>
      </c>
      <c r="B61" s="86"/>
      <c r="C61" s="32">
        <v>2</v>
      </c>
    </row>
    <row r="62" spans="1:3" s="151" customFormat="1" ht="16.5" thickBot="1" x14ac:dyDescent="0.3">
      <c r="A62" s="193"/>
      <c r="B62" s="194"/>
      <c r="C62" s="151">
        <v>20</v>
      </c>
    </row>
    <row r="63" spans="1:3" ht="16.5" thickBot="1" x14ac:dyDescent="0.3">
      <c r="A63" s="65" t="s">
        <v>316</v>
      </c>
      <c r="B63" s="89">
        <f>B62/$B$27</f>
        <v>0</v>
      </c>
    </row>
    <row r="64" spans="1:3" ht="16.5" thickBot="1" x14ac:dyDescent="0.3">
      <c r="A64" s="65" t="s">
        <v>317</v>
      </c>
      <c r="B64" s="86"/>
      <c r="C64" s="32">
        <v>1</v>
      </c>
    </row>
    <row r="65" spans="1:3" ht="16.5" thickBot="1" x14ac:dyDescent="0.3">
      <c r="A65" s="65" t="s">
        <v>318</v>
      </c>
      <c r="B65" s="86"/>
      <c r="C65" s="32">
        <v>2</v>
      </c>
    </row>
    <row r="66" spans="1:3" s="151" customFormat="1" ht="16.5" thickBot="1" x14ac:dyDescent="0.3">
      <c r="A66" s="193"/>
      <c r="B66" s="194"/>
      <c r="C66" s="151">
        <v>20</v>
      </c>
    </row>
    <row r="67" spans="1:3" ht="16.5" thickBot="1" x14ac:dyDescent="0.3">
      <c r="A67" s="65" t="s">
        <v>316</v>
      </c>
      <c r="B67" s="89">
        <f>B66/$B$27</f>
        <v>0</v>
      </c>
    </row>
    <row r="68" spans="1:3" ht="16.5" thickBot="1" x14ac:dyDescent="0.3">
      <c r="A68" s="65" t="s">
        <v>317</v>
      </c>
      <c r="B68" s="86"/>
      <c r="C68" s="32">
        <v>1</v>
      </c>
    </row>
    <row r="69" spans="1:3" ht="16.5" thickBot="1" x14ac:dyDescent="0.3">
      <c r="A69" s="65" t="s">
        <v>318</v>
      </c>
      <c r="B69" s="86"/>
      <c r="C69" s="32">
        <v>2</v>
      </c>
    </row>
    <row r="70" spans="1:3" ht="16.5" thickBot="1" x14ac:dyDescent="0.3">
      <c r="A70" s="193"/>
      <c r="B70" s="194"/>
      <c r="C70" s="32">
        <v>20</v>
      </c>
    </row>
    <row r="71" spans="1:3" ht="16.5" thickBot="1" x14ac:dyDescent="0.3">
      <c r="A71" s="65" t="s">
        <v>316</v>
      </c>
      <c r="B71" s="89">
        <f>B70/$B$27</f>
        <v>0</v>
      </c>
    </row>
    <row r="72" spans="1:3" ht="16.5" thickBot="1" x14ac:dyDescent="0.3">
      <c r="A72" s="65" t="s">
        <v>317</v>
      </c>
      <c r="B72" s="86"/>
      <c r="C72" s="32">
        <v>1</v>
      </c>
    </row>
    <row r="73" spans="1:3" ht="16.5" thickBot="1" x14ac:dyDescent="0.3">
      <c r="A73" s="65" t="s">
        <v>318</v>
      </c>
      <c r="B73" s="86"/>
      <c r="C73" s="32">
        <v>2</v>
      </c>
    </row>
    <row r="74" spans="1:3" ht="16.5" thickBot="1" x14ac:dyDescent="0.3">
      <c r="A74" s="193"/>
      <c r="B74" s="194"/>
      <c r="C74" s="32">
        <v>20</v>
      </c>
    </row>
    <row r="75" spans="1:3" ht="16.5" thickBot="1" x14ac:dyDescent="0.3">
      <c r="A75" s="65" t="s">
        <v>316</v>
      </c>
      <c r="B75" s="89">
        <f>B74/$B$27</f>
        <v>0</v>
      </c>
    </row>
    <row r="76" spans="1:3" ht="16.5" thickBot="1" x14ac:dyDescent="0.3">
      <c r="A76" s="65" t="s">
        <v>317</v>
      </c>
      <c r="B76" s="86"/>
      <c r="C76" s="32">
        <v>1</v>
      </c>
    </row>
    <row r="77" spans="1:3" ht="16.5" thickBot="1" x14ac:dyDescent="0.3">
      <c r="A77" s="65" t="s">
        <v>318</v>
      </c>
      <c r="B77" s="86"/>
      <c r="C77" s="32">
        <v>2</v>
      </c>
    </row>
    <row r="78" spans="1:3" ht="16.5" thickBot="1" x14ac:dyDescent="0.3">
      <c r="A78" s="193"/>
      <c r="B78" s="194"/>
      <c r="C78" s="32">
        <v>20</v>
      </c>
    </row>
    <row r="79" spans="1:3" ht="16.5" thickBot="1" x14ac:dyDescent="0.3">
      <c r="A79" s="65" t="s">
        <v>316</v>
      </c>
      <c r="B79" s="89">
        <f>B78/$B$27</f>
        <v>0</v>
      </c>
    </row>
    <row r="80" spans="1:3" ht="16.5" thickBot="1" x14ac:dyDescent="0.3">
      <c r="A80" s="65" t="s">
        <v>317</v>
      </c>
      <c r="B80" s="86"/>
      <c r="C80" s="32">
        <v>1</v>
      </c>
    </row>
    <row r="81" spans="1:3" ht="16.5" thickBot="1" x14ac:dyDescent="0.3">
      <c r="A81" s="65" t="s">
        <v>318</v>
      </c>
      <c r="B81" s="86"/>
      <c r="C81" s="32">
        <v>2</v>
      </c>
    </row>
    <row r="82" spans="1:3" ht="16.5" thickBot="1" x14ac:dyDescent="0.3">
      <c r="A82" s="193"/>
      <c r="B82" s="194"/>
      <c r="C82" s="32">
        <v>20</v>
      </c>
    </row>
    <row r="83" spans="1:3" ht="16.5" thickBot="1" x14ac:dyDescent="0.3">
      <c r="A83" s="65" t="s">
        <v>316</v>
      </c>
      <c r="B83" s="89">
        <f>B82/$B$27</f>
        <v>0</v>
      </c>
    </row>
    <row r="84" spans="1:3" ht="16.5" thickBot="1" x14ac:dyDescent="0.3">
      <c r="A84" s="65" t="s">
        <v>317</v>
      </c>
      <c r="B84" s="86"/>
      <c r="C84" s="32">
        <v>1</v>
      </c>
    </row>
    <row r="85" spans="1:3" ht="16.5" thickBot="1" x14ac:dyDescent="0.3">
      <c r="A85" s="65" t="s">
        <v>318</v>
      </c>
      <c r="B85" s="86"/>
      <c r="C85" s="32">
        <v>2</v>
      </c>
    </row>
    <row r="86" spans="1:3" s="151" customFormat="1" ht="16.5" thickBot="1" x14ac:dyDescent="0.3">
      <c r="A86" s="193"/>
      <c r="B86" s="194"/>
    </row>
    <row r="87" spans="1:3" ht="16.5" thickBot="1" x14ac:dyDescent="0.3">
      <c r="A87" s="65" t="s">
        <v>316</v>
      </c>
      <c r="B87" s="89">
        <f>B86/$B$27</f>
        <v>0</v>
      </c>
    </row>
    <row r="88" spans="1:3" ht="16.5" thickBot="1" x14ac:dyDescent="0.3">
      <c r="A88" s="65" t="s">
        <v>317</v>
      </c>
      <c r="B88" s="86"/>
      <c r="C88" s="32">
        <v>1</v>
      </c>
    </row>
    <row r="89" spans="1:3" ht="16.5" thickBot="1" x14ac:dyDescent="0.3">
      <c r="A89" s="65" t="s">
        <v>318</v>
      </c>
      <c r="B89" s="86"/>
      <c r="C89" s="32">
        <v>2</v>
      </c>
    </row>
    <row r="90" spans="1:3" ht="29.25" thickBot="1" x14ac:dyDescent="0.3">
      <c r="A90" s="71" t="s">
        <v>320</v>
      </c>
      <c r="B90" s="86">
        <f xml:space="preserve"> SUMIF(C91:C110, 30,B91:B110)</f>
        <v>0</v>
      </c>
    </row>
    <row r="91" spans="1:3" s="151" customFormat="1" ht="16.5" thickBot="1" x14ac:dyDescent="0.3">
      <c r="A91" s="87" t="s">
        <v>315</v>
      </c>
      <c r="B91" s="159"/>
      <c r="C91" s="151">
        <v>30</v>
      </c>
    </row>
    <row r="92" spans="1:3" ht="16.5" thickBot="1" x14ac:dyDescent="0.3">
      <c r="A92" s="65" t="s">
        <v>316</v>
      </c>
      <c r="B92" s="89"/>
    </row>
    <row r="93" spans="1:3" ht="16.5" thickBot="1" x14ac:dyDescent="0.3">
      <c r="A93" s="65" t="s">
        <v>317</v>
      </c>
      <c r="B93" s="100"/>
      <c r="C93" s="32">
        <v>1</v>
      </c>
    </row>
    <row r="94" spans="1:3" ht="16.5" thickBot="1" x14ac:dyDescent="0.3">
      <c r="A94" s="65" t="s">
        <v>318</v>
      </c>
      <c r="B94" s="100"/>
      <c r="C94" s="32">
        <v>2</v>
      </c>
    </row>
    <row r="95" spans="1:3" s="151" customFormat="1" ht="16.5" thickBot="1" x14ac:dyDescent="0.3">
      <c r="A95" s="87" t="s">
        <v>315</v>
      </c>
      <c r="B95" s="159"/>
      <c r="C95" s="151">
        <v>30</v>
      </c>
    </row>
    <row r="96" spans="1:3" ht="16.5" thickBot="1" x14ac:dyDescent="0.3">
      <c r="A96" s="65" t="s">
        <v>316</v>
      </c>
      <c r="B96" s="89"/>
    </row>
    <row r="97" spans="1:3" ht="16.5" thickBot="1" x14ac:dyDescent="0.3">
      <c r="A97" s="65" t="s">
        <v>317</v>
      </c>
      <c r="B97" s="100"/>
      <c r="C97" s="32">
        <v>1</v>
      </c>
    </row>
    <row r="98" spans="1:3" ht="16.5" thickBot="1" x14ac:dyDescent="0.3">
      <c r="A98" s="65" t="s">
        <v>318</v>
      </c>
      <c r="B98" s="100"/>
      <c r="C98" s="32">
        <v>2</v>
      </c>
    </row>
    <row r="99" spans="1:3" s="151" customFormat="1" ht="16.5" thickBot="1" x14ac:dyDescent="0.3">
      <c r="A99" s="87" t="s">
        <v>315</v>
      </c>
      <c r="B99" s="159"/>
      <c r="C99" s="151">
        <v>30</v>
      </c>
    </row>
    <row r="100" spans="1:3" ht="16.5" thickBot="1" x14ac:dyDescent="0.3">
      <c r="A100" s="65" t="s">
        <v>316</v>
      </c>
      <c r="B100" s="89"/>
    </row>
    <row r="101" spans="1:3" ht="16.5" thickBot="1" x14ac:dyDescent="0.3">
      <c r="A101" s="65" t="s">
        <v>317</v>
      </c>
      <c r="B101" s="86"/>
      <c r="C101" s="32">
        <v>1</v>
      </c>
    </row>
    <row r="102" spans="1:3" ht="16.5" thickBot="1" x14ac:dyDescent="0.3">
      <c r="A102" s="65" t="s">
        <v>318</v>
      </c>
      <c r="B102" s="86"/>
      <c r="C102" s="32">
        <v>2</v>
      </c>
    </row>
    <row r="103" spans="1:3" s="151" customFormat="1" ht="16.5" thickBot="1" x14ac:dyDescent="0.3">
      <c r="A103" s="87" t="s">
        <v>315</v>
      </c>
      <c r="B103" s="88"/>
      <c r="C103" s="151">
        <v>30</v>
      </c>
    </row>
    <row r="104" spans="1:3" ht="16.5" thickBot="1" x14ac:dyDescent="0.3">
      <c r="A104" s="65" t="s">
        <v>316</v>
      </c>
      <c r="B104" s="89" t="s">
        <v>543</v>
      </c>
    </row>
    <row r="105" spans="1:3" ht="16.5" thickBot="1" x14ac:dyDescent="0.3">
      <c r="A105" s="65" t="s">
        <v>317</v>
      </c>
      <c r="B105" s="89" t="s">
        <v>543</v>
      </c>
      <c r="C105" s="32">
        <v>1</v>
      </c>
    </row>
    <row r="106" spans="1:3" ht="16.5" thickBot="1" x14ac:dyDescent="0.3">
      <c r="A106" s="65" t="s">
        <v>318</v>
      </c>
      <c r="B106" s="89" t="s">
        <v>543</v>
      </c>
      <c r="C106" s="32">
        <v>2</v>
      </c>
    </row>
    <row r="107" spans="1:3" s="151" customFormat="1" ht="16.5" thickBot="1" x14ac:dyDescent="0.3">
      <c r="A107" s="87" t="s">
        <v>315</v>
      </c>
      <c r="B107" s="89" t="s">
        <v>543</v>
      </c>
      <c r="C107" s="151">
        <v>30</v>
      </c>
    </row>
    <row r="108" spans="1:3" ht="16.5" thickBot="1" x14ac:dyDescent="0.3">
      <c r="A108" s="65" t="s">
        <v>316</v>
      </c>
      <c r="B108" s="89" t="s">
        <v>543</v>
      </c>
    </row>
    <row r="109" spans="1:3" ht="16.5" thickBot="1" x14ac:dyDescent="0.3">
      <c r="A109" s="65" t="s">
        <v>317</v>
      </c>
      <c r="B109" s="89" t="s">
        <v>543</v>
      </c>
      <c r="C109" s="32">
        <v>1</v>
      </c>
    </row>
    <row r="110" spans="1:3" ht="16.5" thickBot="1" x14ac:dyDescent="0.3">
      <c r="A110" s="65" t="s">
        <v>318</v>
      </c>
      <c r="B110" s="89" t="s">
        <v>543</v>
      </c>
      <c r="C110" s="32">
        <v>2</v>
      </c>
    </row>
    <row r="111" spans="1:3" ht="29.25" thickBot="1" x14ac:dyDescent="0.3">
      <c r="A111" s="64" t="s">
        <v>321</v>
      </c>
      <c r="B111" s="89" t="s">
        <v>543</v>
      </c>
    </row>
    <row r="112" spans="1:3" ht="16.5" thickBot="1" x14ac:dyDescent="0.3">
      <c r="A112" s="66" t="s">
        <v>313</v>
      </c>
      <c r="B112" s="89" t="s">
        <v>543</v>
      </c>
    </row>
    <row r="113" spans="1:2" ht="16.5" thickBot="1" x14ac:dyDescent="0.3">
      <c r="A113" s="66" t="s">
        <v>322</v>
      </c>
      <c r="B113" s="89"/>
    </row>
    <row r="114" spans="1:2" ht="16.5" thickBot="1" x14ac:dyDescent="0.3">
      <c r="A114" s="66" t="s">
        <v>323</v>
      </c>
      <c r="B114" s="89"/>
    </row>
    <row r="115" spans="1:2" ht="16.5" thickBot="1" x14ac:dyDescent="0.3">
      <c r="A115" s="66" t="s">
        <v>324</v>
      </c>
      <c r="B115" s="89" t="s">
        <v>543</v>
      </c>
    </row>
    <row r="116" spans="1:2" ht="16.5" thickBot="1" x14ac:dyDescent="0.3">
      <c r="A116" s="62" t="s">
        <v>325</v>
      </c>
      <c r="B116" s="89"/>
    </row>
    <row r="117" spans="1:2" ht="16.5" thickBot="1" x14ac:dyDescent="0.3">
      <c r="A117" s="62" t="s">
        <v>326</v>
      </c>
      <c r="B117" s="172"/>
    </row>
    <row r="118" spans="1:2" ht="16.5" thickBot="1" x14ac:dyDescent="0.3">
      <c r="A118" s="62" t="s">
        <v>327</v>
      </c>
      <c r="B118" s="89"/>
    </row>
    <row r="119" spans="1:2" ht="16.5" thickBot="1" x14ac:dyDescent="0.3">
      <c r="A119" s="63" t="s">
        <v>328</v>
      </c>
      <c r="B119" s="172"/>
    </row>
    <row r="120" spans="1:2" ht="15.75" customHeight="1" x14ac:dyDescent="0.25">
      <c r="A120" s="64" t="s">
        <v>329</v>
      </c>
      <c r="B120" s="66" t="s">
        <v>330</v>
      </c>
    </row>
    <row r="121" spans="1:2" x14ac:dyDescent="0.25">
      <c r="A121" s="68" t="s">
        <v>331</v>
      </c>
      <c r="B121" s="68" t="str">
        <f>A9</f>
        <v xml:space="preserve">Акционерное общество "Западная энергетическая компания" </v>
      </c>
    </row>
    <row r="122" spans="1:2" x14ac:dyDescent="0.25">
      <c r="A122" s="68" t="s">
        <v>332</v>
      </c>
      <c r="B122" s="68"/>
    </row>
    <row r="123" spans="1:2" x14ac:dyDescent="0.25">
      <c r="A123" s="68" t="s">
        <v>333</v>
      </c>
      <c r="B123" s="68"/>
    </row>
    <row r="124" spans="1:2" x14ac:dyDescent="0.25">
      <c r="A124" s="68" t="s">
        <v>334</v>
      </c>
      <c r="B124" s="68"/>
    </row>
    <row r="125" spans="1:2" ht="16.5" thickBot="1" x14ac:dyDescent="0.3">
      <c r="A125" s="69" t="s">
        <v>335</v>
      </c>
      <c r="B125" s="69"/>
    </row>
    <row r="126" spans="1:2" ht="30.75" thickBot="1" x14ac:dyDescent="0.3">
      <c r="A126" s="66" t="s">
        <v>336</v>
      </c>
      <c r="B126" s="67"/>
    </row>
    <row r="127" spans="1:2" ht="29.25" thickBot="1" x14ac:dyDescent="0.3">
      <c r="A127" s="62" t="s">
        <v>337</v>
      </c>
      <c r="B127" s="173"/>
    </row>
    <row r="128" spans="1:2" ht="16.5" thickBot="1" x14ac:dyDescent="0.3">
      <c r="A128" s="66" t="s">
        <v>313</v>
      </c>
      <c r="B128" s="174"/>
    </row>
    <row r="129" spans="1:2" ht="16.5" thickBot="1" x14ac:dyDescent="0.3">
      <c r="A129" s="66" t="s">
        <v>338</v>
      </c>
      <c r="B129" s="173"/>
    </row>
    <row r="130" spans="1:2" ht="16.5" thickBot="1" x14ac:dyDescent="0.3">
      <c r="A130" s="66" t="s">
        <v>339</v>
      </c>
      <c r="B130" s="174"/>
    </row>
    <row r="131" spans="1:2" ht="16.5" thickBot="1" x14ac:dyDescent="0.3">
      <c r="A131" s="74" t="s">
        <v>340</v>
      </c>
      <c r="B131" s="104"/>
    </row>
    <row r="132" spans="1:2" ht="16.5" thickBot="1" x14ac:dyDescent="0.3">
      <c r="A132" s="62" t="s">
        <v>341</v>
      </c>
      <c r="B132" s="72"/>
    </row>
    <row r="133" spans="1:2" ht="16.5" thickBot="1" x14ac:dyDescent="0.3">
      <c r="A133" s="68" t="s">
        <v>342</v>
      </c>
      <c r="B133" s="171"/>
    </row>
    <row r="134" spans="1:2" ht="16.5" thickBot="1" x14ac:dyDescent="0.3">
      <c r="A134" s="68" t="s">
        <v>343</v>
      </c>
      <c r="B134" s="75" t="s">
        <v>550</v>
      </c>
    </row>
    <row r="135" spans="1:2" ht="16.5" thickBot="1" x14ac:dyDescent="0.3">
      <c r="A135" s="68" t="s">
        <v>344</v>
      </c>
      <c r="B135" s="75" t="s">
        <v>550</v>
      </c>
    </row>
    <row r="136" spans="1:2" ht="29.25" thickBot="1" x14ac:dyDescent="0.3">
      <c r="A136" s="76" t="s">
        <v>345</v>
      </c>
      <c r="B136" s="73" t="s">
        <v>551</v>
      </c>
    </row>
    <row r="137" spans="1:2" ht="28.5" customHeight="1" x14ac:dyDescent="0.25">
      <c r="A137" s="64" t="s">
        <v>346</v>
      </c>
      <c r="B137" s="467" t="s">
        <v>550</v>
      </c>
    </row>
    <row r="138" spans="1:2" x14ac:dyDescent="0.25">
      <c r="A138" s="68" t="s">
        <v>347</v>
      </c>
      <c r="B138" s="468"/>
    </row>
    <row r="139" spans="1:2" x14ac:dyDescent="0.25">
      <c r="A139" s="68" t="s">
        <v>348</v>
      </c>
      <c r="B139" s="468"/>
    </row>
    <row r="140" spans="1:2" x14ac:dyDescent="0.25">
      <c r="A140" s="68" t="s">
        <v>349</v>
      </c>
      <c r="B140" s="468"/>
    </row>
    <row r="141" spans="1:2" x14ac:dyDescent="0.25">
      <c r="A141" s="68" t="s">
        <v>350</v>
      </c>
      <c r="B141" s="468"/>
    </row>
    <row r="142" spans="1:2" ht="16.5" thickBot="1" x14ac:dyDescent="0.3">
      <c r="A142" s="77" t="s">
        <v>351</v>
      </c>
      <c r="B142" s="469"/>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N19" zoomScale="55" zoomScaleSheetLayoutView="55"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30.28515625" style="117" customWidth="1"/>
    <col min="18" max="18" width="80.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32" t="str">
        <f>'1. паспорт местоположение'!A5:C5</f>
        <v>Год раскрытия информации: 2024 год</v>
      </c>
      <c r="B4" s="332"/>
      <c r="C4" s="332"/>
      <c r="D4" s="332"/>
      <c r="E4" s="332"/>
      <c r="F4" s="332"/>
      <c r="G4" s="332"/>
      <c r="H4" s="332"/>
      <c r="I4" s="332"/>
      <c r="J4" s="332"/>
      <c r="K4" s="332"/>
      <c r="L4" s="332"/>
      <c r="M4" s="332"/>
      <c r="N4" s="332"/>
      <c r="O4" s="332"/>
      <c r="P4" s="332"/>
      <c r="Q4" s="332"/>
      <c r="R4" s="332"/>
      <c r="S4" s="332"/>
    </row>
    <row r="5" spans="1:28" s="14" customFormat="1" ht="15.75" x14ac:dyDescent="0.2">
      <c r="A5" s="105"/>
    </row>
    <row r="6" spans="1:28" s="14" customFormat="1" ht="18.75" x14ac:dyDescent="0.2">
      <c r="A6" s="341" t="s">
        <v>7</v>
      </c>
      <c r="B6" s="341"/>
      <c r="C6" s="341"/>
      <c r="D6" s="341"/>
      <c r="E6" s="341"/>
      <c r="F6" s="341"/>
      <c r="G6" s="341"/>
      <c r="H6" s="341"/>
      <c r="I6" s="341"/>
      <c r="J6" s="341"/>
      <c r="K6" s="341"/>
      <c r="L6" s="341"/>
      <c r="M6" s="341"/>
      <c r="N6" s="341"/>
      <c r="O6" s="341"/>
      <c r="P6" s="341"/>
      <c r="Q6" s="341"/>
      <c r="R6" s="341"/>
      <c r="S6" s="341"/>
      <c r="T6" s="107"/>
      <c r="U6" s="107"/>
      <c r="V6" s="107"/>
      <c r="W6" s="107"/>
      <c r="X6" s="107"/>
      <c r="Y6" s="107"/>
      <c r="Z6" s="107"/>
      <c r="AA6" s="107"/>
      <c r="AB6" s="107"/>
    </row>
    <row r="7" spans="1:28" s="14" customFormat="1" ht="18.75" x14ac:dyDescent="0.2">
      <c r="A7" s="341"/>
      <c r="B7" s="341"/>
      <c r="C7" s="341"/>
      <c r="D7" s="341"/>
      <c r="E7" s="341"/>
      <c r="F7" s="341"/>
      <c r="G7" s="341"/>
      <c r="H7" s="341"/>
      <c r="I7" s="341"/>
      <c r="J7" s="341"/>
      <c r="K7" s="341"/>
      <c r="L7" s="341"/>
      <c r="M7" s="341"/>
      <c r="N7" s="341"/>
      <c r="O7" s="341"/>
      <c r="P7" s="341"/>
      <c r="Q7" s="341"/>
      <c r="R7" s="341"/>
      <c r="S7" s="341"/>
      <c r="T7" s="107"/>
      <c r="U7" s="107"/>
      <c r="V7" s="107"/>
      <c r="W7" s="107"/>
      <c r="X7" s="107"/>
      <c r="Y7" s="107"/>
      <c r="Z7" s="107"/>
      <c r="AA7" s="107"/>
      <c r="AB7" s="107"/>
    </row>
    <row r="8" spans="1:28" s="14" customFormat="1" ht="18.75" x14ac:dyDescent="0.2">
      <c r="A8" s="339" t="str">
        <f>'1. паспорт местоположение'!A9:C9</f>
        <v xml:space="preserve">Акционерное общество "Западная энергетическая компания" </v>
      </c>
      <c r="B8" s="339"/>
      <c r="C8" s="339"/>
      <c r="D8" s="339"/>
      <c r="E8" s="339"/>
      <c r="F8" s="339"/>
      <c r="G8" s="339"/>
      <c r="H8" s="339"/>
      <c r="I8" s="339"/>
      <c r="J8" s="339"/>
      <c r="K8" s="339"/>
      <c r="L8" s="339"/>
      <c r="M8" s="339"/>
      <c r="N8" s="339"/>
      <c r="O8" s="339"/>
      <c r="P8" s="339"/>
      <c r="Q8" s="339"/>
      <c r="R8" s="339"/>
      <c r="S8" s="339"/>
      <c r="T8" s="107"/>
      <c r="U8" s="107"/>
      <c r="V8" s="107"/>
      <c r="W8" s="107"/>
      <c r="X8" s="107"/>
      <c r="Y8" s="107"/>
      <c r="Z8" s="107"/>
      <c r="AA8" s="107"/>
      <c r="AB8" s="107"/>
    </row>
    <row r="9" spans="1:28" s="14" customFormat="1" ht="18.75" x14ac:dyDescent="0.2">
      <c r="A9" s="345" t="s">
        <v>6</v>
      </c>
      <c r="B9" s="345"/>
      <c r="C9" s="345"/>
      <c r="D9" s="345"/>
      <c r="E9" s="345"/>
      <c r="F9" s="345"/>
      <c r="G9" s="345"/>
      <c r="H9" s="345"/>
      <c r="I9" s="345"/>
      <c r="J9" s="345"/>
      <c r="K9" s="345"/>
      <c r="L9" s="345"/>
      <c r="M9" s="345"/>
      <c r="N9" s="345"/>
      <c r="O9" s="345"/>
      <c r="P9" s="345"/>
      <c r="Q9" s="345"/>
      <c r="R9" s="345"/>
      <c r="S9" s="345"/>
      <c r="T9" s="107"/>
      <c r="U9" s="107"/>
      <c r="V9" s="107"/>
      <c r="W9" s="107"/>
      <c r="X9" s="107"/>
      <c r="Y9" s="107"/>
      <c r="Z9" s="107"/>
      <c r="AA9" s="107"/>
      <c r="AB9" s="107"/>
    </row>
    <row r="10" spans="1:28" s="14" customFormat="1" ht="18.75" x14ac:dyDescent="0.2">
      <c r="A10" s="341"/>
      <c r="B10" s="341"/>
      <c r="C10" s="341"/>
      <c r="D10" s="341"/>
      <c r="E10" s="341"/>
      <c r="F10" s="341"/>
      <c r="G10" s="341"/>
      <c r="H10" s="341"/>
      <c r="I10" s="341"/>
      <c r="J10" s="341"/>
      <c r="K10" s="341"/>
      <c r="L10" s="341"/>
      <c r="M10" s="341"/>
      <c r="N10" s="341"/>
      <c r="O10" s="341"/>
      <c r="P10" s="341"/>
      <c r="Q10" s="341"/>
      <c r="R10" s="341"/>
      <c r="S10" s="341"/>
      <c r="T10" s="107"/>
      <c r="U10" s="107"/>
      <c r="V10" s="107"/>
      <c r="W10" s="107"/>
      <c r="X10" s="107"/>
      <c r="Y10" s="107"/>
      <c r="Z10" s="107"/>
      <c r="AA10" s="107"/>
      <c r="AB10" s="107"/>
    </row>
    <row r="11" spans="1:28" s="14" customFormat="1" ht="18.75" x14ac:dyDescent="0.2">
      <c r="A11" s="339" t="str">
        <f>'1. паспорт местоположение'!A12:C12</f>
        <v>M 22-01</v>
      </c>
      <c r="B11" s="339"/>
      <c r="C11" s="339"/>
      <c r="D11" s="339"/>
      <c r="E11" s="339"/>
      <c r="F11" s="339"/>
      <c r="G11" s="339"/>
      <c r="H11" s="339"/>
      <c r="I11" s="339"/>
      <c r="J11" s="339"/>
      <c r="K11" s="339"/>
      <c r="L11" s="339"/>
      <c r="M11" s="339"/>
      <c r="N11" s="339"/>
      <c r="O11" s="339"/>
      <c r="P11" s="339"/>
      <c r="Q11" s="339"/>
      <c r="R11" s="339"/>
      <c r="S11" s="339"/>
      <c r="T11" s="107"/>
      <c r="U11" s="107"/>
      <c r="V11" s="107"/>
      <c r="W11" s="107"/>
      <c r="X11" s="107"/>
      <c r="Y11" s="107"/>
      <c r="Z11" s="107"/>
      <c r="AA11" s="107"/>
      <c r="AB11" s="107"/>
    </row>
    <row r="12" spans="1:28" s="14" customFormat="1" ht="18.75" x14ac:dyDescent="0.2">
      <c r="A12" s="345" t="s">
        <v>5</v>
      </c>
      <c r="B12" s="345"/>
      <c r="C12" s="345"/>
      <c r="D12" s="345"/>
      <c r="E12" s="345"/>
      <c r="F12" s="345"/>
      <c r="G12" s="345"/>
      <c r="H12" s="345"/>
      <c r="I12" s="345"/>
      <c r="J12" s="345"/>
      <c r="K12" s="345"/>
      <c r="L12" s="345"/>
      <c r="M12" s="345"/>
      <c r="N12" s="345"/>
      <c r="O12" s="345"/>
      <c r="P12" s="345"/>
      <c r="Q12" s="345"/>
      <c r="R12" s="345"/>
      <c r="S12" s="345"/>
      <c r="T12" s="107"/>
      <c r="U12" s="107"/>
      <c r="V12" s="107"/>
      <c r="W12" s="107"/>
      <c r="X12" s="107"/>
      <c r="Y12" s="107"/>
      <c r="Z12" s="107"/>
      <c r="AA12" s="107"/>
      <c r="AB12" s="107"/>
    </row>
    <row r="13" spans="1:28" s="14"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108"/>
      <c r="U13" s="108"/>
      <c r="V13" s="108"/>
      <c r="W13" s="108"/>
      <c r="X13" s="108"/>
      <c r="Y13" s="108"/>
      <c r="Z13" s="108"/>
      <c r="AA13" s="108"/>
      <c r="AB13" s="108"/>
    </row>
    <row r="14" spans="1:28" s="106" customFormat="1" ht="15.75" x14ac:dyDescent="0.2">
      <c r="A14"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339"/>
      <c r="C14" s="339"/>
      <c r="D14" s="339"/>
      <c r="E14" s="339"/>
      <c r="F14" s="339"/>
      <c r="G14" s="339"/>
      <c r="H14" s="339"/>
      <c r="I14" s="339"/>
      <c r="J14" s="339"/>
      <c r="K14" s="339"/>
      <c r="L14" s="339"/>
      <c r="M14" s="339"/>
      <c r="N14" s="339"/>
      <c r="O14" s="339"/>
      <c r="P14" s="339"/>
      <c r="Q14" s="339"/>
      <c r="R14" s="339"/>
      <c r="S14" s="339"/>
      <c r="T14" s="109"/>
      <c r="U14" s="109"/>
      <c r="V14" s="109"/>
      <c r="W14" s="109"/>
      <c r="X14" s="109"/>
      <c r="Y14" s="109"/>
      <c r="Z14" s="109"/>
      <c r="AA14" s="109"/>
      <c r="AB14" s="109"/>
    </row>
    <row r="15" spans="1:28" s="106" customFormat="1" ht="15" customHeight="1" x14ac:dyDescent="0.2">
      <c r="A15" s="345" t="s">
        <v>4</v>
      </c>
      <c r="B15" s="345"/>
      <c r="C15" s="345"/>
      <c r="D15" s="345"/>
      <c r="E15" s="345"/>
      <c r="F15" s="345"/>
      <c r="G15" s="345"/>
      <c r="H15" s="345"/>
      <c r="I15" s="345"/>
      <c r="J15" s="345"/>
      <c r="K15" s="345"/>
      <c r="L15" s="345"/>
      <c r="M15" s="345"/>
      <c r="N15" s="345"/>
      <c r="O15" s="345"/>
      <c r="P15" s="345"/>
      <c r="Q15" s="345"/>
      <c r="R15" s="345"/>
      <c r="S15" s="345"/>
      <c r="T15" s="110"/>
      <c r="U15" s="110"/>
      <c r="V15" s="110"/>
      <c r="W15" s="110"/>
      <c r="X15" s="110"/>
      <c r="Y15" s="110"/>
      <c r="Z15" s="110"/>
      <c r="AA15" s="110"/>
      <c r="AB15" s="110"/>
    </row>
    <row r="16" spans="1:28" s="106"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108"/>
      <c r="U16" s="108"/>
      <c r="V16" s="108"/>
      <c r="W16" s="108"/>
      <c r="X16" s="108"/>
      <c r="Y16" s="108"/>
    </row>
    <row r="17" spans="1:28" s="106" customFormat="1" ht="45.75" customHeight="1" x14ac:dyDescent="0.2">
      <c r="A17" s="347" t="s">
        <v>382</v>
      </c>
      <c r="B17" s="347"/>
      <c r="C17" s="347"/>
      <c r="D17" s="347"/>
      <c r="E17" s="347"/>
      <c r="F17" s="347"/>
      <c r="G17" s="347"/>
      <c r="H17" s="347"/>
      <c r="I17" s="347"/>
      <c r="J17" s="347"/>
      <c r="K17" s="347"/>
      <c r="L17" s="347"/>
      <c r="M17" s="347"/>
      <c r="N17" s="347"/>
      <c r="O17" s="347"/>
      <c r="P17" s="347"/>
      <c r="Q17" s="347"/>
      <c r="R17" s="347"/>
      <c r="S17" s="347"/>
      <c r="T17" s="111"/>
      <c r="U17" s="111"/>
      <c r="V17" s="111"/>
      <c r="W17" s="111"/>
      <c r="X17" s="111"/>
      <c r="Y17" s="111"/>
      <c r="Z17" s="111"/>
      <c r="AA17" s="111"/>
      <c r="AB17" s="111"/>
    </row>
    <row r="18" spans="1:28" s="106"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108"/>
      <c r="U18" s="108"/>
      <c r="V18" s="108"/>
      <c r="W18" s="108"/>
      <c r="X18" s="108"/>
      <c r="Y18" s="108"/>
    </row>
    <row r="19" spans="1:28" s="106" customFormat="1" ht="54" customHeight="1" x14ac:dyDescent="0.2">
      <c r="A19" s="340" t="s">
        <v>3</v>
      </c>
      <c r="B19" s="340" t="s">
        <v>94</v>
      </c>
      <c r="C19" s="342" t="s">
        <v>304</v>
      </c>
      <c r="D19" s="340" t="s">
        <v>303</v>
      </c>
      <c r="E19" s="340" t="s">
        <v>93</v>
      </c>
      <c r="F19" s="340" t="s">
        <v>92</v>
      </c>
      <c r="G19" s="340" t="s">
        <v>299</v>
      </c>
      <c r="H19" s="340" t="s">
        <v>91</v>
      </c>
      <c r="I19" s="340" t="s">
        <v>90</v>
      </c>
      <c r="J19" s="340" t="s">
        <v>89</v>
      </c>
      <c r="K19" s="340" t="s">
        <v>88</v>
      </c>
      <c r="L19" s="340" t="s">
        <v>87</v>
      </c>
      <c r="M19" s="340" t="s">
        <v>86</v>
      </c>
      <c r="N19" s="340" t="s">
        <v>85</v>
      </c>
      <c r="O19" s="340" t="s">
        <v>84</v>
      </c>
      <c r="P19" s="340" t="s">
        <v>83</v>
      </c>
      <c r="Q19" s="340" t="s">
        <v>302</v>
      </c>
      <c r="R19" s="340"/>
      <c r="S19" s="344" t="s">
        <v>576</v>
      </c>
      <c r="T19" s="108"/>
      <c r="U19" s="108"/>
      <c r="V19" s="108"/>
      <c r="W19" s="108"/>
      <c r="X19" s="108"/>
      <c r="Y19" s="108"/>
    </row>
    <row r="20" spans="1:28" s="106" customFormat="1" ht="180.75" customHeight="1" x14ac:dyDescent="0.2">
      <c r="A20" s="340"/>
      <c r="B20" s="340"/>
      <c r="C20" s="343"/>
      <c r="D20" s="340"/>
      <c r="E20" s="340"/>
      <c r="F20" s="340"/>
      <c r="G20" s="340"/>
      <c r="H20" s="340"/>
      <c r="I20" s="340"/>
      <c r="J20" s="340"/>
      <c r="K20" s="340"/>
      <c r="L20" s="340"/>
      <c r="M20" s="340"/>
      <c r="N20" s="340"/>
      <c r="O20" s="340"/>
      <c r="P20" s="340"/>
      <c r="Q20" s="112" t="s">
        <v>300</v>
      </c>
      <c r="R20" s="113" t="s">
        <v>301</v>
      </c>
      <c r="S20" s="344"/>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114.75" customHeight="1" x14ac:dyDescent="0.2">
      <c r="A22" s="197">
        <v>1</v>
      </c>
      <c r="B22" s="198" t="s">
        <v>650</v>
      </c>
      <c r="C22" s="198" t="s">
        <v>543</v>
      </c>
      <c r="D22" s="198" t="s">
        <v>651</v>
      </c>
      <c r="E22" s="198" t="s">
        <v>664</v>
      </c>
      <c r="F22" s="198" t="s">
        <v>654</v>
      </c>
      <c r="G22" s="199" t="s">
        <v>652</v>
      </c>
      <c r="H22" s="198">
        <v>1840</v>
      </c>
      <c r="I22" s="198">
        <v>0</v>
      </c>
      <c r="J22" s="198">
        <v>1840</v>
      </c>
      <c r="K22" s="198">
        <v>15</v>
      </c>
      <c r="L22" s="198" t="s">
        <v>563</v>
      </c>
      <c r="M22" s="198"/>
      <c r="N22" s="198"/>
      <c r="O22" s="198"/>
      <c r="P22" s="198"/>
      <c r="Q22" s="324" t="s">
        <v>672</v>
      </c>
      <c r="R22" s="198" t="s">
        <v>543</v>
      </c>
      <c r="S22" s="322">
        <v>7.8446450000000015E-2</v>
      </c>
      <c r="T22" s="108"/>
      <c r="U22" s="108"/>
      <c r="V22" s="108"/>
      <c r="W22" s="108"/>
      <c r="X22" s="108"/>
      <c r="Y22" s="108"/>
    </row>
    <row r="23" spans="1:28" s="106" customFormat="1" ht="177.75" customHeight="1" x14ac:dyDescent="0.2">
      <c r="A23" s="197">
        <v>2</v>
      </c>
      <c r="B23" s="198" t="s">
        <v>653</v>
      </c>
      <c r="C23" s="323" t="s">
        <v>667</v>
      </c>
      <c r="D23" s="198" t="s">
        <v>651</v>
      </c>
      <c r="E23" s="198" t="s">
        <v>668</v>
      </c>
      <c r="F23" s="198" t="s">
        <v>669</v>
      </c>
      <c r="G23" s="199" t="s">
        <v>671</v>
      </c>
      <c r="H23" s="198">
        <v>217</v>
      </c>
      <c r="I23" s="198">
        <v>0</v>
      </c>
      <c r="J23" s="198">
        <v>217</v>
      </c>
      <c r="K23" s="198">
        <v>15</v>
      </c>
      <c r="L23" s="198" t="s">
        <v>563</v>
      </c>
      <c r="M23" s="198"/>
      <c r="N23" s="198"/>
      <c r="O23" s="198"/>
      <c r="P23" s="198"/>
      <c r="Q23" s="324" t="s">
        <v>673</v>
      </c>
      <c r="R23" s="198" t="s">
        <v>543</v>
      </c>
      <c r="S23" s="322">
        <f>48.51/1.2</f>
        <v>40.424999999999997</v>
      </c>
      <c r="T23" s="108"/>
      <c r="U23" s="108"/>
      <c r="V23" s="108"/>
      <c r="W23" s="108"/>
      <c r="X23" s="108"/>
      <c r="Y23" s="108"/>
    </row>
    <row r="24" spans="1:28" s="106" customFormat="1" ht="154.5" customHeight="1" x14ac:dyDescent="0.2">
      <c r="A24" s="197">
        <v>3</v>
      </c>
      <c r="B24" s="198" t="s">
        <v>656</v>
      </c>
      <c r="C24" s="198" t="s">
        <v>543</v>
      </c>
      <c r="D24" s="198" t="s">
        <v>651</v>
      </c>
      <c r="E24" s="198" t="s">
        <v>666</v>
      </c>
      <c r="F24" s="198" t="s">
        <v>674</v>
      </c>
      <c r="G24" s="199" t="s">
        <v>665</v>
      </c>
      <c r="H24" s="198">
        <v>600</v>
      </c>
      <c r="I24" s="198">
        <v>0</v>
      </c>
      <c r="J24" s="198">
        <v>600</v>
      </c>
      <c r="K24" s="198">
        <v>0.4</v>
      </c>
      <c r="L24" s="198" t="s">
        <v>563</v>
      </c>
      <c r="M24" s="198"/>
      <c r="N24" s="198"/>
      <c r="O24" s="198"/>
      <c r="P24" s="198"/>
      <c r="Q24" s="324" t="s">
        <v>662</v>
      </c>
      <c r="R24" s="198" t="s">
        <v>543</v>
      </c>
      <c r="S24" s="322">
        <f>0.2202832/1.2</f>
        <v>0.18356933333333336</v>
      </c>
      <c r="T24" s="108"/>
      <c r="U24" s="108"/>
      <c r="V24" s="108"/>
      <c r="W24" s="108"/>
      <c r="X24" s="108"/>
      <c r="Y24" s="108"/>
    </row>
    <row r="25" spans="1:28" s="106" customFormat="1" ht="149.25" customHeight="1" x14ac:dyDescent="0.2">
      <c r="A25" s="197">
        <v>4</v>
      </c>
      <c r="B25" s="323" t="s">
        <v>661</v>
      </c>
      <c r="C25" s="198" t="s">
        <v>543</v>
      </c>
      <c r="D25" s="198" t="s">
        <v>651</v>
      </c>
      <c r="E25" s="198" t="s">
        <v>663</v>
      </c>
      <c r="F25" s="198" t="s">
        <v>655</v>
      </c>
      <c r="G25" s="199" t="s">
        <v>649</v>
      </c>
      <c r="H25" s="198">
        <v>450</v>
      </c>
      <c r="I25" s="198">
        <v>60</v>
      </c>
      <c r="J25" s="198">
        <v>390</v>
      </c>
      <c r="K25" s="198">
        <v>15</v>
      </c>
      <c r="L25" s="198" t="s">
        <v>563</v>
      </c>
      <c r="M25" s="198"/>
      <c r="N25" s="198"/>
      <c r="O25" s="198"/>
      <c r="P25" s="198"/>
      <c r="Q25" s="324" t="s">
        <v>670</v>
      </c>
      <c r="R25" s="198" t="s">
        <v>543</v>
      </c>
      <c r="S25" s="197" t="s">
        <v>543</v>
      </c>
      <c r="T25" s="108"/>
      <c r="U25" s="108"/>
      <c r="V25" s="108"/>
      <c r="W25" s="108"/>
      <c r="X25" s="108"/>
      <c r="Y25" s="108"/>
    </row>
    <row r="26" spans="1:28" ht="34.5" customHeight="1" x14ac:dyDescent="0.25">
      <c r="A26" s="182"/>
      <c r="B26" s="114" t="s">
        <v>297</v>
      </c>
      <c r="C26" s="114"/>
      <c r="D26" s="114"/>
      <c r="E26" s="182"/>
      <c r="F26" s="182" t="s">
        <v>298</v>
      </c>
      <c r="G26" s="182" t="s">
        <v>298</v>
      </c>
      <c r="H26" s="182">
        <f>SUM(H22:H25)</f>
        <v>3.1070000000000002</v>
      </c>
      <c r="I26" s="182">
        <f t="shared" ref="I26:J26" si="0">SUM(I22:I25)</f>
        <v>0.06</v>
      </c>
      <c r="J26" s="182">
        <f t="shared" si="0"/>
        <v>3.0470000000000002</v>
      </c>
      <c r="K26" s="182"/>
      <c r="L26" s="182"/>
      <c r="M26" s="182"/>
      <c r="N26" s="182"/>
      <c r="O26" s="182"/>
      <c r="P26" s="182"/>
      <c r="Q26" s="183"/>
      <c r="R26" s="184"/>
      <c r="S26" s="322">
        <f>SUM(S22:S25)</f>
        <v>40.687015783333329</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8"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H29" sqref="H29"/>
    </sheetView>
  </sheetViews>
  <sheetFormatPr defaultColWidth="10.7109375" defaultRowHeight="15.75" x14ac:dyDescent="0.25"/>
  <cols>
    <col min="1" max="1" width="9.5703125" style="26" customWidth="1"/>
    <col min="2" max="3" width="15.7109375" style="26" customWidth="1"/>
    <col min="4" max="4" width="22" style="26" customWidth="1"/>
    <col min="5" max="5" width="22.140625" style="26" customWidth="1"/>
    <col min="6" max="6" width="23.85546875" style="26" customWidth="1"/>
    <col min="7" max="7" width="8.7109375" style="26" customWidth="1"/>
    <col min="8" max="8" width="16.570312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32" t="str">
        <f>'1. паспорт местоположение'!A5:C5</f>
        <v>Год раскрытия информации: 2024 год</v>
      </c>
      <c r="B6" s="332"/>
      <c r="C6" s="332"/>
      <c r="D6" s="332"/>
      <c r="E6" s="332"/>
      <c r="F6" s="332"/>
      <c r="G6" s="332"/>
      <c r="H6" s="332"/>
      <c r="I6" s="332"/>
      <c r="J6" s="332"/>
      <c r="K6" s="332"/>
      <c r="L6" s="332"/>
      <c r="M6" s="332"/>
      <c r="N6" s="332"/>
      <c r="O6" s="332"/>
      <c r="P6" s="332"/>
      <c r="Q6" s="332"/>
      <c r="R6" s="332"/>
      <c r="S6" s="332"/>
      <c r="T6" s="332"/>
    </row>
    <row r="7" spans="1:20" s="14" customFormat="1" x14ac:dyDescent="0.2">
      <c r="A7" s="105"/>
    </row>
    <row r="8" spans="1:20" s="14"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14"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14" customFormat="1" ht="18.75" customHeight="1" x14ac:dyDescent="0.2">
      <c r="A10" s="339" t="str">
        <f>'1. паспорт местоположение'!A9:C9</f>
        <v xml:space="preserve">Акционерное общество "Западная энергетическая компания" </v>
      </c>
      <c r="B10" s="339"/>
      <c r="C10" s="339"/>
      <c r="D10" s="339"/>
      <c r="E10" s="339"/>
      <c r="F10" s="339"/>
      <c r="G10" s="339"/>
      <c r="H10" s="339"/>
      <c r="I10" s="339"/>
      <c r="J10" s="339"/>
      <c r="K10" s="339"/>
      <c r="L10" s="339"/>
      <c r="M10" s="339"/>
      <c r="N10" s="339"/>
      <c r="O10" s="339"/>
      <c r="P10" s="339"/>
      <c r="Q10" s="339"/>
      <c r="R10" s="339"/>
      <c r="S10" s="339"/>
      <c r="T10" s="339"/>
    </row>
    <row r="11" spans="1:20" s="14" customFormat="1" ht="18.75" customHeight="1" x14ac:dyDescent="0.2">
      <c r="A11" s="345" t="s">
        <v>6</v>
      </c>
      <c r="B11" s="345"/>
      <c r="C11" s="345"/>
      <c r="D11" s="345"/>
      <c r="E11" s="345"/>
      <c r="F11" s="345"/>
      <c r="G11" s="345"/>
      <c r="H11" s="345"/>
      <c r="I11" s="345"/>
      <c r="J11" s="345"/>
      <c r="K11" s="345"/>
      <c r="L11" s="345"/>
      <c r="M11" s="345"/>
      <c r="N11" s="345"/>
      <c r="O11" s="345"/>
      <c r="P11" s="345"/>
      <c r="Q11" s="345"/>
      <c r="R11" s="345"/>
      <c r="S11" s="345"/>
      <c r="T11" s="345"/>
    </row>
    <row r="12" spans="1:20" s="14"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14" customFormat="1" ht="18.75" customHeight="1" x14ac:dyDescent="0.2">
      <c r="A13" s="339" t="str">
        <f>'1. паспорт местоположение'!A12:C12</f>
        <v>M 22-01</v>
      </c>
      <c r="B13" s="339"/>
      <c r="C13" s="339"/>
      <c r="D13" s="339"/>
      <c r="E13" s="339"/>
      <c r="F13" s="339"/>
      <c r="G13" s="339"/>
      <c r="H13" s="339"/>
      <c r="I13" s="339"/>
      <c r="J13" s="339"/>
      <c r="K13" s="339"/>
      <c r="L13" s="339"/>
      <c r="M13" s="339"/>
      <c r="N13" s="339"/>
      <c r="O13" s="339"/>
      <c r="P13" s="339"/>
      <c r="Q13" s="339"/>
      <c r="R13" s="339"/>
      <c r="S13" s="339"/>
      <c r="T13" s="339"/>
    </row>
    <row r="14" spans="1:20" s="14" customFormat="1" ht="18.75" customHeight="1" x14ac:dyDescent="0.2">
      <c r="A14" s="345" t="s">
        <v>5</v>
      </c>
      <c r="B14" s="345"/>
      <c r="C14" s="345"/>
      <c r="D14" s="345"/>
      <c r="E14" s="345"/>
      <c r="F14" s="345"/>
      <c r="G14" s="345"/>
      <c r="H14" s="345"/>
      <c r="I14" s="345"/>
      <c r="J14" s="345"/>
      <c r="K14" s="345"/>
      <c r="L14" s="345"/>
      <c r="M14" s="345"/>
      <c r="N14" s="345"/>
      <c r="O14" s="345"/>
      <c r="P14" s="345"/>
      <c r="Q14" s="345"/>
      <c r="R14" s="345"/>
      <c r="S14" s="345"/>
      <c r="T14" s="345"/>
    </row>
    <row r="15" spans="1:20" s="14" customFormat="1" ht="15.75" customHeight="1" x14ac:dyDescent="0.2">
      <c r="A15" s="346"/>
      <c r="B15" s="346"/>
      <c r="C15" s="346"/>
      <c r="D15" s="346"/>
      <c r="E15" s="346"/>
      <c r="F15" s="346"/>
      <c r="G15" s="346"/>
      <c r="H15" s="346"/>
      <c r="I15" s="346"/>
      <c r="J15" s="346"/>
      <c r="K15" s="346"/>
      <c r="L15" s="346"/>
      <c r="M15" s="346"/>
      <c r="N15" s="346"/>
      <c r="O15" s="346"/>
      <c r="P15" s="346"/>
      <c r="Q15" s="346"/>
      <c r="R15" s="346"/>
      <c r="S15" s="346"/>
      <c r="T15" s="346"/>
    </row>
    <row r="16" spans="1:20" s="106" customFormat="1" x14ac:dyDescent="0.2">
      <c r="A16"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6" s="339"/>
      <c r="C16" s="339"/>
      <c r="D16" s="339"/>
      <c r="E16" s="339"/>
      <c r="F16" s="339"/>
      <c r="G16" s="339"/>
      <c r="H16" s="339"/>
      <c r="I16" s="339"/>
      <c r="J16" s="339"/>
      <c r="K16" s="339"/>
      <c r="L16" s="339"/>
      <c r="M16" s="339"/>
      <c r="N16" s="339"/>
      <c r="O16" s="339"/>
      <c r="P16" s="339"/>
      <c r="Q16" s="339"/>
      <c r="R16" s="339"/>
      <c r="S16" s="339"/>
      <c r="T16" s="339"/>
    </row>
    <row r="17" spans="1:20" s="106" customFormat="1" ht="15" customHeight="1" x14ac:dyDescent="0.2">
      <c r="A17" s="345" t="s">
        <v>4</v>
      </c>
      <c r="B17" s="345"/>
      <c r="C17" s="345"/>
      <c r="D17" s="345"/>
      <c r="E17" s="345"/>
      <c r="F17" s="345"/>
      <c r="G17" s="345"/>
      <c r="H17" s="345"/>
      <c r="I17" s="345"/>
      <c r="J17" s="345"/>
      <c r="K17" s="345"/>
      <c r="L17" s="345"/>
      <c r="M17" s="345"/>
      <c r="N17" s="345"/>
      <c r="O17" s="345"/>
      <c r="P17" s="345"/>
      <c r="Q17" s="345"/>
      <c r="R17" s="345"/>
      <c r="S17" s="345"/>
      <c r="T17" s="345"/>
    </row>
    <row r="18" spans="1:20" s="106"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20" s="106" customFormat="1" ht="15" customHeight="1" x14ac:dyDescent="0.2">
      <c r="A19" s="366" t="s">
        <v>387</v>
      </c>
      <c r="B19" s="366"/>
      <c r="C19" s="366"/>
      <c r="D19" s="366"/>
      <c r="E19" s="366"/>
      <c r="F19" s="366"/>
      <c r="G19" s="366"/>
      <c r="H19" s="366"/>
      <c r="I19" s="366"/>
      <c r="J19" s="366"/>
      <c r="K19" s="366"/>
      <c r="L19" s="366"/>
      <c r="M19" s="366"/>
      <c r="N19" s="366"/>
      <c r="O19" s="366"/>
      <c r="P19" s="366"/>
      <c r="Q19" s="366"/>
      <c r="R19" s="366"/>
      <c r="S19" s="366"/>
      <c r="T19" s="366"/>
    </row>
    <row r="20" spans="1:20" s="27"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25">
      <c r="A21" s="360" t="s">
        <v>3</v>
      </c>
      <c r="B21" s="350" t="s">
        <v>200</v>
      </c>
      <c r="C21" s="351"/>
      <c r="D21" s="354" t="s">
        <v>116</v>
      </c>
      <c r="E21" s="350" t="s">
        <v>415</v>
      </c>
      <c r="F21" s="351"/>
      <c r="G21" s="350" t="s">
        <v>239</v>
      </c>
      <c r="H21" s="351"/>
      <c r="I21" s="350" t="s">
        <v>115</v>
      </c>
      <c r="J21" s="351"/>
      <c r="K21" s="354" t="s">
        <v>114</v>
      </c>
      <c r="L21" s="350" t="s">
        <v>113</v>
      </c>
      <c r="M21" s="351"/>
      <c r="N21" s="350" t="s">
        <v>445</v>
      </c>
      <c r="O21" s="351"/>
      <c r="P21" s="354" t="s">
        <v>112</v>
      </c>
      <c r="Q21" s="363" t="s">
        <v>111</v>
      </c>
      <c r="R21" s="364"/>
      <c r="S21" s="363" t="s">
        <v>110</v>
      </c>
      <c r="T21" s="365"/>
    </row>
    <row r="22" spans="1:20" ht="204.75" customHeight="1" x14ac:dyDescent="0.25">
      <c r="A22" s="361"/>
      <c r="B22" s="352"/>
      <c r="C22" s="353"/>
      <c r="D22" s="356"/>
      <c r="E22" s="352"/>
      <c r="F22" s="353"/>
      <c r="G22" s="352"/>
      <c r="H22" s="353"/>
      <c r="I22" s="352"/>
      <c r="J22" s="353"/>
      <c r="K22" s="355"/>
      <c r="L22" s="352"/>
      <c r="M22" s="353"/>
      <c r="N22" s="352"/>
      <c r="O22" s="353"/>
      <c r="P22" s="355"/>
      <c r="Q22" s="54" t="s">
        <v>109</v>
      </c>
      <c r="R22" s="54" t="s">
        <v>386</v>
      </c>
      <c r="S22" s="54" t="s">
        <v>108</v>
      </c>
      <c r="T22" s="54" t="s">
        <v>107</v>
      </c>
    </row>
    <row r="23" spans="1:20" ht="51.75" customHeight="1" x14ac:dyDescent="0.25">
      <c r="A23" s="362"/>
      <c r="B23" s="54" t="s">
        <v>105</v>
      </c>
      <c r="C23" s="54" t="s">
        <v>106</v>
      </c>
      <c r="D23" s="355"/>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78.599999999999994" customHeight="1" x14ac:dyDescent="0.25">
      <c r="A25" s="90">
        <v>1</v>
      </c>
      <c r="B25" s="357" t="s">
        <v>636</v>
      </c>
      <c r="C25" s="357" t="s">
        <v>636</v>
      </c>
      <c r="D25" s="90" t="s">
        <v>439</v>
      </c>
      <c r="E25" s="90" t="s">
        <v>557</v>
      </c>
      <c r="F25" s="90" t="s">
        <v>629</v>
      </c>
      <c r="G25" s="90" t="s">
        <v>628</v>
      </c>
      <c r="H25" s="90" t="s">
        <v>558</v>
      </c>
      <c r="I25" s="90">
        <v>2002</v>
      </c>
      <c r="J25" s="91" t="s">
        <v>630</v>
      </c>
      <c r="K25" s="90" t="s">
        <v>298</v>
      </c>
      <c r="L25" s="90" t="s">
        <v>298</v>
      </c>
      <c r="M25" s="90">
        <v>110</v>
      </c>
      <c r="N25" s="90">
        <v>16</v>
      </c>
      <c r="O25" s="90">
        <v>26</v>
      </c>
      <c r="P25" s="90" t="s">
        <v>298</v>
      </c>
      <c r="Q25" s="90" t="s">
        <v>298</v>
      </c>
      <c r="R25" s="90" t="s">
        <v>298</v>
      </c>
      <c r="S25" s="90" t="s">
        <v>298</v>
      </c>
      <c r="T25" s="90" t="s">
        <v>298</v>
      </c>
    </row>
    <row r="26" spans="1:20" s="27" customFormat="1" ht="63" x14ac:dyDescent="0.25">
      <c r="A26" s="90"/>
      <c r="B26" s="358"/>
      <c r="C26" s="358"/>
      <c r="D26" s="90" t="s">
        <v>385</v>
      </c>
      <c r="E26" s="90" t="s">
        <v>631</v>
      </c>
      <c r="F26" s="90" t="s">
        <v>631</v>
      </c>
      <c r="G26" s="90" t="s">
        <v>298</v>
      </c>
      <c r="H26" s="90" t="s">
        <v>632</v>
      </c>
      <c r="I26" s="90">
        <v>2001</v>
      </c>
      <c r="J26" s="91" t="s">
        <v>633</v>
      </c>
      <c r="K26" s="90">
        <v>2001</v>
      </c>
      <c r="L26" s="90">
        <v>2022</v>
      </c>
      <c r="M26" s="90">
        <v>110</v>
      </c>
      <c r="N26" s="90">
        <v>1</v>
      </c>
      <c r="O26" s="90">
        <v>3</v>
      </c>
      <c r="P26" s="90" t="s">
        <v>298</v>
      </c>
      <c r="Q26" s="90" t="s">
        <v>298</v>
      </c>
      <c r="R26" s="90" t="s">
        <v>298</v>
      </c>
      <c r="S26" s="90" t="s">
        <v>298</v>
      </c>
      <c r="T26" s="90" t="s">
        <v>298</v>
      </c>
    </row>
    <row r="27" spans="1:20" s="27" customFormat="1" ht="31.5" x14ac:dyDescent="0.25">
      <c r="A27" s="90"/>
      <c r="B27" s="358"/>
      <c r="C27" s="358"/>
      <c r="D27" s="90" t="s">
        <v>553</v>
      </c>
      <c r="E27" s="90" t="s">
        <v>298</v>
      </c>
      <c r="F27" s="90" t="s">
        <v>554</v>
      </c>
      <c r="G27" s="90" t="s">
        <v>298</v>
      </c>
      <c r="H27" s="90" t="s">
        <v>559</v>
      </c>
      <c r="I27" s="90" t="s">
        <v>298</v>
      </c>
      <c r="J27" s="91" t="s">
        <v>633</v>
      </c>
      <c r="K27" s="90">
        <v>2002</v>
      </c>
      <c r="L27" s="90">
        <v>15</v>
      </c>
      <c r="M27" s="90">
        <v>15</v>
      </c>
      <c r="N27" s="90">
        <v>0.5</v>
      </c>
      <c r="O27" s="90">
        <v>1</v>
      </c>
      <c r="P27" s="90" t="s">
        <v>298</v>
      </c>
      <c r="Q27" s="90" t="s">
        <v>298</v>
      </c>
      <c r="R27" s="90" t="s">
        <v>298</v>
      </c>
      <c r="S27" s="90" t="s">
        <v>298</v>
      </c>
      <c r="T27" s="90" t="s">
        <v>298</v>
      </c>
    </row>
    <row r="28" spans="1:20" s="27" customFormat="1" ht="31.5" x14ac:dyDescent="0.25">
      <c r="A28" s="90"/>
      <c r="B28" s="358"/>
      <c r="C28" s="358"/>
      <c r="D28" s="90" t="s">
        <v>561</v>
      </c>
      <c r="E28" s="90" t="s">
        <v>298</v>
      </c>
      <c r="F28" s="90"/>
      <c r="G28" s="90"/>
      <c r="H28" s="90" t="s">
        <v>560</v>
      </c>
      <c r="I28" s="90"/>
      <c r="J28" s="91" t="s">
        <v>633</v>
      </c>
      <c r="K28" s="90">
        <v>2002</v>
      </c>
      <c r="L28" s="90">
        <v>15</v>
      </c>
      <c r="M28" s="90">
        <v>15</v>
      </c>
      <c r="N28" s="90">
        <v>0.1</v>
      </c>
      <c r="O28" s="90">
        <v>0.2</v>
      </c>
      <c r="P28" s="90" t="s">
        <v>298</v>
      </c>
      <c r="Q28" s="90" t="s">
        <v>298</v>
      </c>
      <c r="R28" s="90" t="s">
        <v>298</v>
      </c>
      <c r="S28" s="90" t="s">
        <v>298</v>
      </c>
      <c r="T28" s="90" t="s">
        <v>298</v>
      </c>
    </row>
    <row r="29" spans="1:20" s="27" customFormat="1" ht="31.5" x14ac:dyDescent="0.25">
      <c r="A29" s="90">
        <v>2</v>
      </c>
      <c r="B29" s="359"/>
      <c r="C29" s="359"/>
      <c r="D29" s="90" t="s">
        <v>555</v>
      </c>
      <c r="E29" s="90" t="s">
        <v>642</v>
      </c>
      <c r="F29" s="90" t="s">
        <v>643</v>
      </c>
      <c r="G29" s="90" t="s">
        <v>644</v>
      </c>
      <c r="H29" s="90" t="s">
        <v>634</v>
      </c>
      <c r="I29" s="90">
        <v>2002</v>
      </c>
      <c r="J29" s="91" t="s">
        <v>633</v>
      </c>
      <c r="K29" s="90">
        <v>2002</v>
      </c>
      <c r="L29" s="90">
        <v>15</v>
      </c>
      <c r="M29" s="90">
        <v>15</v>
      </c>
      <c r="N29" s="90">
        <v>5</v>
      </c>
      <c r="O29" s="90">
        <v>14</v>
      </c>
      <c r="P29" s="90" t="s">
        <v>298</v>
      </c>
      <c r="Q29" s="90" t="s">
        <v>298</v>
      </c>
      <c r="R29" s="90" t="s">
        <v>298</v>
      </c>
      <c r="S29" s="90" t="s">
        <v>298</v>
      </c>
      <c r="T29" s="90" t="s">
        <v>298</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49" t="s">
        <v>421</v>
      </c>
      <c r="C32" s="349"/>
      <c r="D32" s="349"/>
      <c r="E32" s="349"/>
      <c r="F32" s="349"/>
      <c r="G32" s="349"/>
      <c r="H32" s="349"/>
      <c r="I32" s="349"/>
      <c r="J32" s="349"/>
      <c r="K32" s="349"/>
      <c r="L32" s="349"/>
      <c r="M32" s="349"/>
      <c r="N32" s="349"/>
      <c r="O32" s="349"/>
      <c r="P32" s="349"/>
      <c r="Q32" s="349"/>
      <c r="R32" s="349"/>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E15" sqref="E15:Y15"/>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32" t="str">
        <f>'1. паспорт местоположение'!A5:C5</f>
        <v>Год раскрытия информации: 2024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39" t="str">
        <f>'1. паспорт местоположение'!A9</f>
        <v xml:space="preserve">Акционерное общество "Западная энергетическая компания" </v>
      </c>
      <c r="F9" s="339"/>
      <c r="G9" s="339"/>
      <c r="H9" s="339"/>
      <c r="I9" s="339"/>
      <c r="J9" s="339"/>
      <c r="K9" s="339"/>
      <c r="L9" s="339"/>
      <c r="M9" s="339"/>
      <c r="N9" s="339"/>
      <c r="O9" s="339"/>
      <c r="P9" s="339"/>
      <c r="Q9" s="339"/>
      <c r="R9" s="339"/>
      <c r="S9" s="339"/>
      <c r="T9" s="339"/>
      <c r="U9" s="339"/>
      <c r="V9" s="339"/>
      <c r="W9" s="339"/>
      <c r="X9" s="339"/>
      <c r="Y9" s="339"/>
    </row>
    <row r="10" spans="1:27" s="14"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39" t="str">
        <f>'1. паспорт местоположение'!A12</f>
        <v>M 22-01</v>
      </c>
      <c r="F12" s="339"/>
      <c r="G12" s="339"/>
      <c r="H12" s="339"/>
      <c r="I12" s="339"/>
      <c r="J12" s="339"/>
      <c r="K12" s="339"/>
      <c r="L12" s="339"/>
      <c r="M12" s="339"/>
      <c r="N12" s="339"/>
      <c r="O12" s="339"/>
      <c r="P12" s="339"/>
      <c r="Q12" s="339"/>
      <c r="R12" s="339"/>
      <c r="S12" s="339"/>
      <c r="T12" s="339"/>
      <c r="U12" s="339"/>
      <c r="V12" s="339"/>
      <c r="W12" s="339"/>
      <c r="X12" s="339"/>
      <c r="Y12" s="339"/>
    </row>
    <row r="13" spans="1:27" s="14" customFormat="1" ht="18.75" customHeight="1" x14ac:dyDescent="0.2">
      <c r="E13" s="345" t="s">
        <v>5</v>
      </c>
      <c r="F13" s="345"/>
      <c r="G13" s="345"/>
      <c r="H13" s="345"/>
      <c r="I13" s="345"/>
      <c r="J13" s="345"/>
      <c r="K13" s="345"/>
      <c r="L13" s="345"/>
      <c r="M13" s="345"/>
      <c r="N13" s="345"/>
      <c r="O13" s="345"/>
      <c r="P13" s="345"/>
      <c r="Q13" s="345"/>
      <c r="R13" s="345"/>
      <c r="S13" s="345"/>
      <c r="T13" s="345"/>
      <c r="U13" s="345"/>
      <c r="V13" s="345"/>
      <c r="W13" s="345"/>
      <c r="X13" s="345"/>
      <c r="Y13" s="345"/>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39" t="str">
        <f>'1. паспорт местоположение'!A15</f>
        <v>Строительство второй очереди ПС 110 Прибрежная с установкой второго трансформатора 10МВА г. Калининград, пос. Прибрежный</v>
      </c>
      <c r="F15" s="339"/>
      <c r="G15" s="339"/>
      <c r="H15" s="339"/>
      <c r="I15" s="339"/>
      <c r="J15" s="339"/>
      <c r="K15" s="339"/>
      <c r="L15" s="339"/>
      <c r="M15" s="339"/>
      <c r="N15" s="339"/>
      <c r="O15" s="339"/>
      <c r="P15" s="339"/>
      <c r="Q15" s="339"/>
      <c r="R15" s="339"/>
      <c r="S15" s="339"/>
      <c r="T15" s="339"/>
      <c r="U15" s="339"/>
      <c r="V15" s="339"/>
      <c r="W15" s="339"/>
      <c r="X15" s="339"/>
      <c r="Y15" s="339"/>
    </row>
    <row r="16" spans="1:27" s="106" customFormat="1" ht="15" customHeight="1" x14ac:dyDescent="0.2">
      <c r="E16" s="345" t="s">
        <v>4</v>
      </c>
      <c r="F16" s="345"/>
      <c r="G16" s="345"/>
      <c r="H16" s="345"/>
      <c r="I16" s="345"/>
      <c r="J16" s="345"/>
      <c r="K16" s="345"/>
      <c r="L16" s="345"/>
      <c r="M16" s="345"/>
      <c r="N16" s="345"/>
      <c r="O16" s="345"/>
      <c r="P16" s="345"/>
      <c r="Q16" s="345"/>
      <c r="R16" s="345"/>
      <c r="S16" s="345"/>
      <c r="T16" s="345"/>
      <c r="U16" s="345"/>
      <c r="V16" s="345"/>
      <c r="W16" s="345"/>
      <c r="X16" s="345"/>
      <c r="Y16" s="345"/>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389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27" customFormat="1" ht="21" customHeight="1" x14ac:dyDescent="0.25"/>
    <row r="21" spans="1:27" ht="15.75" customHeight="1" x14ac:dyDescent="0.25">
      <c r="A21" s="354" t="s">
        <v>3</v>
      </c>
      <c r="B21" s="350" t="s">
        <v>396</v>
      </c>
      <c r="C21" s="351"/>
      <c r="D21" s="350" t="s">
        <v>398</v>
      </c>
      <c r="E21" s="351"/>
      <c r="F21" s="363" t="s">
        <v>88</v>
      </c>
      <c r="G21" s="365"/>
      <c r="H21" s="365"/>
      <c r="I21" s="364"/>
      <c r="J21" s="354" t="s">
        <v>399</v>
      </c>
      <c r="K21" s="350" t="s">
        <v>400</v>
      </c>
      <c r="L21" s="351"/>
      <c r="M21" s="350" t="s">
        <v>401</v>
      </c>
      <c r="N21" s="351"/>
      <c r="O21" s="350" t="s">
        <v>388</v>
      </c>
      <c r="P21" s="351"/>
      <c r="Q21" s="350" t="s">
        <v>121</v>
      </c>
      <c r="R21" s="351"/>
      <c r="S21" s="354" t="s">
        <v>120</v>
      </c>
      <c r="T21" s="354" t="s">
        <v>402</v>
      </c>
      <c r="U21" s="354" t="s">
        <v>397</v>
      </c>
      <c r="V21" s="350" t="s">
        <v>119</v>
      </c>
      <c r="W21" s="351"/>
      <c r="X21" s="363" t="s">
        <v>111</v>
      </c>
      <c r="Y21" s="365"/>
      <c r="Z21" s="363" t="s">
        <v>110</v>
      </c>
      <c r="AA21" s="365"/>
    </row>
    <row r="22" spans="1:27" ht="216" customHeight="1" x14ac:dyDescent="0.25">
      <c r="A22" s="356"/>
      <c r="B22" s="352"/>
      <c r="C22" s="353"/>
      <c r="D22" s="352"/>
      <c r="E22" s="353"/>
      <c r="F22" s="363" t="s">
        <v>118</v>
      </c>
      <c r="G22" s="364"/>
      <c r="H22" s="363" t="s">
        <v>117</v>
      </c>
      <c r="I22" s="364"/>
      <c r="J22" s="355"/>
      <c r="K22" s="352"/>
      <c r="L22" s="353"/>
      <c r="M22" s="352"/>
      <c r="N22" s="353"/>
      <c r="O22" s="352"/>
      <c r="P22" s="353"/>
      <c r="Q22" s="352"/>
      <c r="R22" s="353"/>
      <c r="S22" s="355"/>
      <c r="T22" s="355"/>
      <c r="U22" s="355"/>
      <c r="V22" s="352"/>
      <c r="W22" s="353"/>
      <c r="X22" s="54" t="s">
        <v>109</v>
      </c>
      <c r="Y22" s="54" t="s">
        <v>386</v>
      </c>
      <c r="Z22" s="54" t="s">
        <v>108</v>
      </c>
      <c r="AA22" s="54" t="s">
        <v>107</v>
      </c>
    </row>
    <row r="23" spans="1:27" ht="60" customHeight="1" x14ac:dyDescent="0.25">
      <c r="A23" s="355"/>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63" x14ac:dyDescent="0.25">
      <c r="A25" s="305">
        <v>1</v>
      </c>
      <c r="B25" s="92" t="s">
        <v>639</v>
      </c>
      <c r="C25" s="305" t="s">
        <v>637</v>
      </c>
      <c r="D25" s="305" t="s">
        <v>298</v>
      </c>
      <c r="E25" s="305" t="s">
        <v>637</v>
      </c>
      <c r="F25" s="305">
        <v>110</v>
      </c>
      <c r="G25" s="305">
        <v>110</v>
      </c>
      <c r="H25" s="305">
        <v>110</v>
      </c>
      <c r="I25" s="305">
        <v>110</v>
      </c>
      <c r="J25" s="305">
        <v>2022</v>
      </c>
      <c r="K25" s="305" t="s">
        <v>298</v>
      </c>
      <c r="L25" s="305" t="s">
        <v>635</v>
      </c>
      <c r="M25" s="305">
        <v>120</v>
      </c>
      <c r="N25" s="305">
        <v>120</v>
      </c>
      <c r="O25" s="305" t="s">
        <v>298</v>
      </c>
      <c r="P25" s="305" t="s">
        <v>571</v>
      </c>
      <c r="Q25" s="305" t="s">
        <v>298</v>
      </c>
      <c r="R25" s="305"/>
      <c r="S25" s="305" t="s">
        <v>298</v>
      </c>
      <c r="T25" s="90" t="s">
        <v>298</v>
      </c>
      <c r="U25" s="90" t="s">
        <v>298</v>
      </c>
      <c r="V25" s="90" t="s">
        <v>298</v>
      </c>
      <c r="W25" s="90"/>
      <c r="X25" s="90" t="s">
        <v>298</v>
      </c>
      <c r="Y25" s="90" t="s">
        <v>298</v>
      </c>
      <c r="Z25" s="90" t="s">
        <v>298</v>
      </c>
      <c r="AA25" s="90" t="s">
        <v>298</v>
      </c>
    </row>
    <row r="26" spans="1:27" s="30" customFormat="1" ht="91.15" customHeight="1" x14ac:dyDescent="0.2">
      <c r="A26" s="310">
        <v>2</v>
      </c>
      <c r="B26" s="309" t="s">
        <v>298</v>
      </c>
      <c r="C26" s="307" t="s">
        <v>638</v>
      </c>
      <c r="D26" s="306"/>
      <c r="E26" s="307" t="s">
        <v>638</v>
      </c>
      <c r="F26" s="309" t="s">
        <v>298</v>
      </c>
      <c r="G26" s="310">
        <v>110</v>
      </c>
      <c r="H26" s="310" t="s">
        <v>298</v>
      </c>
      <c r="I26" s="310">
        <v>110</v>
      </c>
      <c r="J26" s="310">
        <v>2022</v>
      </c>
      <c r="K26" s="306"/>
      <c r="L26" s="308" t="s">
        <v>635</v>
      </c>
      <c r="M26" s="309" t="s">
        <v>298</v>
      </c>
      <c r="N26" s="310">
        <v>120</v>
      </c>
      <c r="O26" s="306"/>
      <c r="P26" s="310" t="s">
        <v>571</v>
      </c>
      <c r="Q26" s="306"/>
      <c r="R26" s="306"/>
      <c r="S26" s="306"/>
      <c r="T26" s="306"/>
      <c r="U26" s="306"/>
      <c r="V26" s="306"/>
      <c r="W26" s="306"/>
      <c r="X26" s="306"/>
      <c r="Y26" s="306"/>
      <c r="Z26" s="306"/>
      <c r="AA26" s="306"/>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B40" sqref="B4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32" t="str">
        <f>'1. паспорт местоположение'!A5:C5</f>
        <v>Год раскрытия информации: 2024 год</v>
      </c>
      <c r="B5" s="332"/>
      <c r="C5" s="332"/>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4" customFormat="1" ht="18.75" x14ac:dyDescent="0.3">
      <c r="A6" s="105"/>
      <c r="G6" s="12"/>
    </row>
    <row r="7" spans="1:29" s="14" customFormat="1" ht="18.75" x14ac:dyDescent="0.2">
      <c r="A7" s="341" t="s">
        <v>7</v>
      </c>
      <c r="B7" s="341"/>
      <c r="C7" s="341"/>
      <c r="D7" s="107"/>
      <c r="E7" s="107"/>
      <c r="F7" s="107"/>
      <c r="G7" s="107"/>
      <c r="H7" s="107"/>
      <c r="I7" s="107"/>
      <c r="J7" s="107"/>
      <c r="K7" s="107"/>
      <c r="L7" s="107"/>
      <c r="M7" s="107"/>
      <c r="N7" s="107"/>
      <c r="O7" s="107"/>
      <c r="P7" s="107"/>
      <c r="Q7" s="107"/>
      <c r="R7" s="107"/>
      <c r="S7" s="107"/>
      <c r="T7" s="107"/>
      <c r="U7" s="107"/>
    </row>
    <row r="8" spans="1:29" s="14" customFormat="1" ht="18.75" x14ac:dyDescent="0.2">
      <c r="A8" s="341"/>
      <c r="B8" s="341"/>
      <c r="C8" s="341"/>
      <c r="D8" s="118"/>
      <c r="E8" s="118"/>
      <c r="F8" s="118"/>
      <c r="G8" s="118"/>
      <c r="H8" s="107"/>
      <c r="I8" s="107"/>
      <c r="J8" s="107"/>
      <c r="K8" s="107"/>
      <c r="L8" s="107"/>
      <c r="M8" s="107"/>
      <c r="N8" s="107"/>
      <c r="O8" s="107"/>
      <c r="P8" s="107"/>
      <c r="Q8" s="107"/>
      <c r="R8" s="107"/>
      <c r="S8" s="107"/>
      <c r="T8" s="107"/>
      <c r="U8" s="107"/>
    </row>
    <row r="9" spans="1:29" s="14" customFormat="1" ht="18.75" x14ac:dyDescent="0.2">
      <c r="A9" s="339" t="str">
        <f>'1. паспорт местоположение'!A9:C9</f>
        <v xml:space="preserve">Акционерное общество "Западная энергетическая компания" </v>
      </c>
      <c r="B9" s="339"/>
      <c r="C9" s="339"/>
      <c r="D9" s="109"/>
      <c r="E9" s="109"/>
      <c r="F9" s="109"/>
      <c r="G9" s="109"/>
      <c r="H9" s="107"/>
      <c r="I9" s="107"/>
      <c r="J9" s="107"/>
      <c r="K9" s="107"/>
      <c r="L9" s="107"/>
      <c r="M9" s="107"/>
      <c r="N9" s="107"/>
      <c r="O9" s="107"/>
      <c r="P9" s="107"/>
      <c r="Q9" s="107"/>
      <c r="R9" s="107"/>
      <c r="S9" s="107"/>
      <c r="T9" s="107"/>
      <c r="U9" s="107"/>
    </row>
    <row r="10" spans="1:29" s="14" customFormat="1" ht="18.75" x14ac:dyDescent="0.2">
      <c r="A10" s="345" t="s">
        <v>6</v>
      </c>
      <c r="B10" s="345"/>
      <c r="C10" s="345"/>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41"/>
      <c r="B11" s="341"/>
      <c r="C11" s="341"/>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39" t="str">
        <f>'1. паспорт местоположение'!A12:C12</f>
        <v>M 22-01</v>
      </c>
      <c r="B12" s="339"/>
      <c r="C12" s="339"/>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45" t="s">
        <v>5</v>
      </c>
      <c r="B13" s="345"/>
      <c r="C13" s="345"/>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46"/>
      <c r="B14" s="346"/>
      <c r="C14" s="346"/>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6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68"/>
      <c r="C15" s="368"/>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45" t="s">
        <v>4</v>
      </c>
      <c r="B16" s="345"/>
      <c r="C16" s="345"/>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46"/>
      <c r="B17" s="346"/>
      <c r="C17" s="346"/>
      <c r="D17" s="108"/>
      <c r="E17" s="108"/>
      <c r="F17" s="108"/>
      <c r="G17" s="108"/>
      <c r="H17" s="108"/>
      <c r="I17" s="108"/>
      <c r="J17" s="108"/>
      <c r="K17" s="108"/>
      <c r="L17" s="108"/>
      <c r="M17" s="108"/>
      <c r="N17" s="108"/>
      <c r="O17" s="108"/>
      <c r="P17" s="108"/>
      <c r="Q17" s="108"/>
      <c r="R17" s="108"/>
    </row>
    <row r="18" spans="1:21" s="106" customFormat="1" ht="27.75" customHeight="1" x14ac:dyDescent="0.2">
      <c r="A18" s="347" t="s">
        <v>381</v>
      </c>
      <c r="B18" s="347"/>
      <c r="C18" s="347"/>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54.6" customHeight="1" x14ac:dyDescent="0.2">
      <c r="A22" s="120" t="s">
        <v>62</v>
      </c>
      <c r="B22" s="17" t="s">
        <v>394</v>
      </c>
      <c r="C22" s="180" t="s">
        <v>640</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657</v>
      </c>
    </row>
    <row r="24" spans="1:21" ht="133.5" customHeight="1" x14ac:dyDescent="0.25">
      <c r="A24" s="120" t="s">
        <v>60</v>
      </c>
      <c r="B24" s="121" t="s">
        <v>413</v>
      </c>
      <c r="C24" s="25" t="s">
        <v>641</v>
      </c>
    </row>
    <row r="25" spans="1:21" ht="63" customHeight="1" x14ac:dyDescent="0.25">
      <c r="A25" s="120" t="s">
        <v>59</v>
      </c>
      <c r="B25" s="121" t="s">
        <v>414</v>
      </c>
      <c r="C25" s="122" t="s">
        <v>660</v>
      </c>
    </row>
    <row r="26" spans="1:21" ht="42.75" customHeight="1" x14ac:dyDescent="0.25">
      <c r="A26" s="120" t="s">
        <v>57</v>
      </c>
      <c r="B26" s="121" t="s">
        <v>208</v>
      </c>
      <c r="C26" s="119" t="s">
        <v>438</v>
      </c>
    </row>
    <row r="27" spans="1:21" ht="47.25" x14ac:dyDescent="0.25">
      <c r="A27" s="120" t="s">
        <v>56</v>
      </c>
      <c r="B27" s="121" t="s">
        <v>395</v>
      </c>
      <c r="C27" s="119" t="s">
        <v>659</v>
      </c>
    </row>
    <row r="28" spans="1:21" ht="42.75" customHeight="1" x14ac:dyDescent="0.25">
      <c r="A28" s="120" t="s">
        <v>54</v>
      </c>
      <c r="B28" s="121" t="s">
        <v>55</v>
      </c>
      <c r="C28" s="122">
        <v>2022</v>
      </c>
    </row>
    <row r="29" spans="1:21" ht="42.75" customHeight="1" x14ac:dyDescent="0.25">
      <c r="A29" s="120" t="s">
        <v>52</v>
      </c>
      <c r="B29" s="119" t="s">
        <v>53</v>
      </c>
      <c r="C29" s="122">
        <v>2024</v>
      </c>
    </row>
    <row r="30" spans="1:21" ht="42.75" customHeight="1" x14ac:dyDescent="0.25">
      <c r="A30" s="120" t="s">
        <v>70</v>
      </c>
      <c r="B30" s="119" t="s">
        <v>51</v>
      </c>
      <c r="C30" s="119" t="s">
        <v>676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32" t="str">
        <f>'1. паспорт местоположение'!A5:C5</f>
        <v>Год раскрытия информации: 2024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7"/>
      <c r="AB6" s="107"/>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7"/>
      <c r="AB7" s="107"/>
    </row>
    <row r="8" spans="1:28" ht="15.75" x14ac:dyDescent="0.25">
      <c r="A8" s="339" t="str">
        <f>'1. паспорт местоположение'!A9:C9</f>
        <v xml:space="preserve">Акционерное общество "Западная энергетическая компания" </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109"/>
      <c r="AB8" s="109"/>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10"/>
      <c r="AB9" s="110"/>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7"/>
      <c r="AB10" s="107"/>
    </row>
    <row r="11" spans="1:28" ht="15.75" x14ac:dyDescent="0.25">
      <c r="A11" s="339" t="str">
        <f>'1. паспорт местоположение'!A12:C12</f>
        <v>M 22-01</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109"/>
      <c r="AB11" s="109"/>
    </row>
    <row r="12" spans="1:28" ht="15.75"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10"/>
      <c r="AB12" s="110"/>
    </row>
    <row r="13" spans="1:28" ht="18.75" x14ac:dyDescent="0.25">
      <c r="A13" s="346"/>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124"/>
      <c r="AB13" s="124"/>
    </row>
    <row r="14" spans="1:28" ht="15.75" x14ac:dyDescent="0.25">
      <c r="A14"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109"/>
      <c r="AB14" s="109"/>
    </row>
    <row r="15" spans="1:28" ht="15.75"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10"/>
      <c r="AB15" s="110"/>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25"/>
      <c r="AB16" s="125"/>
    </row>
    <row r="17" spans="1:2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25"/>
      <c r="AB17" s="125"/>
    </row>
    <row r="18" spans="1:28"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25"/>
      <c r="AB18" s="125"/>
    </row>
    <row r="19" spans="1:2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25"/>
      <c r="AB19" s="125"/>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25"/>
      <c r="AB20" s="125"/>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25"/>
      <c r="AB21" s="125"/>
    </row>
    <row r="22" spans="1:28" x14ac:dyDescent="0.25">
      <c r="A22" s="370" t="s">
        <v>412</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26"/>
      <c r="AB22" s="126"/>
    </row>
    <row r="23" spans="1:28" ht="32.25" customHeight="1" x14ac:dyDescent="0.25">
      <c r="A23" s="372" t="s">
        <v>295</v>
      </c>
      <c r="B23" s="373"/>
      <c r="C23" s="373"/>
      <c r="D23" s="373"/>
      <c r="E23" s="373"/>
      <c r="F23" s="373"/>
      <c r="G23" s="373"/>
      <c r="H23" s="373"/>
      <c r="I23" s="373"/>
      <c r="J23" s="373"/>
      <c r="K23" s="373"/>
      <c r="L23" s="374"/>
      <c r="M23" s="371" t="s">
        <v>296</v>
      </c>
      <c r="N23" s="371"/>
      <c r="O23" s="371"/>
      <c r="P23" s="371"/>
      <c r="Q23" s="371"/>
      <c r="R23" s="371"/>
      <c r="S23" s="371"/>
      <c r="T23" s="371"/>
      <c r="U23" s="371"/>
      <c r="V23" s="371"/>
      <c r="W23" s="371"/>
      <c r="X23" s="371"/>
      <c r="Y23" s="371"/>
      <c r="Z23" s="371"/>
    </row>
    <row r="24" spans="1:28" ht="151.5" customHeight="1" x14ac:dyDescent="0.25">
      <c r="A24" s="127" t="s">
        <v>210</v>
      </c>
      <c r="B24" s="128" t="s">
        <v>230</v>
      </c>
      <c r="C24" s="127" t="s">
        <v>293</v>
      </c>
      <c r="D24" s="127" t="s">
        <v>211</v>
      </c>
      <c r="E24" s="127" t="s">
        <v>294</v>
      </c>
      <c r="F24" s="127" t="s">
        <v>446</v>
      </c>
      <c r="G24" s="127" t="s">
        <v>447</v>
      </c>
      <c r="H24" s="127" t="s">
        <v>212</v>
      </c>
      <c r="I24" s="127" t="s">
        <v>448</v>
      </c>
      <c r="J24" s="127" t="s">
        <v>235</v>
      </c>
      <c r="K24" s="128" t="s">
        <v>229</v>
      </c>
      <c r="L24" s="128" t="s">
        <v>213</v>
      </c>
      <c r="M24" s="129" t="s">
        <v>242</v>
      </c>
      <c r="N24" s="128" t="s">
        <v>449</v>
      </c>
      <c r="O24" s="127" t="s">
        <v>450</v>
      </c>
      <c r="P24" s="127" t="s">
        <v>451</v>
      </c>
      <c r="Q24" s="127" t="s">
        <v>452</v>
      </c>
      <c r="R24" s="127" t="s">
        <v>212</v>
      </c>
      <c r="S24" s="127" t="s">
        <v>453</v>
      </c>
      <c r="T24" s="127" t="s">
        <v>454</v>
      </c>
      <c r="U24" s="127" t="s">
        <v>455</v>
      </c>
      <c r="V24" s="127" t="s">
        <v>452</v>
      </c>
      <c r="W24" s="130" t="s">
        <v>456</v>
      </c>
      <c r="X24" s="130" t="s">
        <v>457</v>
      </c>
      <c r="Y24" s="130" t="s">
        <v>458</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459</v>
      </c>
      <c r="D26" s="133" t="s">
        <v>460</v>
      </c>
      <c r="E26" s="133" t="s">
        <v>461</v>
      </c>
      <c r="F26" s="133" t="s">
        <v>462</v>
      </c>
      <c r="G26" s="133" t="s">
        <v>463</v>
      </c>
      <c r="H26" s="133" t="s">
        <v>212</v>
      </c>
      <c r="I26" s="133" t="s">
        <v>464</v>
      </c>
      <c r="J26" s="133" t="s">
        <v>465</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466</v>
      </c>
      <c r="G27" s="133" t="s">
        <v>467</v>
      </c>
      <c r="H27" s="134" t="s">
        <v>212</v>
      </c>
      <c r="I27" s="133" t="s">
        <v>468</v>
      </c>
      <c r="J27" s="133" t="s">
        <v>469</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470</v>
      </c>
      <c r="G28" s="133" t="s">
        <v>471</v>
      </c>
      <c r="H28" s="134" t="s">
        <v>212</v>
      </c>
      <c r="I28" s="133" t="s">
        <v>236</v>
      </c>
      <c r="J28" s="133" t="s">
        <v>472</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473</v>
      </c>
      <c r="G29" s="133" t="s">
        <v>474</v>
      </c>
      <c r="H29" s="134" t="s">
        <v>212</v>
      </c>
      <c r="I29" s="133" t="s">
        <v>237</v>
      </c>
      <c r="J29" s="133" t="s">
        <v>475</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476</v>
      </c>
      <c r="G30" s="133" t="s">
        <v>477</v>
      </c>
      <c r="H30" s="134" t="s">
        <v>212</v>
      </c>
      <c r="I30" s="133" t="s">
        <v>238</v>
      </c>
      <c r="J30" s="133" t="s">
        <v>478</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479</v>
      </c>
      <c r="D32" s="133" t="s">
        <v>480</v>
      </c>
      <c r="E32" s="133" t="s">
        <v>481</v>
      </c>
      <c r="F32" s="133" t="s">
        <v>482</v>
      </c>
      <c r="G32" s="133" t="s">
        <v>483</v>
      </c>
      <c r="H32" s="133" t="s">
        <v>212</v>
      </c>
      <c r="I32" s="133" t="s">
        <v>484</v>
      </c>
      <c r="J32" s="133" t="s">
        <v>485</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32" t="str">
        <f>'1. паспорт местоположение'!A5:C5</f>
        <v>Год раскрытия информации: 2024 год</v>
      </c>
      <c r="B5" s="332"/>
      <c r="C5" s="332"/>
      <c r="D5" s="332"/>
      <c r="E5" s="332"/>
      <c r="F5" s="332"/>
      <c r="G5" s="332"/>
      <c r="H5" s="332"/>
      <c r="I5" s="332"/>
      <c r="J5" s="332"/>
      <c r="K5" s="332"/>
      <c r="L5" s="332"/>
      <c r="M5" s="332"/>
      <c r="N5" s="332"/>
      <c r="O5" s="332"/>
      <c r="P5" s="84"/>
      <c r="Q5" s="84"/>
      <c r="R5" s="84"/>
      <c r="S5" s="84"/>
      <c r="T5" s="84"/>
      <c r="U5" s="84"/>
      <c r="V5" s="84"/>
      <c r="W5" s="84"/>
      <c r="X5" s="84"/>
      <c r="Y5" s="84"/>
      <c r="Z5" s="84"/>
      <c r="AA5" s="84"/>
      <c r="AB5" s="84"/>
    </row>
    <row r="6" spans="1:28" s="14" customFormat="1" ht="18.75" x14ac:dyDescent="0.3">
      <c r="A6" s="105"/>
      <c r="B6" s="105"/>
      <c r="L6" s="12"/>
    </row>
    <row r="7" spans="1:28" s="14" customFormat="1" ht="18.75" x14ac:dyDescent="0.2">
      <c r="A7" s="341" t="s">
        <v>7</v>
      </c>
      <c r="B7" s="341"/>
      <c r="C7" s="341"/>
      <c r="D7" s="341"/>
      <c r="E7" s="341"/>
      <c r="F7" s="341"/>
      <c r="G7" s="341"/>
      <c r="H7" s="341"/>
      <c r="I7" s="341"/>
      <c r="J7" s="341"/>
      <c r="K7" s="341"/>
      <c r="L7" s="341"/>
      <c r="M7" s="341"/>
      <c r="N7" s="341"/>
      <c r="O7" s="341"/>
      <c r="P7" s="107"/>
      <c r="Q7" s="107"/>
      <c r="R7" s="107"/>
      <c r="S7" s="107"/>
      <c r="T7" s="107"/>
      <c r="U7" s="107"/>
      <c r="V7" s="107"/>
      <c r="W7" s="107"/>
      <c r="X7" s="107"/>
      <c r="Y7" s="107"/>
      <c r="Z7" s="107"/>
    </row>
    <row r="8" spans="1:28" s="14" customFormat="1" ht="18.75" x14ac:dyDescent="0.2">
      <c r="A8" s="341"/>
      <c r="B8" s="341"/>
      <c r="C8" s="341"/>
      <c r="D8" s="341"/>
      <c r="E8" s="341"/>
      <c r="F8" s="341"/>
      <c r="G8" s="341"/>
      <c r="H8" s="341"/>
      <c r="I8" s="341"/>
      <c r="J8" s="341"/>
      <c r="K8" s="341"/>
      <c r="L8" s="341"/>
      <c r="M8" s="341"/>
      <c r="N8" s="341"/>
      <c r="O8" s="341"/>
      <c r="P8" s="107"/>
      <c r="Q8" s="107"/>
      <c r="R8" s="107"/>
      <c r="S8" s="107"/>
      <c r="T8" s="107"/>
      <c r="U8" s="107"/>
      <c r="V8" s="107"/>
      <c r="W8" s="107"/>
      <c r="X8" s="107"/>
      <c r="Y8" s="107"/>
      <c r="Z8" s="107"/>
    </row>
    <row r="9" spans="1:28" s="14" customFormat="1" ht="18.75" x14ac:dyDescent="0.2">
      <c r="A9" s="339" t="str">
        <f>'1. паспорт местоположение'!A9:C9</f>
        <v xml:space="preserve">Акционерное общество "Западная энергетическая компания" </v>
      </c>
      <c r="B9" s="339"/>
      <c r="C9" s="339"/>
      <c r="D9" s="339"/>
      <c r="E9" s="339"/>
      <c r="F9" s="339"/>
      <c r="G9" s="339"/>
      <c r="H9" s="339"/>
      <c r="I9" s="339"/>
      <c r="J9" s="339"/>
      <c r="K9" s="339"/>
      <c r="L9" s="339"/>
      <c r="M9" s="339"/>
      <c r="N9" s="339"/>
      <c r="O9" s="339"/>
      <c r="P9" s="107"/>
      <c r="Q9" s="107"/>
      <c r="R9" s="107"/>
      <c r="S9" s="107"/>
      <c r="T9" s="107"/>
      <c r="U9" s="107"/>
      <c r="V9" s="107"/>
      <c r="W9" s="107"/>
      <c r="X9" s="107"/>
      <c r="Y9" s="107"/>
      <c r="Z9" s="107"/>
    </row>
    <row r="10" spans="1:28" s="14" customFormat="1" ht="18.75" x14ac:dyDescent="0.2">
      <c r="A10" s="345" t="s">
        <v>6</v>
      </c>
      <c r="B10" s="345"/>
      <c r="C10" s="345"/>
      <c r="D10" s="345"/>
      <c r="E10" s="345"/>
      <c r="F10" s="345"/>
      <c r="G10" s="345"/>
      <c r="H10" s="345"/>
      <c r="I10" s="345"/>
      <c r="J10" s="345"/>
      <c r="K10" s="345"/>
      <c r="L10" s="345"/>
      <c r="M10" s="345"/>
      <c r="N10" s="345"/>
      <c r="O10" s="345"/>
      <c r="P10" s="107"/>
      <c r="Q10" s="107"/>
      <c r="R10" s="107"/>
      <c r="S10" s="107"/>
      <c r="T10" s="107"/>
      <c r="U10" s="107"/>
      <c r="V10" s="107"/>
      <c r="W10" s="107"/>
      <c r="X10" s="107"/>
      <c r="Y10" s="107"/>
      <c r="Z10" s="107"/>
    </row>
    <row r="11" spans="1:28" s="14" customFormat="1" ht="18.75" x14ac:dyDescent="0.2">
      <c r="A11" s="341"/>
      <c r="B11" s="341"/>
      <c r="C11" s="341"/>
      <c r="D11" s="341"/>
      <c r="E11" s="341"/>
      <c r="F11" s="341"/>
      <c r="G11" s="341"/>
      <c r="H11" s="341"/>
      <c r="I11" s="341"/>
      <c r="J11" s="341"/>
      <c r="K11" s="341"/>
      <c r="L11" s="341"/>
      <c r="M11" s="341"/>
      <c r="N11" s="341"/>
      <c r="O11" s="341"/>
      <c r="P11" s="107"/>
      <c r="Q11" s="107"/>
      <c r="R11" s="107"/>
      <c r="S11" s="107"/>
      <c r="T11" s="107"/>
      <c r="U11" s="107"/>
      <c r="V11" s="107"/>
      <c r="W11" s="107"/>
      <c r="X11" s="107"/>
      <c r="Y11" s="107"/>
      <c r="Z11" s="107"/>
    </row>
    <row r="12" spans="1:28" s="14" customFormat="1" ht="18.75" x14ac:dyDescent="0.2">
      <c r="A12" s="339" t="str">
        <f>'1. паспорт местоположение'!A12:C12</f>
        <v>M 22-01</v>
      </c>
      <c r="B12" s="339"/>
      <c r="C12" s="339"/>
      <c r="D12" s="339"/>
      <c r="E12" s="339"/>
      <c r="F12" s="339"/>
      <c r="G12" s="339"/>
      <c r="H12" s="339"/>
      <c r="I12" s="339"/>
      <c r="J12" s="339"/>
      <c r="K12" s="339"/>
      <c r="L12" s="339"/>
      <c r="M12" s="339"/>
      <c r="N12" s="339"/>
      <c r="O12" s="339"/>
      <c r="P12" s="107"/>
      <c r="Q12" s="107"/>
      <c r="R12" s="107"/>
      <c r="S12" s="107"/>
      <c r="T12" s="107"/>
      <c r="U12" s="107"/>
      <c r="V12" s="107"/>
      <c r="W12" s="107"/>
      <c r="X12" s="107"/>
      <c r="Y12" s="107"/>
      <c r="Z12" s="107"/>
    </row>
    <row r="13" spans="1:28" s="14" customFormat="1" ht="18.75" x14ac:dyDescent="0.2">
      <c r="A13" s="345" t="s">
        <v>5</v>
      </c>
      <c r="B13" s="345"/>
      <c r="C13" s="345"/>
      <c r="D13" s="345"/>
      <c r="E13" s="345"/>
      <c r="F13" s="345"/>
      <c r="G13" s="345"/>
      <c r="H13" s="345"/>
      <c r="I13" s="345"/>
      <c r="J13" s="345"/>
      <c r="K13" s="345"/>
      <c r="L13" s="345"/>
      <c r="M13" s="345"/>
      <c r="N13" s="345"/>
      <c r="O13" s="345"/>
      <c r="P13" s="107"/>
      <c r="Q13" s="107"/>
      <c r="R13" s="107"/>
      <c r="S13" s="107"/>
      <c r="T13" s="107"/>
      <c r="U13" s="107"/>
      <c r="V13" s="107"/>
      <c r="W13" s="107"/>
      <c r="X13" s="107"/>
      <c r="Y13" s="107"/>
      <c r="Z13" s="107"/>
    </row>
    <row r="14" spans="1:28" s="14" customFormat="1" ht="15.75" customHeight="1" x14ac:dyDescent="0.2">
      <c r="A14" s="346"/>
      <c r="B14" s="346"/>
      <c r="C14" s="346"/>
      <c r="D14" s="346"/>
      <c r="E14" s="346"/>
      <c r="F14" s="346"/>
      <c r="G14" s="346"/>
      <c r="H14" s="346"/>
      <c r="I14" s="346"/>
      <c r="J14" s="346"/>
      <c r="K14" s="346"/>
      <c r="L14" s="346"/>
      <c r="M14" s="346"/>
      <c r="N14" s="346"/>
      <c r="O14" s="346"/>
      <c r="P14" s="108"/>
      <c r="Q14" s="108"/>
      <c r="R14" s="108"/>
      <c r="S14" s="108"/>
      <c r="T14" s="108"/>
      <c r="U14" s="108"/>
      <c r="V14" s="108"/>
      <c r="W14" s="108"/>
      <c r="X14" s="108"/>
      <c r="Y14" s="108"/>
      <c r="Z14" s="108"/>
    </row>
    <row r="15" spans="1:28" s="106" customFormat="1" ht="15.75" x14ac:dyDescent="0.2">
      <c r="A15"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9"/>
      <c r="C15" s="339"/>
      <c r="D15" s="339"/>
      <c r="E15" s="339"/>
      <c r="F15" s="339"/>
      <c r="G15" s="339"/>
      <c r="H15" s="339"/>
      <c r="I15" s="339"/>
      <c r="J15" s="339"/>
      <c r="K15" s="339"/>
      <c r="L15" s="339"/>
      <c r="M15" s="339"/>
      <c r="N15" s="339"/>
      <c r="O15" s="339"/>
      <c r="P15" s="109"/>
      <c r="Q15" s="109"/>
      <c r="R15" s="109"/>
      <c r="S15" s="109"/>
      <c r="T15" s="109"/>
      <c r="U15" s="109"/>
      <c r="V15" s="109"/>
      <c r="W15" s="109"/>
      <c r="X15" s="109"/>
      <c r="Y15" s="109"/>
      <c r="Z15" s="109"/>
    </row>
    <row r="16" spans="1:28" s="106" customFormat="1" ht="15" customHeight="1" x14ac:dyDescent="0.2">
      <c r="A16" s="345" t="s">
        <v>4</v>
      </c>
      <c r="B16" s="345"/>
      <c r="C16" s="345"/>
      <c r="D16" s="345"/>
      <c r="E16" s="345"/>
      <c r="F16" s="345"/>
      <c r="G16" s="345"/>
      <c r="H16" s="345"/>
      <c r="I16" s="345"/>
      <c r="J16" s="345"/>
      <c r="K16" s="345"/>
      <c r="L16" s="345"/>
      <c r="M16" s="345"/>
      <c r="N16" s="345"/>
      <c r="O16" s="345"/>
      <c r="P16" s="110"/>
      <c r="Q16" s="110"/>
      <c r="R16" s="110"/>
      <c r="S16" s="110"/>
      <c r="T16" s="110"/>
      <c r="U16" s="110"/>
      <c r="V16" s="110"/>
      <c r="W16" s="110"/>
      <c r="X16" s="110"/>
      <c r="Y16" s="110"/>
      <c r="Z16" s="110"/>
    </row>
    <row r="17" spans="1:26" s="106" customFormat="1" ht="15" customHeight="1" x14ac:dyDescent="0.2">
      <c r="A17" s="346"/>
      <c r="B17" s="346"/>
      <c r="C17" s="346"/>
      <c r="D17" s="346"/>
      <c r="E17" s="346"/>
      <c r="F17" s="346"/>
      <c r="G17" s="346"/>
      <c r="H17" s="346"/>
      <c r="I17" s="346"/>
      <c r="J17" s="346"/>
      <c r="K17" s="346"/>
      <c r="L17" s="346"/>
      <c r="M17" s="346"/>
      <c r="N17" s="346"/>
      <c r="O17" s="346"/>
      <c r="P17" s="108"/>
      <c r="Q17" s="108"/>
      <c r="R17" s="108"/>
      <c r="S17" s="108"/>
      <c r="T17" s="108"/>
      <c r="U17" s="108"/>
      <c r="V17" s="108"/>
      <c r="W17" s="108"/>
    </row>
    <row r="18" spans="1:26" s="106" customFormat="1" ht="91.5" customHeight="1" x14ac:dyDescent="0.2">
      <c r="A18" s="379" t="s">
        <v>390</v>
      </c>
      <c r="B18" s="379"/>
      <c r="C18" s="379"/>
      <c r="D18" s="379"/>
      <c r="E18" s="379"/>
      <c r="F18" s="379"/>
      <c r="G18" s="379"/>
      <c r="H18" s="379"/>
      <c r="I18" s="379"/>
      <c r="J18" s="379"/>
      <c r="K18" s="379"/>
      <c r="L18" s="379"/>
      <c r="M18" s="379"/>
      <c r="N18" s="379"/>
      <c r="O18" s="379"/>
      <c r="P18" s="111"/>
      <c r="Q18" s="111"/>
      <c r="R18" s="111"/>
      <c r="S18" s="111"/>
      <c r="T18" s="111"/>
      <c r="U18" s="111"/>
      <c r="V18" s="111"/>
      <c r="W18" s="111"/>
      <c r="X18" s="111"/>
      <c r="Y18" s="111"/>
      <c r="Z18" s="111"/>
    </row>
    <row r="19" spans="1:26" s="106" customFormat="1" ht="78" customHeight="1" x14ac:dyDescent="0.2">
      <c r="A19" s="375" t="s">
        <v>3</v>
      </c>
      <c r="B19" s="375" t="s">
        <v>82</v>
      </c>
      <c r="C19" s="375" t="s">
        <v>81</v>
      </c>
      <c r="D19" s="375" t="s">
        <v>73</v>
      </c>
      <c r="E19" s="376" t="s">
        <v>80</v>
      </c>
      <c r="F19" s="377"/>
      <c r="G19" s="377"/>
      <c r="H19" s="377"/>
      <c r="I19" s="378"/>
      <c r="J19" s="375" t="s">
        <v>79</v>
      </c>
      <c r="K19" s="375"/>
      <c r="L19" s="375"/>
      <c r="M19" s="375"/>
      <c r="N19" s="375"/>
      <c r="O19" s="375"/>
      <c r="P19" s="108"/>
      <c r="Q19" s="108"/>
      <c r="R19" s="108"/>
      <c r="S19" s="108"/>
      <c r="T19" s="108"/>
      <c r="U19" s="108"/>
      <c r="V19" s="108"/>
      <c r="W19" s="108"/>
    </row>
    <row r="20" spans="1:26" s="106" customFormat="1" ht="51" customHeight="1" x14ac:dyDescent="0.2">
      <c r="A20" s="375"/>
      <c r="B20" s="375"/>
      <c r="C20" s="375"/>
      <c r="D20" s="375"/>
      <c r="E20" s="175" t="s">
        <v>78</v>
      </c>
      <c r="F20" s="175" t="s">
        <v>77</v>
      </c>
      <c r="G20" s="175" t="s">
        <v>76</v>
      </c>
      <c r="H20" s="175" t="s">
        <v>75</v>
      </c>
      <c r="I20" s="175" t="s">
        <v>74</v>
      </c>
      <c r="J20" s="175">
        <v>2018</v>
      </c>
      <c r="K20" s="175">
        <v>2019</v>
      </c>
      <c r="L20" s="175">
        <v>2020</v>
      </c>
      <c r="M20" s="175">
        <v>2021</v>
      </c>
      <c r="N20" s="175">
        <v>2022</v>
      </c>
      <c r="O20" s="175">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6" t="s">
        <v>548</v>
      </c>
      <c r="C22" s="17">
        <v>0</v>
      </c>
      <c r="D22" s="17">
        <v>0</v>
      </c>
      <c r="E22" s="17">
        <v>0</v>
      </c>
      <c r="F22" s="17">
        <v>0</v>
      </c>
      <c r="G22" s="17">
        <v>0</v>
      </c>
      <c r="H22" s="17">
        <v>0</v>
      </c>
      <c r="I22" s="17">
        <v>0</v>
      </c>
      <c r="J22" s="177">
        <v>0</v>
      </c>
      <c r="K22" s="177">
        <v>0</v>
      </c>
      <c r="L22" s="178">
        <v>0</v>
      </c>
      <c r="M22" s="178">
        <v>0</v>
      </c>
      <c r="N22" s="178">
        <v>0</v>
      </c>
      <c r="O22" s="178">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workbookViewId="0">
      <selection activeCell="M83" sqref="M1:AR1048576"/>
    </sheetView>
  </sheetViews>
  <sheetFormatPr defaultColWidth="9.140625" defaultRowHeight="15.75" x14ac:dyDescent="0.2"/>
  <cols>
    <col min="1" max="1" width="61.7109375" style="224" customWidth="1"/>
    <col min="2" max="2" width="18.5703125" style="220" customWidth="1"/>
    <col min="3" max="12" width="16.85546875" style="220" customWidth="1"/>
    <col min="13" max="42" width="16.85546875" style="220" hidden="1" customWidth="1"/>
    <col min="43" max="44" width="16.85546875" style="221" hidden="1" customWidth="1"/>
    <col min="45"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221"/>
      <c r="F2" s="221"/>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105"/>
      <c r="B3" s="14"/>
      <c r="C3" s="14"/>
      <c r="D3" s="14"/>
      <c r="E3" s="221"/>
      <c r="F3" s="221"/>
      <c r="G3" s="14"/>
      <c r="H3" s="12" t="s">
        <v>443</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105"/>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96" t="str">
        <f>'1. паспорт местоположение'!A5:C5</f>
        <v>Год раскрытия информации: 2024 год</v>
      </c>
      <c r="B5" s="396"/>
      <c r="C5" s="396"/>
      <c r="D5" s="396"/>
      <c r="E5" s="396"/>
      <c r="F5" s="396"/>
      <c r="G5" s="396"/>
      <c r="H5" s="396"/>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A6" s="105"/>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41" t="s">
        <v>7</v>
      </c>
      <c r="B7" s="341"/>
      <c r="C7" s="341"/>
      <c r="D7" s="341"/>
      <c r="E7" s="341"/>
      <c r="F7" s="341"/>
      <c r="G7" s="341"/>
      <c r="H7" s="341"/>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row>
    <row r="8" spans="1:44" ht="18.75" x14ac:dyDescent="0.2">
      <c r="A8" s="118"/>
      <c r="B8" s="118"/>
      <c r="C8" s="118"/>
      <c r="D8" s="118"/>
      <c r="E8" s="118"/>
      <c r="F8" s="118"/>
      <c r="G8" s="118"/>
      <c r="H8" s="118"/>
      <c r="I8" s="118"/>
      <c r="J8" s="118"/>
      <c r="K8" s="118"/>
      <c r="L8" s="107"/>
      <c r="M8" s="107"/>
      <c r="N8" s="107"/>
      <c r="O8" s="107"/>
      <c r="P8" s="107"/>
      <c r="Q8" s="107"/>
      <c r="R8" s="107"/>
      <c r="S8" s="107"/>
      <c r="T8" s="107"/>
      <c r="U8" s="107"/>
      <c r="V8" s="107"/>
      <c r="W8" s="107"/>
      <c r="X8" s="107"/>
      <c r="Y8" s="107"/>
      <c r="Z8" s="14"/>
      <c r="AA8" s="14"/>
      <c r="AB8" s="14"/>
      <c r="AC8" s="14"/>
      <c r="AD8" s="14"/>
      <c r="AE8" s="14"/>
      <c r="AF8" s="14"/>
      <c r="AG8" s="14"/>
      <c r="AH8" s="14"/>
      <c r="AI8" s="14"/>
      <c r="AJ8" s="14"/>
      <c r="AK8" s="14"/>
      <c r="AL8" s="14"/>
      <c r="AM8" s="14"/>
      <c r="AN8" s="14"/>
      <c r="AO8" s="14"/>
      <c r="AP8" s="14"/>
      <c r="AQ8" s="14"/>
      <c r="AR8" s="14"/>
    </row>
    <row r="9" spans="1:44" ht="18.75" x14ac:dyDescent="0.2">
      <c r="A9" s="366" t="s">
        <v>572</v>
      </c>
      <c r="B9" s="366"/>
      <c r="C9" s="366"/>
      <c r="D9" s="366"/>
      <c r="E9" s="366"/>
      <c r="F9" s="366"/>
      <c r="G9" s="366"/>
      <c r="H9" s="366"/>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row>
    <row r="10" spans="1:44" x14ac:dyDescent="0.2">
      <c r="A10" s="345" t="s">
        <v>6</v>
      </c>
      <c r="B10" s="345"/>
      <c r="C10" s="345"/>
      <c r="D10" s="345"/>
      <c r="E10" s="345"/>
      <c r="F10" s="345"/>
      <c r="G10" s="345"/>
      <c r="H10" s="345"/>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8.75" x14ac:dyDescent="0.2">
      <c r="A11" s="118"/>
      <c r="B11" s="118"/>
      <c r="C11" s="118"/>
      <c r="D11" s="118"/>
      <c r="E11" s="118"/>
      <c r="F11" s="118"/>
      <c r="G11" s="118"/>
      <c r="H11" s="118"/>
      <c r="I11" s="118"/>
      <c r="J11" s="118"/>
      <c r="K11" s="118"/>
      <c r="L11" s="107"/>
      <c r="M11" s="107"/>
      <c r="N11" s="107"/>
      <c r="O11" s="107"/>
      <c r="P11" s="107"/>
      <c r="Q11" s="107"/>
      <c r="R11" s="107"/>
      <c r="S11" s="107"/>
      <c r="T11" s="107"/>
      <c r="U11" s="107"/>
      <c r="V11" s="107"/>
      <c r="W11" s="107"/>
      <c r="X11" s="107"/>
      <c r="Y11" s="107"/>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66" t="s">
        <v>645</v>
      </c>
      <c r="B12" s="366"/>
      <c r="C12" s="366"/>
      <c r="D12" s="366"/>
      <c r="E12" s="366"/>
      <c r="F12" s="366"/>
      <c r="G12" s="366"/>
      <c r="H12" s="366"/>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row>
    <row r="13" spans="1:44" x14ac:dyDescent="0.2">
      <c r="A13" s="345" t="s">
        <v>5</v>
      </c>
      <c r="B13" s="345"/>
      <c r="C13" s="345"/>
      <c r="D13" s="345"/>
      <c r="E13" s="345"/>
      <c r="F13" s="345"/>
      <c r="G13" s="345"/>
      <c r="H13" s="345"/>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8.75"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47"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47"/>
      <c r="C15" s="347"/>
      <c r="D15" s="347"/>
      <c r="E15" s="347"/>
      <c r="F15" s="347"/>
      <c r="G15" s="347"/>
      <c r="H15" s="347"/>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x14ac:dyDescent="0.2">
      <c r="A16" s="345" t="s">
        <v>4</v>
      </c>
      <c r="B16" s="345"/>
      <c r="C16" s="345"/>
      <c r="D16" s="345"/>
      <c r="E16" s="345"/>
      <c r="F16" s="345"/>
      <c r="G16" s="345"/>
      <c r="H16" s="345"/>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4" ht="18.75"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row>
    <row r="18" spans="1:44" ht="18.75" x14ac:dyDescent="0.2">
      <c r="A18" s="366" t="s">
        <v>391</v>
      </c>
      <c r="B18" s="366"/>
      <c r="C18" s="366"/>
      <c r="D18" s="366"/>
      <c r="E18" s="366"/>
      <c r="F18" s="366"/>
      <c r="G18" s="366"/>
      <c r="H18" s="366"/>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288</v>
      </c>
      <c r="B24" s="227" t="s">
        <v>1</v>
      </c>
      <c r="D24" s="228"/>
      <c r="E24" s="229"/>
      <c r="F24" s="229"/>
      <c r="G24" s="229"/>
      <c r="H24" s="229"/>
    </row>
    <row r="25" spans="1:44" x14ac:dyDescent="0.2">
      <c r="A25" s="230" t="s">
        <v>428</v>
      </c>
      <c r="B25" s="317">
        <f>'6.2. Паспорт фин осв ввод'!D30*1000000</f>
        <v>185571826.06593999</v>
      </c>
    </row>
    <row r="26" spans="1:44" x14ac:dyDescent="0.2">
      <c r="A26" s="240" t="s">
        <v>286</v>
      </c>
      <c r="B26" s="318">
        <v>0</v>
      </c>
    </row>
    <row r="27" spans="1:44" x14ac:dyDescent="0.2">
      <c r="A27" s="240" t="s">
        <v>284</v>
      </c>
      <c r="B27" s="318">
        <f>$B$123</f>
        <v>30</v>
      </c>
      <c r="D27" s="225" t="s">
        <v>287</v>
      </c>
    </row>
    <row r="28" spans="1:44" ht="16.5" thickBot="1" x14ac:dyDescent="0.25">
      <c r="A28" s="316" t="s">
        <v>282</v>
      </c>
      <c r="B28" s="319">
        <v>1</v>
      </c>
      <c r="D28" s="381" t="s">
        <v>285</v>
      </c>
      <c r="E28" s="382"/>
      <c r="F28" s="383"/>
      <c r="G28" s="394" t="str">
        <f ca="1">IF(SUM(B89:L89)=0,"не окупается",SUM(B89:L89))</f>
        <v>не окупается</v>
      </c>
      <c r="H28" s="395"/>
    </row>
    <row r="29" spans="1:44" ht="16.5" thickBot="1" x14ac:dyDescent="0.25">
      <c r="A29" s="314" t="s">
        <v>281</v>
      </c>
      <c r="B29" s="315">
        <f>$B$126*$B$127/1.2</f>
        <v>0</v>
      </c>
      <c r="D29" s="381" t="s">
        <v>283</v>
      </c>
      <c r="E29" s="382"/>
      <c r="F29" s="383"/>
      <c r="G29" s="394" t="str">
        <f ca="1">IF(SUM(B90:L90)=0,"не окупается",SUM(B90:L90))</f>
        <v>не окупается</v>
      </c>
      <c r="H29" s="395"/>
    </row>
    <row r="30" spans="1:44" ht="33.75" customHeight="1" x14ac:dyDescent="0.2">
      <c r="A30" s="312" t="s">
        <v>429</v>
      </c>
      <c r="B30" s="313">
        <v>6</v>
      </c>
      <c r="D30" s="381" t="s">
        <v>578</v>
      </c>
      <c r="E30" s="382"/>
      <c r="F30" s="383"/>
      <c r="G30" s="384">
        <f ca="1">L87</f>
        <v>-150450931.63518539</v>
      </c>
      <c r="H30" s="385"/>
    </row>
    <row r="31" spans="1:44" x14ac:dyDescent="0.2">
      <c r="A31" s="231" t="s">
        <v>280</v>
      </c>
      <c r="B31" s="232">
        <v>6</v>
      </c>
      <c r="D31" s="386"/>
      <c r="E31" s="387"/>
      <c r="F31" s="388"/>
      <c r="G31" s="386"/>
      <c r="H31" s="388"/>
    </row>
    <row r="32" spans="1:44" x14ac:dyDescent="0.2">
      <c r="A32" s="231" t="s">
        <v>259</v>
      </c>
      <c r="B32" s="232"/>
    </row>
    <row r="33" spans="1:42" x14ac:dyDescent="0.2">
      <c r="A33" s="231" t="s">
        <v>279</v>
      </c>
      <c r="B33" s="232"/>
    </row>
    <row r="34" spans="1:42" x14ac:dyDescent="0.2">
      <c r="A34" s="231" t="s">
        <v>278</v>
      </c>
      <c r="B34" s="232"/>
    </row>
    <row r="35" spans="1:42" x14ac:dyDescent="0.2">
      <c r="A35" s="236"/>
      <c r="B35" s="232"/>
    </row>
    <row r="36" spans="1:42" ht="16.5" thickBot="1" x14ac:dyDescent="0.25">
      <c r="A36" s="233" t="s">
        <v>253</v>
      </c>
      <c r="B36" s="237">
        <v>0.2</v>
      </c>
    </row>
    <row r="37" spans="1:42" x14ac:dyDescent="0.2">
      <c r="A37" s="234" t="s">
        <v>430</v>
      </c>
      <c r="B37" s="235">
        <v>0</v>
      </c>
    </row>
    <row r="38" spans="1:42" x14ac:dyDescent="0.2">
      <c r="A38" s="231" t="s">
        <v>277</v>
      </c>
      <c r="B38" s="232"/>
    </row>
    <row r="39" spans="1:42" ht="16.5" thickBot="1" x14ac:dyDescent="0.25">
      <c r="A39" s="236" t="s">
        <v>276</v>
      </c>
      <c r="B39" s="238"/>
    </row>
    <row r="40" spans="1:42" x14ac:dyDescent="0.2">
      <c r="A40" s="230" t="s">
        <v>431</v>
      </c>
      <c r="B40" s="239">
        <v>1</v>
      </c>
    </row>
    <row r="41" spans="1:42" x14ac:dyDescent="0.2">
      <c r="A41" s="240" t="s">
        <v>275</v>
      </c>
      <c r="B41" s="241"/>
    </row>
    <row r="42" spans="1:42" x14ac:dyDescent="0.2">
      <c r="A42" s="240" t="s">
        <v>274</v>
      </c>
      <c r="B42" s="242"/>
    </row>
    <row r="43" spans="1:42" x14ac:dyDescent="0.2">
      <c r="A43" s="240" t="s">
        <v>273</v>
      </c>
      <c r="B43" s="242">
        <v>0</v>
      </c>
    </row>
    <row r="44" spans="1:42" x14ac:dyDescent="0.2">
      <c r="A44" s="240" t="s">
        <v>272</v>
      </c>
      <c r="B44" s="242">
        <f>B129</f>
        <v>0.2</v>
      </c>
    </row>
    <row r="45" spans="1:42" x14ac:dyDescent="0.2">
      <c r="A45" s="240" t="s">
        <v>271</v>
      </c>
      <c r="B45" s="242">
        <f>1-B43</f>
        <v>1</v>
      </c>
    </row>
    <row r="46" spans="1:42" ht="16.5" thickBot="1" x14ac:dyDescent="0.25">
      <c r="A46" s="243" t="s">
        <v>579</v>
      </c>
      <c r="B46" s="244">
        <f>B45*B44+B43*B42*(1-B36)</f>
        <v>0.2</v>
      </c>
    </row>
    <row r="47" spans="1:42" x14ac:dyDescent="0.2">
      <c r="A47" s="245" t="s">
        <v>270</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x14ac:dyDescent="0.2">
      <c r="A48" s="247" t="s">
        <v>269</v>
      </c>
      <c r="B48" s="248">
        <f>H136</f>
        <v>0.14631427330593999</v>
      </c>
      <c r="C48" s="248">
        <f>I136</f>
        <v>6.9688748240430004E-2</v>
      </c>
      <c r="D48" s="248">
        <f t="shared" ref="D48:G48" si="1">J136</f>
        <v>5.2726091890100003E-2</v>
      </c>
      <c r="E48" s="248">
        <f t="shared" si="1"/>
        <v>4.7619843182130001E-2</v>
      </c>
      <c r="F48" s="248">
        <f t="shared" si="1"/>
        <v>4.57995653007E-2</v>
      </c>
      <c r="G48" s="248">
        <f t="shared" si="1"/>
        <v>4.57995653007E-2</v>
      </c>
      <c r="H48" s="248">
        <f>N136</f>
        <v>4.57995653007E-2</v>
      </c>
      <c r="I48" s="248">
        <f>O136</f>
        <v>4.57995653007E-2</v>
      </c>
      <c r="J48" s="248">
        <f t="shared" ref="J48" si="2">P136</f>
        <v>4.57995653007E-2</v>
      </c>
      <c r="K48" s="248">
        <f t="shared" ref="K48" si="3">Q136</f>
        <v>4.57995653007E-2</v>
      </c>
      <c r="L48" s="248">
        <f t="shared" ref="L48" si="4">R136</f>
        <v>4.57995653007E-2</v>
      </c>
      <c r="M48" s="248">
        <f t="shared" ref="M48" si="5">S136</f>
        <v>4.57995653007E-2</v>
      </c>
      <c r="N48" s="248">
        <f t="shared" ref="N48" si="6">T136</f>
        <v>4.57995653007E-2</v>
      </c>
      <c r="O48" s="248">
        <f t="shared" ref="O48" si="7">U136</f>
        <v>4.57995653007E-2</v>
      </c>
      <c r="P48" s="248">
        <f t="shared" ref="P48" si="8">V136</f>
        <v>4.57995653007E-2</v>
      </c>
      <c r="Q48" s="248">
        <f t="shared" ref="Q48" si="9">W136</f>
        <v>4.57995653007E-2</v>
      </c>
      <c r="R48" s="248">
        <f t="shared" ref="R48" si="10">X136</f>
        <v>4.57995653007E-2</v>
      </c>
      <c r="S48" s="248">
        <f t="shared" ref="S48" si="11">Y136</f>
        <v>4.57995653007E-2</v>
      </c>
      <c r="T48" s="248">
        <f t="shared" ref="T48" si="12">Z136</f>
        <v>4.57995653007E-2</v>
      </c>
      <c r="U48" s="248">
        <f t="shared" ref="U48" si="13">AA136</f>
        <v>4.57995653007E-2</v>
      </c>
      <c r="V48" s="248">
        <f t="shared" ref="V48" si="14">AB136</f>
        <v>4.57995653007E-2</v>
      </c>
      <c r="W48" s="248">
        <f t="shared" ref="W48" si="15">AC136</f>
        <v>4.57995653007E-2</v>
      </c>
      <c r="X48" s="248">
        <f t="shared" ref="X48" si="16">AD136</f>
        <v>4.57995653007E-2</v>
      </c>
      <c r="Y48" s="248">
        <f t="shared" ref="Y48" si="17">AE136</f>
        <v>4.57995653007E-2</v>
      </c>
      <c r="Z48" s="248">
        <f t="shared" ref="Z48" si="18">AF136</f>
        <v>4.57995653007E-2</v>
      </c>
      <c r="AA48" s="248">
        <f t="shared" ref="AA48" si="19">AG136</f>
        <v>4.57995653007E-2</v>
      </c>
      <c r="AB48" s="248">
        <f t="shared" ref="AB48" si="20">AH136</f>
        <v>4.57995653007E-2</v>
      </c>
      <c r="AC48" s="248">
        <f t="shared" ref="AC48" si="21">AI136</f>
        <v>4.57995653007E-2</v>
      </c>
      <c r="AD48" s="248">
        <f t="shared" ref="AD48" si="22">AJ136</f>
        <v>4.57995653007E-2</v>
      </c>
      <c r="AE48" s="248">
        <f t="shared" ref="AE48" si="23">AK136</f>
        <v>4.57995653007E-2</v>
      </c>
      <c r="AF48" s="248">
        <f t="shared" ref="AF48" si="24">AL136</f>
        <v>4.57995653007E-2</v>
      </c>
      <c r="AG48" s="248">
        <f t="shared" ref="AG48" si="25">AM136</f>
        <v>4.57995653007E-2</v>
      </c>
      <c r="AH48" s="248">
        <f t="shared" ref="AH48" si="26">AN136</f>
        <v>4.57995653007E-2</v>
      </c>
      <c r="AI48" s="248">
        <f t="shared" ref="AI48" si="27">AO136</f>
        <v>4.57995653007E-2</v>
      </c>
      <c r="AJ48" s="248">
        <f t="shared" ref="AJ48" si="28">AP136</f>
        <v>4.57995653007E-2</v>
      </c>
      <c r="AK48" s="248">
        <f t="shared" ref="AK48" si="29">AQ136</f>
        <v>4.57995653007E-2</v>
      </c>
      <c r="AL48" s="248">
        <f t="shared" ref="AL48" si="30">AR136</f>
        <v>4.57995653007E-2</v>
      </c>
      <c r="AM48" s="248">
        <f t="shared" ref="AM48" si="31">AS136</f>
        <v>0</v>
      </c>
      <c r="AN48" s="248">
        <f t="shared" ref="AN48" si="32">AT136</f>
        <v>4.57995653007E-2</v>
      </c>
      <c r="AO48" s="248">
        <f t="shared" ref="AO48" si="33">AU136</f>
        <v>4.57995653007E-2</v>
      </c>
      <c r="AP48" s="248">
        <f t="shared" ref="AP48" si="34">AV136</f>
        <v>4.57995653007E-2</v>
      </c>
    </row>
    <row r="49" spans="1:42" x14ac:dyDescent="0.2">
      <c r="A49" s="247" t="s">
        <v>268</v>
      </c>
      <c r="B49" s="249">
        <f>H137</f>
        <v>0.14631427330593993</v>
      </c>
      <c r="C49" s="249">
        <f t="shared" ref="C49:F49" si="35">I137</f>
        <v>0.22619948010276913</v>
      </c>
      <c r="D49" s="249">
        <f t="shared" si="35"/>
        <v>0.29085218656626055</v>
      </c>
      <c r="E49" s="249">
        <f t="shared" si="35"/>
        <v>0.35232236526185545</v>
      </c>
      <c r="F49" s="249">
        <f t="shared" si="35"/>
        <v>0.41425814173726283</v>
      </c>
      <c r="G49" s="249">
        <f t="shared" ref="G49" si="36">M137</f>
        <v>0.47903054985180527</v>
      </c>
      <c r="H49" s="249">
        <f t="shared" ref="H49" si="37">N137</f>
        <v>0.54676950610147323</v>
      </c>
      <c r="I49" s="249">
        <f t="shared" ref="I49" si="38">O137</f>
        <v>0.61761087710129914</v>
      </c>
      <c r="J49" s="249">
        <f t="shared" ref="J49" si="39">P137</f>
        <v>0.69169675209822268</v>
      </c>
      <c r="K49" s="249">
        <f t="shared" ref="K49" si="40">Q137</f>
        <v>0.76917572796492717</v>
      </c>
      <c r="L49" s="249">
        <f t="shared" ref="L49" si="41">R137</f>
        <v>0.85020320724627019</v>
      </c>
      <c r="M49" s="249">
        <f t="shared" ref="M49:N49" si="42">Q137</f>
        <v>0.76917572796492717</v>
      </c>
      <c r="N49" s="249">
        <f t="shared" si="42"/>
        <v>0.85020320724627019</v>
      </c>
      <c r="O49" s="249">
        <f t="shared" ref="O49" si="43">S137</f>
        <v>0.93494170985611014</v>
      </c>
      <c r="P49" s="249">
        <f t="shared" ref="P49" si="44">T137</f>
        <v>1.0235611990497131</v>
      </c>
      <c r="Q49" s="249">
        <f t="shared" ref="Q49:R49" si="45">U137</f>
        <v>1.116239422325553</v>
      </c>
      <c r="R49" s="249">
        <f t="shared" si="45"/>
        <v>1.2131622679402678</v>
      </c>
      <c r="S49" s="249">
        <f t="shared" ref="S49" si="46">W137</f>
        <v>1.3145241377518433</v>
      </c>
      <c r="T49" s="249">
        <f t="shared" ref="T49" si="47">X137</f>
        <v>1.4205283371388551</v>
      </c>
      <c r="U49" s="249">
        <f t="shared" ref="U49:V49" si="48">Y137</f>
        <v>1.5313874827778409</v>
      </c>
      <c r="V49" s="249">
        <f t="shared" si="48"/>
        <v>1.6473239290966992</v>
      </c>
      <c r="W49" s="249">
        <f t="shared" ref="W49" si="49">AA137</f>
        <v>1.7685702142594693</v>
      </c>
      <c r="X49" s="249">
        <f t="shared" ref="X49" si="50">AB137</f>
        <v>1.8953695265770185</v>
      </c>
      <c r="Y49" s="249">
        <f t="shared" ref="Y49:Z49" si="51">AC137</f>
        <v>2.0279761922791395</v>
      </c>
      <c r="Z49" s="249">
        <f t="shared" si="51"/>
        <v>2.1666561856263926</v>
      </c>
      <c r="AA49" s="249">
        <f t="shared" ref="AA49" si="52">AE137</f>
        <v>2.3116876623848541</v>
      </c>
      <c r="AB49" s="249">
        <f t="shared" ref="AB49" si="53">AF137</f>
        <v>2.4633615177337718</v>
      </c>
      <c r="AC49" s="249">
        <f t="shared" ref="AC49:AD49" si="54">AG137</f>
        <v>2.6219819697251507</v>
      </c>
      <c r="AD49" s="249">
        <f t="shared" si="54"/>
        <v>2.7878671694655357</v>
      </c>
      <c r="AE49" s="249">
        <f t="shared" ref="AE49" si="55">AI137</f>
        <v>2.9613498392438502</v>
      </c>
      <c r="AF49" s="249">
        <f t="shared" ref="AF49" si="56">AJ137</f>
        <v>3.1427779398852165</v>
      </c>
      <c r="AG49" s="249">
        <f t="shared" ref="AG49:AH49" si="57">AK137</f>
        <v>3.3325153686692888</v>
      </c>
      <c r="AH49" s="249">
        <f t="shared" si="57"/>
        <v>3.5309426892129441</v>
      </c>
      <c r="AI49" s="249">
        <f t="shared" ref="AI49" si="58">AM137</f>
        <v>3.7384578947812814</v>
      </c>
      <c r="AJ49" s="249">
        <f t="shared" ref="AJ49" si="59">AN137</f>
        <v>3.9554772065579336</v>
      </c>
      <c r="AK49" s="249">
        <f t="shared" ref="AK49:AL49" si="60">AO137</f>
        <v>4.1824359084758136</v>
      </c>
      <c r="AL49" s="249">
        <f t="shared" si="60"/>
        <v>4.4197892202827438</v>
      </c>
      <c r="AM49" s="249">
        <f t="shared" ref="AM49" si="61">AQ137</f>
        <v>4.6680132105931129</v>
      </c>
      <c r="AN49" s="249">
        <f t="shared" ref="AN49" si="62">AR137</f>
        <v>4.9276057517569019</v>
      </c>
      <c r="AO49" s="249">
        <f t="shared" ref="AO49:AP49" si="63">AS137</f>
        <v>0</v>
      </c>
      <c r="AP49" s="249">
        <f t="shared" si="63"/>
        <v>4.5799565300699951E-2</v>
      </c>
    </row>
    <row r="50" spans="1:42" ht="16.5" thickBot="1" x14ac:dyDescent="0.25">
      <c r="A50" s="250" t="s">
        <v>432</v>
      </c>
      <c r="B50" s="203">
        <f>'2. паспорт  ТП'!S26*1000000</f>
        <v>40687015.783333331</v>
      </c>
      <c r="C50" s="203">
        <f>G108*(1+C49)</f>
        <v>0</v>
      </c>
      <c r="D50" s="203">
        <f>H108*(1+H49)</f>
        <v>0</v>
      </c>
      <c r="E50" s="203">
        <f t="shared" ref="E50:O50" si="64">J108*(1+E49)</f>
        <v>21182660.500836536</v>
      </c>
      <c r="F50" s="203">
        <f t="shared" si="64"/>
        <v>24051630.041717485</v>
      </c>
      <c r="G50" s="203">
        <f t="shared" si="64"/>
        <v>26477036.04463305</v>
      </c>
      <c r="H50" s="203">
        <f t="shared" si="64"/>
        <v>27689672.785928208</v>
      </c>
      <c r="I50" s="203">
        <f t="shared" si="64"/>
        <v>28957847.762842342</v>
      </c>
      <c r="J50" s="203">
        <f t="shared" si="64"/>
        <v>30284104.602424372</v>
      </c>
      <c r="K50" s="203">
        <f t="shared" si="64"/>
        <v>31671103.428736333</v>
      </c>
      <c r="L50" s="203">
        <f t="shared" si="64"/>
        <v>33121626.198365964</v>
      </c>
      <c r="M50" s="203">
        <f t="shared" si="64"/>
        <v>31671103.428736333</v>
      </c>
      <c r="N50" s="203">
        <f t="shared" si="64"/>
        <v>33121626.198365964</v>
      </c>
      <c r="O50" s="203">
        <f t="shared" si="64"/>
        <v>34638582.280303396</v>
      </c>
      <c r="P50" s="203">
        <f t="shared" ref="P50:Q50" si="65">U108*(1+P49)</f>
        <v>36225014.291373819</v>
      </c>
      <c r="Q50" s="203">
        <f t="shared" si="65"/>
        <v>37884104.198930383</v>
      </c>
      <c r="R50" s="203">
        <f t="shared" ref="R50" si="66">W108*(1+R49)</f>
        <v>39619179.703047819</v>
      </c>
      <c r="S50" s="203">
        <f t="shared" ref="S50" si="67">X108*(1+S49)</f>
        <v>41433720.911017723</v>
      </c>
      <c r="T50" s="203">
        <f t="shared" ref="T50" si="68">Y108*(1+T49)</f>
        <v>43331367.31753286</v>
      </c>
      <c r="U50" s="203">
        <f t="shared" ref="U50" si="69">Z108*(1+U49)</f>
        <v>45315925.104560822</v>
      </c>
      <c r="V50" s="203">
        <f t="shared" ref="V50" si="70">AA108*(1+V49)</f>
        <v>47391374.775548786</v>
      </c>
      <c r="W50" s="203">
        <f t="shared" ref="W50" si="71">AB108*(1+W49)</f>
        <v>49561879.139271483</v>
      </c>
      <c r="X50" s="203">
        <f t="shared" ref="X50" si="72">AC108*(1+X49)</f>
        <v>51831791.659335941</v>
      </c>
      <c r="Y50" s="203">
        <f t="shared" ref="Y50" si="73">AD108*(1+Y49)</f>
        <v>54205665.18608997</v>
      </c>
      <c r="Z50" s="203">
        <f t="shared" ref="Z50" si="74">AE108*(1+Z49)</f>
        <v>56688261.088448174</v>
      </c>
      <c r="AA50" s="203">
        <f t="shared" ref="AA50" si="75">AF108*(1+AA49)</f>
        <v>59284558.803951688</v>
      </c>
      <c r="AB50" s="203">
        <f t="shared" ref="AB50" si="76">AG108*(1+AB49)</f>
        <v>61999765.826216467</v>
      </c>
      <c r="AC50" s="203">
        <f t="shared" ref="AC50" si="77">AH108*(1+AC49)</f>
        <v>64839328.149802364</v>
      </c>
      <c r="AD50" s="203">
        <f t="shared" ref="AD50" si="78">AI108*(1+AD49)</f>
        <v>67808941.193452761</v>
      </c>
      <c r="AE50" s="203">
        <f t="shared" ref="AE50" si="79">AJ108*(1+AE49)</f>
        <v>70914561.22361362</v>
      </c>
      <c r="AF50" s="203">
        <f t="shared" ref="AF50" si="80">AK108*(1+AF49)</f>
        <v>74162417.301145002</v>
      </c>
      <c r="AG50" s="203">
        <f t="shared" ref="AG50" si="81">AL108*(1+AG49)</f>
        <v>77559023.775186554</v>
      </c>
      <c r="AH50" s="203">
        <f t="shared" ref="AH50" si="82">AM108*(1+AH49)</f>
        <v>81111193.349236757</v>
      </c>
      <c r="AI50" s="203">
        <f t="shared" ref="AI50" si="83">AN108*(1+AI49)</f>
        <v>84826050.745652825</v>
      </c>
      <c r="AJ50" s="203">
        <f t="shared" ref="AJ50" si="84">AO108*(1+AJ49)</f>
        <v>88711046.995978832</v>
      </c>
      <c r="AK50" s="203">
        <f t="shared" ref="AK50" si="85">AP108*(1+AK49)</f>
        <v>92773974.385764614</v>
      </c>
      <c r="AL50" s="203">
        <f t="shared" ref="AL50" si="86">AQ108*(1+AL49)</f>
        <v>0</v>
      </c>
      <c r="AM50" s="203">
        <f t="shared" ref="AM50" si="87">AR108*(1+AM49)</f>
        <v>0</v>
      </c>
      <c r="AN50" s="203">
        <f t="shared" ref="AN50" si="88">AS108*(1+AN49)</f>
        <v>0</v>
      </c>
      <c r="AO50" s="203">
        <f t="shared" ref="AO50" si="89">AT108*(1+AO49)</f>
        <v>0</v>
      </c>
      <c r="AP50" s="203">
        <f t="shared" ref="AP50" si="90">AU108*(1+AP49)</f>
        <v>0</v>
      </c>
    </row>
    <row r="51" spans="1:42" ht="16.5" thickBot="1" x14ac:dyDescent="0.25">
      <c r="B51" s="220">
        <v>2022</v>
      </c>
      <c r="C51" s="220">
        <f>B51+1</f>
        <v>2023</v>
      </c>
      <c r="D51" s="220">
        <f t="shared" ref="D51:AP51" si="91">C51+1</f>
        <v>2024</v>
      </c>
      <c r="E51" s="220">
        <f t="shared" si="91"/>
        <v>2025</v>
      </c>
      <c r="F51" s="220">
        <f t="shared" si="91"/>
        <v>2026</v>
      </c>
      <c r="G51" s="220">
        <f t="shared" si="91"/>
        <v>2027</v>
      </c>
      <c r="H51" s="220">
        <f t="shared" si="91"/>
        <v>2028</v>
      </c>
      <c r="I51" s="220">
        <f t="shared" si="91"/>
        <v>2029</v>
      </c>
      <c r="J51" s="220">
        <f t="shared" si="91"/>
        <v>2030</v>
      </c>
      <c r="K51" s="220">
        <f t="shared" si="91"/>
        <v>2031</v>
      </c>
      <c r="L51" s="220">
        <f t="shared" si="91"/>
        <v>2032</v>
      </c>
      <c r="M51" s="220">
        <f t="shared" si="91"/>
        <v>2033</v>
      </c>
      <c r="N51" s="220">
        <f t="shared" si="91"/>
        <v>2034</v>
      </c>
      <c r="O51" s="220">
        <f t="shared" si="91"/>
        <v>2035</v>
      </c>
      <c r="P51" s="220">
        <f t="shared" si="91"/>
        <v>2036</v>
      </c>
      <c r="Q51" s="220">
        <f t="shared" si="91"/>
        <v>2037</v>
      </c>
      <c r="R51" s="220">
        <f t="shared" si="91"/>
        <v>2038</v>
      </c>
      <c r="S51" s="220">
        <f t="shared" si="91"/>
        <v>2039</v>
      </c>
      <c r="T51" s="220">
        <f t="shared" si="91"/>
        <v>2040</v>
      </c>
      <c r="U51" s="220">
        <f t="shared" si="91"/>
        <v>2041</v>
      </c>
      <c r="V51" s="220">
        <f t="shared" si="91"/>
        <v>2042</v>
      </c>
      <c r="W51" s="220">
        <f t="shared" si="91"/>
        <v>2043</v>
      </c>
      <c r="X51" s="220">
        <f t="shared" si="91"/>
        <v>2044</v>
      </c>
      <c r="Y51" s="220">
        <f t="shared" si="91"/>
        <v>2045</v>
      </c>
      <c r="Z51" s="220">
        <f t="shared" si="91"/>
        <v>2046</v>
      </c>
      <c r="AA51" s="220">
        <f t="shared" si="91"/>
        <v>2047</v>
      </c>
      <c r="AB51" s="220">
        <f t="shared" si="91"/>
        <v>2048</v>
      </c>
      <c r="AC51" s="220">
        <f t="shared" si="91"/>
        <v>2049</v>
      </c>
      <c r="AD51" s="220">
        <f t="shared" si="91"/>
        <v>2050</v>
      </c>
      <c r="AE51" s="220">
        <f t="shared" si="91"/>
        <v>2051</v>
      </c>
      <c r="AF51" s="220">
        <f t="shared" si="91"/>
        <v>2052</v>
      </c>
      <c r="AG51" s="220">
        <f t="shared" si="91"/>
        <v>2053</v>
      </c>
      <c r="AH51" s="220">
        <f t="shared" si="91"/>
        <v>2054</v>
      </c>
      <c r="AI51" s="220">
        <f t="shared" si="91"/>
        <v>2055</v>
      </c>
      <c r="AJ51" s="220">
        <f t="shared" si="91"/>
        <v>2056</v>
      </c>
      <c r="AK51" s="220">
        <f t="shared" si="91"/>
        <v>2057</v>
      </c>
      <c r="AL51" s="220">
        <f t="shared" si="91"/>
        <v>2058</v>
      </c>
      <c r="AM51" s="220">
        <f t="shared" si="91"/>
        <v>2059</v>
      </c>
      <c r="AN51" s="220">
        <f t="shared" si="91"/>
        <v>2060</v>
      </c>
      <c r="AO51" s="220">
        <f t="shared" si="91"/>
        <v>2061</v>
      </c>
      <c r="AP51" s="220">
        <f t="shared" si="91"/>
        <v>2062</v>
      </c>
    </row>
    <row r="52" spans="1:42" x14ac:dyDescent="0.2">
      <c r="A52" s="201" t="s">
        <v>267</v>
      </c>
      <c r="B52" s="246">
        <f>B58</f>
        <v>1</v>
      </c>
      <c r="C52" s="246">
        <f t="shared" ref="C52:AO52" si="92">C58</f>
        <v>2</v>
      </c>
      <c r="D52" s="246">
        <f t="shared" si="92"/>
        <v>3</v>
      </c>
      <c r="E52" s="246">
        <f t="shared" si="92"/>
        <v>4</v>
      </c>
      <c r="F52" s="246">
        <f t="shared" si="92"/>
        <v>5</v>
      </c>
      <c r="G52" s="246">
        <f t="shared" si="92"/>
        <v>6</v>
      </c>
      <c r="H52" s="246">
        <f t="shared" si="92"/>
        <v>7</v>
      </c>
      <c r="I52" s="246">
        <f t="shared" si="92"/>
        <v>8</v>
      </c>
      <c r="J52" s="246">
        <f t="shared" si="92"/>
        <v>9</v>
      </c>
      <c r="K52" s="246">
        <f t="shared" si="92"/>
        <v>10</v>
      </c>
      <c r="L52" s="246">
        <f t="shared" si="92"/>
        <v>11</v>
      </c>
      <c r="M52" s="246">
        <f t="shared" si="92"/>
        <v>12</v>
      </c>
      <c r="N52" s="246">
        <f t="shared" si="92"/>
        <v>13</v>
      </c>
      <c r="O52" s="246">
        <f t="shared" si="92"/>
        <v>14</v>
      </c>
      <c r="P52" s="246">
        <f t="shared" si="92"/>
        <v>15</v>
      </c>
      <c r="Q52" s="246">
        <f t="shared" si="92"/>
        <v>16</v>
      </c>
      <c r="R52" s="246">
        <f t="shared" si="92"/>
        <v>17</v>
      </c>
      <c r="S52" s="246">
        <f t="shared" si="92"/>
        <v>18</v>
      </c>
      <c r="T52" s="246">
        <f t="shared" si="92"/>
        <v>19</v>
      </c>
      <c r="U52" s="246">
        <f t="shared" si="92"/>
        <v>20</v>
      </c>
      <c r="V52" s="246">
        <f t="shared" si="92"/>
        <v>21</v>
      </c>
      <c r="W52" s="246">
        <f t="shared" si="92"/>
        <v>22</v>
      </c>
      <c r="X52" s="246">
        <f t="shared" si="92"/>
        <v>23</v>
      </c>
      <c r="Y52" s="246">
        <f t="shared" si="92"/>
        <v>24</v>
      </c>
      <c r="Z52" s="246">
        <f t="shared" si="92"/>
        <v>25</v>
      </c>
      <c r="AA52" s="246">
        <f t="shared" si="92"/>
        <v>26</v>
      </c>
      <c r="AB52" s="246">
        <f t="shared" si="92"/>
        <v>27</v>
      </c>
      <c r="AC52" s="246">
        <f t="shared" si="92"/>
        <v>28</v>
      </c>
      <c r="AD52" s="246">
        <f t="shared" si="92"/>
        <v>29</v>
      </c>
      <c r="AE52" s="246">
        <f t="shared" si="92"/>
        <v>30</v>
      </c>
      <c r="AF52" s="246">
        <f t="shared" si="92"/>
        <v>31</v>
      </c>
      <c r="AG52" s="246">
        <f t="shared" si="92"/>
        <v>32</v>
      </c>
      <c r="AH52" s="246">
        <f t="shared" si="92"/>
        <v>33</v>
      </c>
      <c r="AI52" s="246">
        <f t="shared" si="92"/>
        <v>34</v>
      </c>
      <c r="AJ52" s="246">
        <f t="shared" si="92"/>
        <v>35</v>
      </c>
      <c r="AK52" s="246">
        <f t="shared" si="92"/>
        <v>36</v>
      </c>
      <c r="AL52" s="246">
        <f t="shared" si="92"/>
        <v>37</v>
      </c>
      <c r="AM52" s="246">
        <f t="shared" si="92"/>
        <v>38</v>
      </c>
      <c r="AN52" s="246">
        <f t="shared" si="92"/>
        <v>39</v>
      </c>
      <c r="AO52" s="246">
        <f t="shared" si="92"/>
        <v>40</v>
      </c>
      <c r="AP52" s="246">
        <f>AP58</f>
        <v>41</v>
      </c>
    </row>
    <row r="53" spans="1:42" x14ac:dyDescent="0.2">
      <c r="A53" s="247" t="s">
        <v>266</v>
      </c>
      <c r="B53" s="202">
        <v>0</v>
      </c>
      <c r="C53" s="202">
        <f t="shared" ref="C53:AP53" si="93">B53+B54-B55</f>
        <v>0</v>
      </c>
      <c r="D53" s="202">
        <f t="shared" si="93"/>
        <v>0</v>
      </c>
      <c r="E53" s="202">
        <f t="shared" si="93"/>
        <v>0</v>
      </c>
      <c r="F53" s="202">
        <f t="shared" si="93"/>
        <v>0</v>
      </c>
      <c r="G53" s="202">
        <f t="shared" si="93"/>
        <v>0</v>
      </c>
      <c r="H53" s="202">
        <f t="shared" si="93"/>
        <v>0</v>
      </c>
      <c r="I53" s="202">
        <f t="shared" si="93"/>
        <v>0</v>
      </c>
      <c r="J53" s="202">
        <f t="shared" si="93"/>
        <v>0</v>
      </c>
      <c r="K53" s="202">
        <f t="shared" si="93"/>
        <v>0</v>
      </c>
      <c r="L53" s="202">
        <f t="shared" si="93"/>
        <v>0</v>
      </c>
      <c r="M53" s="202">
        <f t="shared" si="93"/>
        <v>0</v>
      </c>
      <c r="N53" s="202">
        <f t="shared" si="93"/>
        <v>0</v>
      </c>
      <c r="O53" s="202">
        <f t="shared" si="93"/>
        <v>0</v>
      </c>
      <c r="P53" s="202">
        <f t="shared" si="93"/>
        <v>0</v>
      </c>
      <c r="Q53" s="202">
        <f t="shared" si="93"/>
        <v>0</v>
      </c>
      <c r="R53" s="202">
        <f t="shared" si="93"/>
        <v>0</v>
      </c>
      <c r="S53" s="202">
        <f t="shared" si="93"/>
        <v>0</v>
      </c>
      <c r="T53" s="202">
        <f t="shared" si="93"/>
        <v>0</v>
      </c>
      <c r="U53" s="202">
        <f t="shared" si="93"/>
        <v>0</v>
      </c>
      <c r="V53" s="202">
        <f t="shared" si="93"/>
        <v>0</v>
      </c>
      <c r="W53" s="202">
        <f t="shared" si="93"/>
        <v>0</v>
      </c>
      <c r="X53" s="202">
        <f t="shared" si="93"/>
        <v>0</v>
      </c>
      <c r="Y53" s="202">
        <f t="shared" si="93"/>
        <v>0</v>
      </c>
      <c r="Z53" s="202">
        <f t="shared" si="93"/>
        <v>0</v>
      </c>
      <c r="AA53" s="202">
        <f t="shared" si="93"/>
        <v>0</v>
      </c>
      <c r="AB53" s="202">
        <f t="shared" si="93"/>
        <v>0</v>
      </c>
      <c r="AC53" s="202">
        <f t="shared" si="93"/>
        <v>0</v>
      </c>
      <c r="AD53" s="202">
        <f t="shared" si="93"/>
        <v>0</v>
      </c>
      <c r="AE53" s="202">
        <f t="shared" si="93"/>
        <v>0</v>
      </c>
      <c r="AF53" s="202">
        <f t="shared" si="93"/>
        <v>0</v>
      </c>
      <c r="AG53" s="202">
        <f t="shared" si="93"/>
        <v>0</v>
      </c>
      <c r="AH53" s="202">
        <f t="shared" si="93"/>
        <v>0</v>
      </c>
      <c r="AI53" s="202">
        <f t="shared" si="93"/>
        <v>0</v>
      </c>
      <c r="AJ53" s="202">
        <f t="shared" si="93"/>
        <v>0</v>
      </c>
      <c r="AK53" s="202">
        <f t="shared" si="93"/>
        <v>0</v>
      </c>
      <c r="AL53" s="202">
        <f t="shared" si="93"/>
        <v>0</v>
      </c>
      <c r="AM53" s="202">
        <f t="shared" si="93"/>
        <v>0</v>
      </c>
      <c r="AN53" s="202">
        <f t="shared" si="93"/>
        <v>0</v>
      </c>
      <c r="AO53" s="202">
        <f t="shared" si="93"/>
        <v>0</v>
      </c>
      <c r="AP53" s="202">
        <f t="shared" si="93"/>
        <v>0</v>
      </c>
    </row>
    <row r="54" spans="1:42" x14ac:dyDescent="0.2">
      <c r="A54" s="247" t="s">
        <v>265</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2" x14ac:dyDescent="0.2">
      <c r="A55" s="247" t="s">
        <v>264</v>
      </c>
      <c r="B55" s="202">
        <f>$B$54/$B$40</f>
        <v>0</v>
      </c>
      <c r="C55" s="202">
        <f t="shared" ref="C55:AP55" si="94">IF(ROUND(C53,1)=0,0,B55+C54/$B$40)</f>
        <v>0</v>
      </c>
      <c r="D55" s="202">
        <f t="shared" si="94"/>
        <v>0</v>
      </c>
      <c r="E55" s="202">
        <f t="shared" si="94"/>
        <v>0</v>
      </c>
      <c r="F55" s="202">
        <f t="shared" si="94"/>
        <v>0</v>
      </c>
      <c r="G55" s="202">
        <f t="shared" si="94"/>
        <v>0</v>
      </c>
      <c r="H55" s="202">
        <f t="shared" si="94"/>
        <v>0</v>
      </c>
      <c r="I55" s="202">
        <f t="shared" si="94"/>
        <v>0</v>
      </c>
      <c r="J55" s="202">
        <f t="shared" si="94"/>
        <v>0</v>
      </c>
      <c r="K55" s="202">
        <f t="shared" si="94"/>
        <v>0</v>
      </c>
      <c r="L55" s="202">
        <f t="shared" si="94"/>
        <v>0</v>
      </c>
      <c r="M55" s="202">
        <f t="shared" si="94"/>
        <v>0</v>
      </c>
      <c r="N55" s="202">
        <f t="shared" si="94"/>
        <v>0</v>
      </c>
      <c r="O55" s="202">
        <f t="shared" si="94"/>
        <v>0</v>
      </c>
      <c r="P55" s="202">
        <f t="shared" si="94"/>
        <v>0</v>
      </c>
      <c r="Q55" s="202">
        <f t="shared" si="94"/>
        <v>0</v>
      </c>
      <c r="R55" s="202">
        <f t="shared" si="94"/>
        <v>0</v>
      </c>
      <c r="S55" s="202">
        <f t="shared" si="94"/>
        <v>0</v>
      </c>
      <c r="T55" s="202">
        <f t="shared" si="94"/>
        <v>0</v>
      </c>
      <c r="U55" s="202">
        <f t="shared" si="94"/>
        <v>0</v>
      </c>
      <c r="V55" s="202">
        <f t="shared" si="94"/>
        <v>0</v>
      </c>
      <c r="W55" s="202">
        <f t="shared" si="94"/>
        <v>0</v>
      </c>
      <c r="X55" s="202">
        <f t="shared" si="94"/>
        <v>0</v>
      </c>
      <c r="Y55" s="202">
        <f t="shared" si="94"/>
        <v>0</v>
      </c>
      <c r="Z55" s="202">
        <f t="shared" si="94"/>
        <v>0</v>
      </c>
      <c r="AA55" s="202">
        <f t="shared" si="94"/>
        <v>0</v>
      </c>
      <c r="AB55" s="202">
        <f t="shared" si="94"/>
        <v>0</v>
      </c>
      <c r="AC55" s="202">
        <f t="shared" si="94"/>
        <v>0</v>
      </c>
      <c r="AD55" s="202">
        <f t="shared" si="94"/>
        <v>0</v>
      </c>
      <c r="AE55" s="202">
        <f t="shared" si="94"/>
        <v>0</v>
      </c>
      <c r="AF55" s="202">
        <f t="shared" si="94"/>
        <v>0</v>
      </c>
      <c r="AG55" s="202">
        <f t="shared" si="94"/>
        <v>0</v>
      </c>
      <c r="AH55" s="202">
        <f t="shared" si="94"/>
        <v>0</v>
      </c>
      <c r="AI55" s="202">
        <f t="shared" si="94"/>
        <v>0</v>
      </c>
      <c r="AJ55" s="202">
        <f t="shared" si="94"/>
        <v>0</v>
      </c>
      <c r="AK55" s="202">
        <f t="shared" si="94"/>
        <v>0</v>
      </c>
      <c r="AL55" s="202">
        <f t="shared" si="94"/>
        <v>0</v>
      </c>
      <c r="AM55" s="202">
        <f t="shared" si="94"/>
        <v>0</v>
      </c>
      <c r="AN55" s="202">
        <f t="shared" si="94"/>
        <v>0</v>
      </c>
      <c r="AO55" s="202">
        <f t="shared" si="94"/>
        <v>0</v>
      </c>
      <c r="AP55" s="202">
        <f t="shared" si="94"/>
        <v>0</v>
      </c>
    </row>
    <row r="56" spans="1:42" ht="16.5" thickBot="1" x14ac:dyDescent="0.25">
      <c r="A56" s="250" t="s">
        <v>263</v>
      </c>
      <c r="B56" s="203">
        <f t="shared" ref="B56:AP56" si="95">AVERAGE(SUM(B53:B54),(SUM(B53:B54)-B55))*$B$42</f>
        <v>0</v>
      </c>
      <c r="C56" s="203">
        <f t="shared" si="95"/>
        <v>0</v>
      </c>
      <c r="D56" s="203">
        <f t="shared" si="95"/>
        <v>0</v>
      </c>
      <c r="E56" s="203">
        <f t="shared" si="95"/>
        <v>0</v>
      </c>
      <c r="F56" s="203">
        <f t="shared" si="95"/>
        <v>0</v>
      </c>
      <c r="G56" s="203">
        <f t="shared" si="95"/>
        <v>0</v>
      </c>
      <c r="H56" s="203">
        <f t="shared" si="95"/>
        <v>0</v>
      </c>
      <c r="I56" s="203">
        <f t="shared" si="95"/>
        <v>0</v>
      </c>
      <c r="J56" s="203">
        <f t="shared" si="95"/>
        <v>0</v>
      </c>
      <c r="K56" s="203">
        <f t="shared" si="95"/>
        <v>0</v>
      </c>
      <c r="L56" s="203">
        <f t="shared" si="95"/>
        <v>0</v>
      </c>
      <c r="M56" s="203">
        <f t="shared" si="95"/>
        <v>0</v>
      </c>
      <c r="N56" s="203">
        <f t="shared" si="95"/>
        <v>0</v>
      </c>
      <c r="O56" s="203">
        <f t="shared" si="95"/>
        <v>0</v>
      </c>
      <c r="P56" s="203">
        <f t="shared" si="95"/>
        <v>0</v>
      </c>
      <c r="Q56" s="203">
        <f t="shared" si="95"/>
        <v>0</v>
      </c>
      <c r="R56" s="203">
        <f t="shared" si="95"/>
        <v>0</v>
      </c>
      <c r="S56" s="203">
        <f t="shared" si="95"/>
        <v>0</v>
      </c>
      <c r="T56" s="203">
        <f t="shared" si="95"/>
        <v>0</v>
      </c>
      <c r="U56" s="203">
        <f t="shared" si="95"/>
        <v>0</v>
      </c>
      <c r="V56" s="203">
        <f t="shared" si="95"/>
        <v>0</v>
      </c>
      <c r="W56" s="203">
        <f t="shared" si="95"/>
        <v>0</v>
      </c>
      <c r="X56" s="203">
        <f t="shared" si="95"/>
        <v>0</v>
      </c>
      <c r="Y56" s="203">
        <f t="shared" si="95"/>
        <v>0</v>
      </c>
      <c r="Z56" s="203">
        <f t="shared" si="95"/>
        <v>0</v>
      </c>
      <c r="AA56" s="203">
        <f t="shared" si="95"/>
        <v>0</v>
      </c>
      <c r="AB56" s="203">
        <f t="shared" si="95"/>
        <v>0</v>
      </c>
      <c r="AC56" s="203">
        <f t="shared" si="95"/>
        <v>0</v>
      </c>
      <c r="AD56" s="203">
        <f t="shared" si="95"/>
        <v>0</v>
      </c>
      <c r="AE56" s="203">
        <f t="shared" si="95"/>
        <v>0</v>
      </c>
      <c r="AF56" s="203">
        <f t="shared" si="95"/>
        <v>0</v>
      </c>
      <c r="AG56" s="203">
        <f t="shared" si="95"/>
        <v>0</v>
      </c>
      <c r="AH56" s="203">
        <f t="shared" si="95"/>
        <v>0</v>
      </c>
      <c r="AI56" s="203">
        <f t="shared" si="95"/>
        <v>0</v>
      </c>
      <c r="AJ56" s="203">
        <f t="shared" si="95"/>
        <v>0</v>
      </c>
      <c r="AK56" s="203">
        <f t="shared" si="95"/>
        <v>0</v>
      </c>
      <c r="AL56" s="203">
        <f t="shared" si="95"/>
        <v>0</v>
      </c>
      <c r="AM56" s="203">
        <f t="shared" si="95"/>
        <v>0</v>
      </c>
      <c r="AN56" s="203">
        <f t="shared" si="95"/>
        <v>0</v>
      </c>
      <c r="AO56" s="203">
        <f t="shared" si="95"/>
        <v>0</v>
      </c>
      <c r="AP56" s="203">
        <f t="shared" si="95"/>
        <v>0</v>
      </c>
    </row>
    <row r="57" spans="1:42" ht="16.5" thickBot="1" x14ac:dyDescent="0.25">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row>
    <row r="58" spans="1:42" x14ac:dyDescent="0.2">
      <c r="A58" s="201" t="s">
        <v>433</v>
      </c>
      <c r="B58" s="246">
        <v>1</v>
      </c>
      <c r="C58" s="246">
        <f>B58+1</f>
        <v>2</v>
      </c>
      <c r="D58" s="246">
        <f t="shared" ref="D58:AP58" si="96">C58+1</f>
        <v>3</v>
      </c>
      <c r="E58" s="246">
        <f t="shared" si="96"/>
        <v>4</v>
      </c>
      <c r="F58" s="246">
        <f t="shared" si="96"/>
        <v>5</v>
      </c>
      <c r="G58" s="246">
        <f t="shared" si="96"/>
        <v>6</v>
      </c>
      <c r="H58" s="246">
        <f t="shared" si="96"/>
        <v>7</v>
      </c>
      <c r="I58" s="246">
        <f t="shared" si="96"/>
        <v>8</v>
      </c>
      <c r="J58" s="246">
        <f t="shared" si="96"/>
        <v>9</v>
      </c>
      <c r="K58" s="246">
        <f t="shared" si="96"/>
        <v>10</v>
      </c>
      <c r="L58" s="246">
        <f t="shared" si="96"/>
        <v>11</v>
      </c>
      <c r="M58" s="246">
        <f t="shared" si="96"/>
        <v>12</v>
      </c>
      <c r="N58" s="246">
        <f t="shared" si="96"/>
        <v>13</v>
      </c>
      <c r="O58" s="246">
        <f t="shared" si="96"/>
        <v>14</v>
      </c>
      <c r="P58" s="246">
        <f t="shared" si="96"/>
        <v>15</v>
      </c>
      <c r="Q58" s="246">
        <f t="shared" si="96"/>
        <v>16</v>
      </c>
      <c r="R58" s="246">
        <f t="shared" si="96"/>
        <v>17</v>
      </c>
      <c r="S58" s="246">
        <f t="shared" si="96"/>
        <v>18</v>
      </c>
      <c r="T58" s="246">
        <f t="shared" si="96"/>
        <v>19</v>
      </c>
      <c r="U58" s="246">
        <f t="shared" si="96"/>
        <v>20</v>
      </c>
      <c r="V58" s="246">
        <f t="shared" si="96"/>
        <v>21</v>
      </c>
      <c r="W58" s="246">
        <f t="shared" si="96"/>
        <v>22</v>
      </c>
      <c r="X58" s="246">
        <f t="shared" si="96"/>
        <v>23</v>
      </c>
      <c r="Y58" s="246">
        <f t="shared" si="96"/>
        <v>24</v>
      </c>
      <c r="Z58" s="246">
        <f t="shared" si="96"/>
        <v>25</v>
      </c>
      <c r="AA58" s="246">
        <f t="shared" si="96"/>
        <v>26</v>
      </c>
      <c r="AB58" s="246">
        <f t="shared" si="96"/>
        <v>27</v>
      </c>
      <c r="AC58" s="246">
        <f t="shared" si="96"/>
        <v>28</v>
      </c>
      <c r="AD58" s="246">
        <f t="shared" si="96"/>
        <v>29</v>
      </c>
      <c r="AE58" s="246">
        <f t="shared" si="96"/>
        <v>30</v>
      </c>
      <c r="AF58" s="246">
        <f t="shared" si="96"/>
        <v>31</v>
      </c>
      <c r="AG58" s="246">
        <f t="shared" si="96"/>
        <v>32</v>
      </c>
      <c r="AH58" s="246">
        <f t="shared" si="96"/>
        <v>33</v>
      </c>
      <c r="AI58" s="246">
        <f t="shared" si="96"/>
        <v>34</v>
      </c>
      <c r="AJ58" s="246">
        <f t="shared" si="96"/>
        <v>35</v>
      </c>
      <c r="AK58" s="246">
        <f t="shared" si="96"/>
        <v>36</v>
      </c>
      <c r="AL58" s="246">
        <f t="shared" si="96"/>
        <v>37</v>
      </c>
      <c r="AM58" s="246">
        <f t="shared" si="96"/>
        <v>38</v>
      </c>
      <c r="AN58" s="246">
        <f t="shared" si="96"/>
        <v>39</v>
      </c>
      <c r="AO58" s="246">
        <f t="shared" si="96"/>
        <v>40</v>
      </c>
      <c r="AP58" s="246">
        <f t="shared" si="96"/>
        <v>41</v>
      </c>
    </row>
    <row r="59" spans="1:42" ht="14.25" x14ac:dyDescent="0.2">
      <c r="A59" s="204" t="s">
        <v>262</v>
      </c>
      <c r="B59" s="205">
        <f>B50*$B$28</f>
        <v>40687015.783333331</v>
      </c>
      <c r="C59" s="205">
        <f>C50*$B$28</f>
        <v>0</v>
      </c>
      <c r="D59" s="205">
        <f>D50*$B$28</f>
        <v>0</v>
      </c>
      <c r="E59" s="205">
        <f t="shared" ref="E59:AP59" si="97">E50*$B$28</f>
        <v>21182660.500836536</v>
      </c>
      <c r="F59" s="205">
        <f t="shared" si="97"/>
        <v>24051630.041717485</v>
      </c>
      <c r="G59" s="205">
        <f>G50*$B$28</f>
        <v>26477036.04463305</v>
      </c>
      <c r="H59" s="205">
        <f t="shared" si="97"/>
        <v>27689672.785928208</v>
      </c>
      <c r="I59" s="205">
        <f t="shared" si="97"/>
        <v>28957847.762842342</v>
      </c>
      <c r="J59" s="205">
        <f t="shared" si="97"/>
        <v>30284104.602424372</v>
      </c>
      <c r="K59" s="205">
        <f t="shared" si="97"/>
        <v>31671103.428736333</v>
      </c>
      <c r="L59" s="205">
        <f t="shared" si="97"/>
        <v>33121626.198365964</v>
      </c>
      <c r="M59" s="205">
        <f t="shared" si="97"/>
        <v>31671103.428736333</v>
      </c>
      <c r="N59" s="205">
        <f t="shared" si="97"/>
        <v>33121626.198365964</v>
      </c>
      <c r="O59" s="205">
        <f t="shared" si="97"/>
        <v>34638582.280303396</v>
      </c>
      <c r="P59" s="205">
        <f t="shared" si="97"/>
        <v>36225014.291373819</v>
      </c>
      <c r="Q59" s="205">
        <f t="shared" si="97"/>
        <v>37884104.198930383</v>
      </c>
      <c r="R59" s="205">
        <f t="shared" si="97"/>
        <v>39619179.703047819</v>
      </c>
      <c r="S59" s="205">
        <f t="shared" si="97"/>
        <v>41433720.911017723</v>
      </c>
      <c r="T59" s="205">
        <f t="shared" si="97"/>
        <v>43331367.31753286</v>
      </c>
      <c r="U59" s="205">
        <f t="shared" si="97"/>
        <v>45315925.104560822</v>
      </c>
      <c r="V59" s="205">
        <f t="shared" si="97"/>
        <v>47391374.775548786</v>
      </c>
      <c r="W59" s="205">
        <f t="shared" si="97"/>
        <v>49561879.139271483</v>
      </c>
      <c r="X59" s="205">
        <f t="shared" si="97"/>
        <v>51831791.659335941</v>
      </c>
      <c r="Y59" s="205">
        <f t="shared" si="97"/>
        <v>54205665.18608997</v>
      </c>
      <c r="Z59" s="205">
        <f t="shared" si="97"/>
        <v>56688261.088448174</v>
      </c>
      <c r="AA59" s="205">
        <f t="shared" si="97"/>
        <v>59284558.803951688</v>
      </c>
      <c r="AB59" s="205">
        <f t="shared" si="97"/>
        <v>61999765.826216467</v>
      </c>
      <c r="AC59" s="205">
        <f t="shared" si="97"/>
        <v>64839328.149802364</v>
      </c>
      <c r="AD59" s="205">
        <f t="shared" si="97"/>
        <v>67808941.193452761</v>
      </c>
      <c r="AE59" s="205">
        <f t="shared" si="97"/>
        <v>70914561.22361362</v>
      </c>
      <c r="AF59" s="205">
        <f t="shared" si="97"/>
        <v>74162417.301145002</v>
      </c>
      <c r="AG59" s="205">
        <f t="shared" si="97"/>
        <v>77559023.775186554</v>
      </c>
      <c r="AH59" s="205">
        <f t="shared" si="97"/>
        <v>81111193.349236757</v>
      </c>
      <c r="AI59" s="205">
        <f t="shared" si="97"/>
        <v>84826050.745652825</v>
      </c>
      <c r="AJ59" s="205">
        <f t="shared" si="97"/>
        <v>88711046.995978832</v>
      </c>
      <c r="AK59" s="205">
        <f t="shared" si="97"/>
        <v>92773974.385764614</v>
      </c>
      <c r="AL59" s="205">
        <f t="shared" si="97"/>
        <v>0</v>
      </c>
      <c r="AM59" s="205">
        <f t="shared" si="97"/>
        <v>0</v>
      </c>
      <c r="AN59" s="205">
        <f t="shared" si="97"/>
        <v>0</v>
      </c>
      <c r="AO59" s="205">
        <f t="shared" si="97"/>
        <v>0</v>
      </c>
      <c r="AP59" s="205">
        <f t="shared" si="97"/>
        <v>0</v>
      </c>
    </row>
    <row r="60" spans="1:42" x14ac:dyDescent="0.2">
      <c r="A60" s="247" t="s">
        <v>261</v>
      </c>
      <c r="B60" s="202">
        <f t="shared" ref="B60:AP60" si="98">SUM(B61:B65)</f>
        <v>0</v>
      </c>
      <c r="C60" s="202">
        <f t="shared" si="98"/>
        <v>0</v>
      </c>
      <c r="D60" s="202">
        <f>SUM(D61:D65)</f>
        <v>0</v>
      </c>
      <c r="E60" s="202">
        <f t="shared" si="98"/>
        <v>0</v>
      </c>
      <c r="F60" s="202">
        <f t="shared" si="98"/>
        <v>0</v>
      </c>
      <c r="G60" s="202">
        <f t="shared" si="98"/>
        <v>0</v>
      </c>
      <c r="H60" s="202">
        <f>SUM(H61:H65)</f>
        <v>0</v>
      </c>
      <c r="I60" s="202">
        <f t="shared" si="98"/>
        <v>0</v>
      </c>
      <c r="J60" s="202">
        <f t="shared" si="98"/>
        <v>0</v>
      </c>
      <c r="K60" s="202">
        <f t="shared" si="98"/>
        <v>0</v>
      </c>
      <c r="L60" s="202">
        <f t="shared" si="98"/>
        <v>0</v>
      </c>
      <c r="M60" s="202">
        <f t="shared" si="98"/>
        <v>0</v>
      </c>
      <c r="N60" s="202">
        <f t="shared" si="98"/>
        <v>0</v>
      </c>
      <c r="O60" s="202">
        <f t="shared" si="98"/>
        <v>0</v>
      </c>
      <c r="P60" s="202">
        <f t="shared" si="98"/>
        <v>0</v>
      </c>
      <c r="Q60" s="202">
        <f t="shared" si="98"/>
        <v>0</v>
      </c>
      <c r="R60" s="202">
        <f t="shared" si="98"/>
        <v>0</v>
      </c>
      <c r="S60" s="202">
        <f t="shared" si="98"/>
        <v>0</v>
      </c>
      <c r="T60" s="202">
        <f t="shared" si="98"/>
        <v>0</v>
      </c>
      <c r="U60" s="202">
        <f t="shared" si="98"/>
        <v>0</v>
      </c>
      <c r="V60" s="202">
        <f t="shared" si="98"/>
        <v>0</v>
      </c>
      <c r="W60" s="202">
        <f t="shared" si="98"/>
        <v>0</v>
      </c>
      <c r="X60" s="202">
        <f t="shared" si="98"/>
        <v>0</v>
      </c>
      <c r="Y60" s="202">
        <f t="shared" si="98"/>
        <v>0</v>
      </c>
      <c r="Z60" s="202">
        <f t="shared" si="98"/>
        <v>0</v>
      </c>
      <c r="AA60" s="202">
        <f t="shared" si="98"/>
        <v>0</v>
      </c>
      <c r="AB60" s="202">
        <f t="shared" si="98"/>
        <v>0</v>
      </c>
      <c r="AC60" s="202">
        <f t="shared" si="98"/>
        <v>0</v>
      </c>
      <c r="AD60" s="202">
        <f t="shared" si="98"/>
        <v>0</v>
      </c>
      <c r="AE60" s="202">
        <f t="shared" si="98"/>
        <v>0</v>
      </c>
      <c r="AF60" s="202">
        <f t="shared" si="98"/>
        <v>0</v>
      </c>
      <c r="AG60" s="202">
        <f t="shared" si="98"/>
        <v>0</v>
      </c>
      <c r="AH60" s="202">
        <f t="shared" si="98"/>
        <v>0</v>
      </c>
      <c r="AI60" s="202">
        <f t="shared" si="98"/>
        <v>0</v>
      </c>
      <c r="AJ60" s="202">
        <f t="shared" si="98"/>
        <v>0</v>
      </c>
      <c r="AK60" s="202">
        <f t="shared" si="98"/>
        <v>0</v>
      </c>
      <c r="AL60" s="202">
        <f t="shared" si="98"/>
        <v>0</v>
      </c>
      <c r="AM60" s="202">
        <f t="shared" si="98"/>
        <v>0</v>
      </c>
      <c r="AN60" s="202">
        <f t="shared" si="98"/>
        <v>0</v>
      </c>
      <c r="AO60" s="202">
        <f t="shared" si="98"/>
        <v>0</v>
      </c>
      <c r="AP60" s="202">
        <f t="shared" si="98"/>
        <v>0</v>
      </c>
    </row>
    <row r="61" spans="1:42" x14ac:dyDescent="0.2">
      <c r="A61" s="252" t="s">
        <v>260</v>
      </c>
      <c r="B61" s="202"/>
      <c r="C61" s="202">
        <f>-IF(C$47&lt;=$B$30,0,$B$29*(1+C$49)*$B$28)</f>
        <v>0</v>
      </c>
      <c r="D61" s="202">
        <f>-IF(D$47&lt;=$B$30,0,$B$29*(1+D$49)*$B$28)</f>
        <v>0</v>
      </c>
      <c r="E61" s="202">
        <f>-IF(E$47&lt;=$B$30,0,$B$29*(1+E$49)*$B$28)</f>
        <v>0</v>
      </c>
      <c r="F61" s="202">
        <f t="shared" ref="F61:AJ61" si="99">-IF(F$47&lt;=$B$30,0,$B$29*(1+F$49)*$B$28)</f>
        <v>0</v>
      </c>
      <c r="G61" s="202">
        <f t="shared" si="99"/>
        <v>0</v>
      </c>
      <c r="H61" s="202">
        <f>-IF(H$47&lt;=$B$30,0,$B$29*(1+H$49)*$B$28)</f>
        <v>0</v>
      </c>
      <c r="I61" s="202">
        <f t="shared" ref="I61:N61" si="100">-IF(I$47&lt;=$B$30,0,$B$29*(1+I$49)*$B$28)*0</f>
        <v>0</v>
      </c>
      <c r="J61" s="202">
        <f t="shared" si="100"/>
        <v>0</v>
      </c>
      <c r="K61" s="202">
        <f t="shared" si="100"/>
        <v>0</v>
      </c>
      <c r="L61" s="202">
        <f t="shared" si="100"/>
        <v>0</v>
      </c>
      <c r="M61" s="202">
        <f t="shared" si="100"/>
        <v>0</v>
      </c>
      <c r="N61" s="202">
        <f t="shared" si="100"/>
        <v>0</v>
      </c>
      <c r="O61" s="202">
        <f>-IF(O$47&lt;=$B$30,0,$B$29*(1+O$49)*$B$28)</f>
        <v>0</v>
      </c>
      <c r="P61" s="202">
        <f t="shared" ref="P61:U61" si="101">-IF(P$47&lt;=$B$30,0,$B$29*(1+P$49)*$B$28)*0</f>
        <v>0</v>
      </c>
      <c r="Q61" s="202">
        <f t="shared" si="101"/>
        <v>0</v>
      </c>
      <c r="R61" s="202">
        <f t="shared" si="101"/>
        <v>0</v>
      </c>
      <c r="S61" s="202">
        <f t="shared" si="101"/>
        <v>0</v>
      </c>
      <c r="T61" s="202">
        <f t="shared" si="101"/>
        <v>0</v>
      </c>
      <c r="U61" s="202">
        <f t="shared" si="101"/>
        <v>0</v>
      </c>
      <c r="V61" s="202">
        <f>-IF(V$47&lt;=$B$30,0,$B$29*(1+V$49)*$B$28)</f>
        <v>0</v>
      </c>
      <c r="W61" s="202">
        <f t="shared" ref="W61:AB61" si="102">-IF(W$47&lt;=$B$30,0,$B$29*(1+W$49)*$B$28)*0</f>
        <v>0</v>
      </c>
      <c r="X61" s="202">
        <f t="shared" si="102"/>
        <v>0</v>
      </c>
      <c r="Y61" s="202">
        <f t="shared" si="102"/>
        <v>0</v>
      </c>
      <c r="Z61" s="202">
        <f t="shared" si="102"/>
        <v>0</v>
      </c>
      <c r="AA61" s="202">
        <f t="shared" si="102"/>
        <v>0</v>
      </c>
      <c r="AB61" s="202">
        <f t="shared" si="102"/>
        <v>0</v>
      </c>
      <c r="AC61" s="202">
        <f t="shared" si="99"/>
        <v>0</v>
      </c>
      <c r="AD61" s="202">
        <f t="shared" ref="AD61:AI61" si="103">-IF(AD$47&lt;=$B$30,0,$B$29*(1+AD$49)*$B$28)*0</f>
        <v>0</v>
      </c>
      <c r="AE61" s="202">
        <f t="shared" si="103"/>
        <v>0</v>
      </c>
      <c r="AF61" s="202">
        <f t="shared" si="103"/>
        <v>0</v>
      </c>
      <c r="AG61" s="202">
        <f t="shared" si="103"/>
        <v>0</v>
      </c>
      <c r="AH61" s="202">
        <f t="shared" si="103"/>
        <v>0</v>
      </c>
      <c r="AI61" s="202">
        <f t="shared" si="103"/>
        <v>0</v>
      </c>
      <c r="AJ61" s="202">
        <f t="shared" si="99"/>
        <v>0</v>
      </c>
      <c r="AK61" s="202">
        <f t="shared" ref="AK61:AP61" si="104">-IF(AK$47&lt;=$B$30,0,$B$29*(1+AK$49)*$B$28)*0</f>
        <v>0</v>
      </c>
      <c r="AL61" s="202">
        <f t="shared" si="104"/>
        <v>0</v>
      </c>
      <c r="AM61" s="202">
        <f t="shared" si="104"/>
        <v>0</v>
      </c>
      <c r="AN61" s="202">
        <f t="shared" si="104"/>
        <v>0</v>
      </c>
      <c r="AO61" s="202">
        <f t="shared" si="104"/>
        <v>0</v>
      </c>
      <c r="AP61" s="202">
        <f t="shared" si="104"/>
        <v>0</v>
      </c>
    </row>
    <row r="62" spans="1:42" x14ac:dyDescent="0.2">
      <c r="A62" s="252"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2" x14ac:dyDescent="0.2">
      <c r="A63" s="252" t="s">
        <v>430</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2" x14ac:dyDescent="0.2">
      <c r="A64" s="252" t="s">
        <v>430</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52" t="s">
        <v>580</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206" t="s">
        <v>581</v>
      </c>
      <c r="B66" s="205">
        <f>B59+B60</f>
        <v>40687015.783333331</v>
      </c>
      <c r="C66" s="205">
        <f t="shared" ref="C66:AO66" si="105">C59+C60</f>
        <v>0</v>
      </c>
      <c r="D66" s="205">
        <f t="shared" si="105"/>
        <v>0</v>
      </c>
      <c r="E66" s="205">
        <f t="shared" si="105"/>
        <v>21182660.500836536</v>
      </c>
      <c r="F66" s="205">
        <f t="shared" si="105"/>
        <v>24051630.041717485</v>
      </c>
      <c r="G66" s="205">
        <f t="shared" si="105"/>
        <v>26477036.04463305</v>
      </c>
      <c r="H66" s="205">
        <f t="shared" si="105"/>
        <v>27689672.785928208</v>
      </c>
      <c r="I66" s="205">
        <f t="shared" si="105"/>
        <v>28957847.762842342</v>
      </c>
      <c r="J66" s="205">
        <f t="shared" si="105"/>
        <v>30284104.602424372</v>
      </c>
      <c r="K66" s="205">
        <f t="shared" si="105"/>
        <v>31671103.428736333</v>
      </c>
      <c r="L66" s="205">
        <f t="shared" si="105"/>
        <v>33121626.198365964</v>
      </c>
      <c r="M66" s="205">
        <f t="shared" si="105"/>
        <v>31671103.428736333</v>
      </c>
      <c r="N66" s="205">
        <f t="shared" si="105"/>
        <v>33121626.198365964</v>
      </c>
      <c r="O66" s="205">
        <f t="shared" si="105"/>
        <v>34638582.280303396</v>
      </c>
      <c r="P66" s="205">
        <f t="shared" si="105"/>
        <v>36225014.291373819</v>
      </c>
      <c r="Q66" s="205">
        <f t="shared" si="105"/>
        <v>37884104.198930383</v>
      </c>
      <c r="R66" s="205">
        <f t="shared" si="105"/>
        <v>39619179.703047819</v>
      </c>
      <c r="S66" s="205">
        <f t="shared" si="105"/>
        <v>41433720.911017723</v>
      </c>
      <c r="T66" s="205">
        <f t="shared" si="105"/>
        <v>43331367.31753286</v>
      </c>
      <c r="U66" s="205">
        <f t="shared" si="105"/>
        <v>45315925.104560822</v>
      </c>
      <c r="V66" s="205">
        <f t="shared" si="105"/>
        <v>47391374.775548786</v>
      </c>
      <c r="W66" s="205">
        <f t="shared" si="105"/>
        <v>49561879.139271483</v>
      </c>
      <c r="X66" s="205">
        <f t="shared" si="105"/>
        <v>51831791.659335941</v>
      </c>
      <c r="Y66" s="205">
        <f t="shared" si="105"/>
        <v>54205665.18608997</v>
      </c>
      <c r="Z66" s="205">
        <f t="shared" si="105"/>
        <v>56688261.088448174</v>
      </c>
      <c r="AA66" s="205">
        <f t="shared" si="105"/>
        <v>59284558.803951688</v>
      </c>
      <c r="AB66" s="205">
        <f t="shared" si="105"/>
        <v>61999765.826216467</v>
      </c>
      <c r="AC66" s="205">
        <f t="shared" si="105"/>
        <v>64839328.149802364</v>
      </c>
      <c r="AD66" s="205">
        <f t="shared" si="105"/>
        <v>67808941.193452761</v>
      </c>
      <c r="AE66" s="205">
        <f t="shared" si="105"/>
        <v>70914561.22361362</v>
      </c>
      <c r="AF66" s="205">
        <f t="shared" si="105"/>
        <v>74162417.301145002</v>
      </c>
      <c r="AG66" s="205">
        <f t="shared" si="105"/>
        <v>77559023.775186554</v>
      </c>
      <c r="AH66" s="205">
        <f t="shared" si="105"/>
        <v>81111193.349236757</v>
      </c>
      <c r="AI66" s="205">
        <f t="shared" si="105"/>
        <v>84826050.745652825</v>
      </c>
      <c r="AJ66" s="205">
        <f t="shared" si="105"/>
        <v>88711046.995978832</v>
      </c>
      <c r="AK66" s="205">
        <f t="shared" si="105"/>
        <v>92773974.385764614</v>
      </c>
      <c r="AL66" s="205">
        <f t="shared" si="105"/>
        <v>0</v>
      </c>
      <c r="AM66" s="205">
        <f t="shared" si="105"/>
        <v>0</v>
      </c>
      <c r="AN66" s="205">
        <f t="shared" si="105"/>
        <v>0</v>
      </c>
      <c r="AO66" s="205">
        <f t="shared" si="105"/>
        <v>0</v>
      </c>
      <c r="AP66" s="205">
        <f>AP59+AP60</f>
        <v>0</v>
      </c>
    </row>
    <row r="67" spans="1:45" x14ac:dyDescent="0.2">
      <c r="A67" s="252" t="s">
        <v>255</v>
      </c>
      <c r="C67" s="202">
        <v>0</v>
      </c>
      <c r="D67" s="202">
        <f>-($B$25)*$B$28/$B$27</f>
        <v>-6185727.5355313327</v>
      </c>
      <c r="E67" s="202">
        <f>D67</f>
        <v>-6185727.5355313327</v>
      </c>
      <c r="F67" s="202">
        <f t="shared" ref="F67:AP67" si="106">E67</f>
        <v>-6185727.5355313327</v>
      </c>
      <c r="G67" s="202">
        <f t="shared" si="106"/>
        <v>-6185727.5355313327</v>
      </c>
      <c r="H67" s="202">
        <f t="shared" si="106"/>
        <v>-6185727.5355313327</v>
      </c>
      <c r="I67" s="202">
        <f t="shared" si="106"/>
        <v>-6185727.5355313327</v>
      </c>
      <c r="J67" s="202">
        <f t="shared" si="106"/>
        <v>-6185727.5355313327</v>
      </c>
      <c r="K67" s="202">
        <f t="shared" si="106"/>
        <v>-6185727.5355313327</v>
      </c>
      <c r="L67" s="202">
        <f t="shared" si="106"/>
        <v>-6185727.5355313327</v>
      </c>
      <c r="M67" s="202">
        <f t="shared" si="106"/>
        <v>-6185727.5355313327</v>
      </c>
      <c r="N67" s="202">
        <f t="shared" si="106"/>
        <v>-6185727.5355313327</v>
      </c>
      <c r="O67" s="202">
        <f t="shared" si="106"/>
        <v>-6185727.5355313327</v>
      </c>
      <c r="P67" s="202">
        <f t="shared" si="106"/>
        <v>-6185727.5355313327</v>
      </c>
      <c r="Q67" s="202">
        <f t="shared" si="106"/>
        <v>-6185727.5355313327</v>
      </c>
      <c r="R67" s="202">
        <f t="shared" si="106"/>
        <v>-6185727.5355313327</v>
      </c>
      <c r="S67" s="202">
        <f t="shared" si="106"/>
        <v>-6185727.5355313327</v>
      </c>
      <c r="T67" s="202">
        <f t="shared" si="106"/>
        <v>-6185727.5355313327</v>
      </c>
      <c r="U67" s="202">
        <f t="shared" si="106"/>
        <v>-6185727.5355313327</v>
      </c>
      <c r="V67" s="202">
        <f t="shared" si="106"/>
        <v>-6185727.5355313327</v>
      </c>
      <c r="W67" s="202">
        <f t="shared" si="106"/>
        <v>-6185727.5355313327</v>
      </c>
      <c r="X67" s="202">
        <f t="shared" si="106"/>
        <v>-6185727.5355313327</v>
      </c>
      <c r="Y67" s="202">
        <f t="shared" si="106"/>
        <v>-6185727.5355313327</v>
      </c>
      <c r="Z67" s="202">
        <f t="shared" si="106"/>
        <v>-6185727.5355313327</v>
      </c>
      <c r="AA67" s="202">
        <f t="shared" si="106"/>
        <v>-6185727.5355313327</v>
      </c>
      <c r="AB67" s="202">
        <f t="shared" si="106"/>
        <v>-6185727.5355313327</v>
      </c>
      <c r="AC67" s="202">
        <f t="shared" si="106"/>
        <v>-6185727.5355313327</v>
      </c>
      <c r="AD67" s="202">
        <f t="shared" si="106"/>
        <v>-6185727.5355313327</v>
      </c>
      <c r="AE67" s="202">
        <f t="shared" si="106"/>
        <v>-6185727.5355313327</v>
      </c>
      <c r="AF67" s="202">
        <f t="shared" si="106"/>
        <v>-6185727.5355313327</v>
      </c>
      <c r="AG67" s="202">
        <f t="shared" si="106"/>
        <v>-6185727.5355313327</v>
      </c>
      <c r="AH67" s="202">
        <f t="shared" si="106"/>
        <v>-6185727.5355313327</v>
      </c>
      <c r="AI67" s="202">
        <f t="shared" si="106"/>
        <v>-6185727.5355313327</v>
      </c>
      <c r="AJ67" s="202">
        <f t="shared" si="106"/>
        <v>-6185727.5355313327</v>
      </c>
      <c r="AK67" s="202">
        <f t="shared" si="106"/>
        <v>-6185727.5355313327</v>
      </c>
      <c r="AL67" s="202">
        <f t="shared" si="106"/>
        <v>-6185727.5355313327</v>
      </c>
      <c r="AM67" s="202">
        <f t="shared" si="106"/>
        <v>-6185727.5355313327</v>
      </c>
      <c r="AN67" s="202">
        <f t="shared" si="106"/>
        <v>-6185727.5355313327</v>
      </c>
      <c r="AO67" s="202">
        <f t="shared" si="106"/>
        <v>-6185727.5355313327</v>
      </c>
      <c r="AP67" s="202">
        <f t="shared" si="106"/>
        <v>-6185727.5355313327</v>
      </c>
      <c r="AQ67" s="253">
        <f>SUM(B67:AA67)/1.18</f>
        <v>-125811407.50233218</v>
      </c>
      <c r="AR67" s="254">
        <f>SUM(B67:AF67)/1.18</f>
        <v>-152022117.39865142</v>
      </c>
      <c r="AS67" s="254"/>
    </row>
    <row r="68" spans="1:45" ht="28.5" x14ac:dyDescent="0.2">
      <c r="A68" s="206" t="s">
        <v>582</v>
      </c>
      <c r="B68" s="205">
        <f>B66+B67</f>
        <v>40687015.783333331</v>
      </c>
      <c r="C68" s="205">
        <f>C66+C67</f>
        <v>0</v>
      </c>
      <c r="D68" s="205">
        <f>D66+D67</f>
        <v>-6185727.5355313327</v>
      </c>
      <c r="E68" s="205">
        <f t="shared" ref="E68:J68" si="107">E66+E67</f>
        <v>14996932.965305204</v>
      </c>
      <c r="F68" s="205">
        <f>F66+C67</f>
        <v>24051630.041717485</v>
      </c>
      <c r="G68" s="205">
        <f t="shared" si="107"/>
        <v>20291308.509101719</v>
      </c>
      <c r="H68" s="205">
        <f t="shared" si="107"/>
        <v>21503945.250396878</v>
      </c>
      <c r="I68" s="205">
        <f t="shared" si="107"/>
        <v>22772120.227311008</v>
      </c>
      <c r="J68" s="205">
        <f t="shared" si="107"/>
        <v>24098377.066893041</v>
      </c>
      <c r="K68" s="205">
        <f>K66+K67</f>
        <v>25485375.893205002</v>
      </c>
      <c r="L68" s="205">
        <f>L66+L67</f>
        <v>26935898.662834629</v>
      </c>
      <c r="M68" s="205">
        <f t="shared" ref="M68:AO68" si="108">M66+M67</f>
        <v>25485375.893205002</v>
      </c>
      <c r="N68" s="205">
        <f t="shared" si="108"/>
        <v>26935898.662834629</v>
      </c>
      <c r="O68" s="205">
        <f t="shared" si="108"/>
        <v>28452854.744772062</v>
      </c>
      <c r="P68" s="205">
        <f t="shared" si="108"/>
        <v>30039286.755842485</v>
      </c>
      <c r="Q68" s="205">
        <f t="shared" si="108"/>
        <v>31698376.663399048</v>
      </c>
      <c r="R68" s="205">
        <f t="shared" si="108"/>
        <v>33433452.167516485</v>
      </c>
      <c r="S68" s="205">
        <f t="shared" si="108"/>
        <v>35247993.375486389</v>
      </c>
      <c r="T68" s="205">
        <f t="shared" si="108"/>
        <v>37145639.782001525</v>
      </c>
      <c r="U68" s="205">
        <f t="shared" si="108"/>
        <v>39130197.569029488</v>
      </c>
      <c r="V68" s="205">
        <f t="shared" si="108"/>
        <v>41205647.240017451</v>
      </c>
      <c r="W68" s="205">
        <f t="shared" si="108"/>
        <v>43376151.603740148</v>
      </c>
      <c r="X68" s="205">
        <f t="shared" si="108"/>
        <v>45646064.123804606</v>
      </c>
      <c r="Y68" s="205">
        <f t="shared" si="108"/>
        <v>48019937.650558636</v>
      </c>
      <c r="Z68" s="205">
        <f t="shared" si="108"/>
        <v>50502533.55291684</v>
      </c>
      <c r="AA68" s="205">
        <f t="shared" si="108"/>
        <v>53098831.268420354</v>
      </c>
      <c r="AB68" s="205">
        <f t="shared" si="108"/>
        <v>55814038.290685132</v>
      </c>
      <c r="AC68" s="205">
        <f t="shared" si="108"/>
        <v>58653600.61427103</v>
      </c>
      <c r="AD68" s="205">
        <f t="shared" si="108"/>
        <v>61623213.657921426</v>
      </c>
      <c r="AE68" s="205">
        <f t="shared" si="108"/>
        <v>64728833.688082285</v>
      </c>
      <c r="AF68" s="205">
        <f t="shared" si="108"/>
        <v>67976689.765613675</v>
      </c>
      <c r="AG68" s="205">
        <f t="shared" si="108"/>
        <v>71373296.239655226</v>
      </c>
      <c r="AH68" s="205">
        <f t="shared" si="108"/>
        <v>74925465.813705429</v>
      </c>
      <c r="AI68" s="205">
        <f t="shared" si="108"/>
        <v>78640323.210121498</v>
      </c>
      <c r="AJ68" s="205">
        <f t="shared" si="108"/>
        <v>82525319.460447505</v>
      </c>
      <c r="AK68" s="205">
        <f t="shared" si="108"/>
        <v>86588246.850233287</v>
      </c>
      <c r="AL68" s="205">
        <f t="shared" si="108"/>
        <v>-6185727.5355313327</v>
      </c>
      <c r="AM68" s="205">
        <f t="shared" si="108"/>
        <v>-6185727.5355313327</v>
      </c>
      <c r="AN68" s="205">
        <f t="shared" si="108"/>
        <v>-6185727.5355313327</v>
      </c>
      <c r="AO68" s="205">
        <f t="shared" si="108"/>
        <v>-6185727.5355313327</v>
      </c>
      <c r="AP68" s="205">
        <f>AP66+AP67</f>
        <v>-6185727.5355313327</v>
      </c>
      <c r="AQ68" s="221">
        <v>25</v>
      </c>
      <c r="AR68" s="221">
        <v>30</v>
      </c>
    </row>
    <row r="69" spans="1:45" x14ac:dyDescent="0.2">
      <c r="A69" s="252" t="s">
        <v>254</v>
      </c>
      <c r="B69" s="202">
        <f t="shared" ref="B69:AO69" si="109">-B56</f>
        <v>0</v>
      </c>
      <c r="C69" s="202">
        <f t="shared" si="109"/>
        <v>0</v>
      </c>
      <c r="D69" s="202">
        <f t="shared" si="109"/>
        <v>0</v>
      </c>
      <c r="E69" s="202">
        <f t="shared" si="109"/>
        <v>0</v>
      </c>
      <c r="F69" s="202">
        <f t="shared" si="109"/>
        <v>0</v>
      </c>
      <c r="G69" s="202">
        <f t="shared" si="109"/>
        <v>0</v>
      </c>
      <c r="H69" s="202">
        <f t="shared" si="109"/>
        <v>0</v>
      </c>
      <c r="I69" s="202">
        <f t="shared" si="109"/>
        <v>0</v>
      </c>
      <c r="J69" s="202">
        <f t="shared" si="109"/>
        <v>0</v>
      </c>
      <c r="K69" s="202">
        <f t="shared" si="109"/>
        <v>0</v>
      </c>
      <c r="L69" s="202">
        <f t="shared" si="109"/>
        <v>0</v>
      </c>
      <c r="M69" s="202">
        <f t="shared" si="109"/>
        <v>0</v>
      </c>
      <c r="N69" s="202">
        <f t="shared" si="109"/>
        <v>0</v>
      </c>
      <c r="O69" s="202">
        <f t="shared" si="109"/>
        <v>0</v>
      </c>
      <c r="P69" s="202">
        <f t="shared" si="109"/>
        <v>0</v>
      </c>
      <c r="Q69" s="202">
        <f t="shared" si="109"/>
        <v>0</v>
      </c>
      <c r="R69" s="202">
        <f t="shared" si="109"/>
        <v>0</v>
      </c>
      <c r="S69" s="202">
        <f t="shared" si="109"/>
        <v>0</v>
      </c>
      <c r="T69" s="202">
        <f t="shared" si="109"/>
        <v>0</v>
      </c>
      <c r="U69" s="202">
        <f t="shared" si="109"/>
        <v>0</v>
      </c>
      <c r="V69" s="202">
        <f t="shared" si="109"/>
        <v>0</v>
      </c>
      <c r="W69" s="202">
        <f t="shared" si="109"/>
        <v>0</v>
      </c>
      <c r="X69" s="202">
        <f t="shared" si="109"/>
        <v>0</v>
      </c>
      <c r="Y69" s="202">
        <f t="shared" si="109"/>
        <v>0</v>
      </c>
      <c r="Z69" s="202">
        <f t="shared" si="109"/>
        <v>0</v>
      </c>
      <c r="AA69" s="202">
        <f t="shared" si="109"/>
        <v>0</v>
      </c>
      <c r="AB69" s="202">
        <f t="shared" si="109"/>
        <v>0</v>
      </c>
      <c r="AC69" s="202">
        <f t="shared" si="109"/>
        <v>0</v>
      </c>
      <c r="AD69" s="202">
        <f t="shared" si="109"/>
        <v>0</v>
      </c>
      <c r="AE69" s="202">
        <f t="shared" si="109"/>
        <v>0</v>
      </c>
      <c r="AF69" s="202">
        <f t="shared" si="109"/>
        <v>0</v>
      </c>
      <c r="AG69" s="202">
        <f t="shared" si="109"/>
        <v>0</v>
      </c>
      <c r="AH69" s="202">
        <f t="shared" si="109"/>
        <v>0</v>
      </c>
      <c r="AI69" s="202">
        <f t="shared" si="109"/>
        <v>0</v>
      </c>
      <c r="AJ69" s="202">
        <f t="shared" si="109"/>
        <v>0</v>
      </c>
      <c r="AK69" s="202">
        <f t="shared" si="109"/>
        <v>0</v>
      </c>
      <c r="AL69" s="202">
        <f t="shared" si="109"/>
        <v>0</v>
      </c>
      <c r="AM69" s="202">
        <f t="shared" si="109"/>
        <v>0</v>
      </c>
      <c r="AN69" s="202">
        <f t="shared" si="109"/>
        <v>0</v>
      </c>
      <c r="AO69" s="202">
        <f t="shared" si="109"/>
        <v>0</v>
      </c>
      <c r="AP69" s="202">
        <f>-AP56</f>
        <v>0</v>
      </c>
    </row>
    <row r="70" spans="1:45" ht="14.25" x14ac:dyDescent="0.2">
      <c r="A70" s="206" t="s">
        <v>258</v>
      </c>
      <c r="B70" s="205">
        <f t="shared" ref="B70:AO70" si="110">B68+B69</f>
        <v>40687015.783333331</v>
      </c>
      <c r="C70" s="205">
        <f t="shared" si="110"/>
        <v>0</v>
      </c>
      <c r="D70" s="205">
        <f t="shared" si="110"/>
        <v>-6185727.5355313327</v>
      </c>
      <c r="E70" s="205">
        <f t="shared" si="110"/>
        <v>14996932.965305204</v>
      </c>
      <c r="F70" s="205">
        <f t="shared" si="110"/>
        <v>24051630.041717485</v>
      </c>
      <c r="G70" s="205">
        <f t="shared" si="110"/>
        <v>20291308.509101719</v>
      </c>
      <c r="H70" s="205">
        <f t="shared" si="110"/>
        <v>21503945.250396878</v>
      </c>
      <c r="I70" s="205">
        <f t="shared" si="110"/>
        <v>22772120.227311008</v>
      </c>
      <c r="J70" s="205">
        <f t="shared" si="110"/>
        <v>24098377.066893041</v>
      </c>
      <c r="K70" s="205">
        <f t="shared" si="110"/>
        <v>25485375.893205002</v>
      </c>
      <c r="L70" s="205">
        <f t="shared" si="110"/>
        <v>26935898.662834629</v>
      </c>
      <c r="M70" s="205">
        <f t="shared" si="110"/>
        <v>25485375.893205002</v>
      </c>
      <c r="N70" s="205">
        <f t="shared" si="110"/>
        <v>26935898.662834629</v>
      </c>
      <c r="O70" s="205">
        <f t="shared" si="110"/>
        <v>28452854.744772062</v>
      </c>
      <c r="P70" s="205">
        <f t="shared" si="110"/>
        <v>30039286.755842485</v>
      </c>
      <c r="Q70" s="205">
        <f t="shared" si="110"/>
        <v>31698376.663399048</v>
      </c>
      <c r="R70" s="205">
        <f t="shared" si="110"/>
        <v>33433452.167516485</v>
      </c>
      <c r="S70" s="205">
        <f t="shared" si="110"/>
        <v>35247993.375486389</v>
      </c>
      <c r="T70" s="205">
        <f t="shared" si="110"/>
        <v>37145639.782001525</v>
      </c>
      <c r="U70" s="205">
        <f t="shared" si="110"/>
        <v>39130197.569029488</v>
      </c>
      <c r="V70" s="205">
        <f t="shared" si="110"/>
        <v>41205647.240017451</v>
      </c>
      <c r="W70" s="205">
        <f t="shared" si="110"/>
        <v>43376151.603740148</v>
      </c>
      <c r="X70" s="205">
        <f t="shared" si="110"/>
        <v>45646064.123804606</v>
      </c>
      <c r="Y70" s="205">
        <f t="shared" si="110"/>
        <v>48019937.650558636</v>
      </c>
      <c r="Z70" s="205">
        <f t="shared" si="110"/>
        <v>50502533.55291684</v>
      </c>
      <c r="AA70" s="205">
        <f t="shared" si="110"/>
        <v>53098831.268420354</v>
      </c>
      <c r="AB70" s="205">
        <f t="shared" si="110"/>
        <v>55814038.290685132</v>
      </c>
      <c r="AC70" s="205">
        <f t="shared" si="110"/>
        <v>58653600.61427103</v>
      </c>
      <c r="AD70" s="205">
        <f t="shared" si="110"/>
        <v>61623213.657921426</v>
      </c>
      <c r="AE70" s="205">
        <f t="shared" si="110"/>
        <v>64728833.688082285</v>
      </c>
      <c r="AF70" s="205">
        <f t="shared" si="110"/>
        <v>67976689.765613675</v>
      </c>
      <c r="AG70" s="205">
        <f t="shared" si="110"/>
        <v>71373296.239655226</v>
      </c>
      <c r="AH70" s="205">
        <f t="shared" si="110"/>
        <v>74925465.813705429</v>
      </c>
      <c r="AI70" s="205">
        <f t="shared" si="110"/>
        <v>78640323.210121498</v>
      </c>
      <c r="AJ70" s="205">
        <f t="shared" si="110"/>
        <v>82525319.460447505</v>
      </c>
      <c r="AK70" s="205">
        <f t="shared" si="110"/>
        <v>86588246.850233287</v>
      </c>
      <c r="AL70" s="205">
        <f t="shared" si="110"/>
        <v>-6185727.5355313327</v>
      </c>
      <c r="AM70" s="205">
        <f t="shared" si="110"/>
        <v>-6185727.5355313327</v>
      </c>
      <c r="AN70" s="205">
        <f t="shared" si="110"/>
        <v>-6185727.5355313327</v>
      </c>
      <c r="AO70" s="205">
        <f t="shared" si="110"/>
        <v>-6185727.5355313327</v>
      </c>
      <c r="AP70" s="205">
        <f>AP68+AP69</f>
        <v>-6185727.5355313327</v>
      </c>
    </row>
    <row r="71" spans="1:45" x14ac:dyDescent="0.2">
      <c r="A71" s="252" t="s">
        <v>253</v>
      </c>
      <c r="B71" s="202">
        <f>-B70*$B$36*0</f>
        <v>0</v>
      </c>
      <c r="C71" s="202">
        <f>-C70*$B$36*0</f>
        <v>0</v>
      </c>
      <c r="D71" s="202">
        <f t="shared" ref="D71:AP71" si="111">-D70*$B$36</f>
        <v>1237145.5071062667</v>
      </c>
      <c r="E71" s="202">
        <f t="shared" si="111"/>
        <v>-2999386.5930610411</v>
      </c>
      <c r="F71" s="202">
        <f t="shared" si="111"/>
        <v>-4810326.0083434973</v>
      </c>
      <c r="G71" s="202">
        <f t="shared" si="111"/>
        <v>-4058261.7018203437</v>
      </c>
      <c r="H71" s="202">
        <f t="shared" si="111"/>
        <v>-4300789.0500793755</v>
      </c>
      <c r="I71" s="202">
        <f t="shared" si="111"/>
        <v>-4554424.0454622013</v>
      </c>
      <c r="J71" s="202">
        <f t="shared" si="111"/>
        <v>-4819675.4133786084</v>
      </c>
      <c r="K71" s="202">
        <f t="shared" si="111"/>
        <v>-5097075.1786410008</v>
      </c>
      <c r="L71" s="202">
        <f t="shared" si="111"/>
        <v>-5387179.7325669266</v>
      </c>
      <c r="M71" s="202">
        <f t="shared" si="111"/>
        <v>-5097075.1786410008</v>
      </c>
      <c r="N71" s="202">
        <f t="shared" si="111"/>
        <v>-5387179.7325669266</v>
      </c>
      <c r="O71" s="202">
        <f t="shared" si="111"/>
        <v>-5690570.9489544127</v>
      </c>
      <c r="P71" s="202">
        <f t="shared" si="111"/>
        <v>-6007857.3511684975</v>
      </c>
      <c r="Q71" s="202">
        <f t="shared" si="111"/>
        <v>-6339675.33267981</v>
      </c>
      <c r="R71" s="202">
        <f t="shared" si="111"/>
        <v>-6686690.4335032972</v>
      </c>
      <c r="S71" s="202">
        <f t="shared" si="111"/>
        <v>-7049598.6750972783</v>
      </c>
      <c r="T71" s="202">
        <f t="shared" si="111"/>
        <v>-7429127.956400305</v>
      </c>
      <c r="U71" s="202">
        <f t="shared" si="111"/>
        <v>-7826039.5138058979</v>
      </c>
      <c r="V71" s="202">
        <f t="shared" si="111"/>
        <v>-8241129.4480034905</v>
      </c>
      <c r="W71" s="202">
        <f t="shared" si="111"/>
        <v>-8675230.3207480293</v>
      </c>
      <c r="X71" s="202">
        <f t="shared" si="111"/>
        <v>-9129212.8247609213</v>
      </c>
      <c r="Y71" s="202">
        <f t="shared" si="111"/>
        <v>-9603987.5301117282</v>
      </c>
      <c r="Z71" s="202">
        <f t="shared" si="111"/>
        <v>-10100506.710583368</v>
      </c>
      <c r="AA71" s="202">
        <f t="shared" si="111"/>
        <v>-10619766.253684072</v>
      </c>
      <c r="AB71" s="202">
        <f t="shared" si="111"/>
        <v>-11162807.658137027</v>
      </c>
      <c r="AC71" s="202">
        <f t="shared" si="111"/>
        <v>-11730720.122854207</v>
      </c>
      <c r="AD71" s="202">
        <f t="shared" si="111"/>
        <v>-12324642.731584286</v>
      </c>
      <c r="AE71" s="202">
        <f t="shared" si="111"/>
        <v>-12945766.737616457</v>
      </c>
      <c r="AF71" s="202">
        <f t="shared" si="111"/>
        <v>-13595337.953122735</v>
      </c>
      <c r="AG71" s="202">
        <f t="shared" si="111"/>
        <v>-14274659.247931046</v>
      </c>
      <c r="AH71" s="202">
        <f t="shared" si="111"/>
        <v>-14985093.162741087</v>
      </c>
      <c r="AI71" s="202">
        <f t="shared" si="111"/>
        <v>-15728064.642024301</v>
      </c>
      <c r="AJ71" s="202">
        <f t="shared" si="111"/>
        <v>-16505063.892089501</v>
      </c>
      <c r="AK71" s="202">
        <f t="shared" si="111"/>
        <v>-17317649.370046657</v>
      </c>
      <c r="AL71" s="202">
        <f t="shared" si="111"/>
        <v>1237145.5071062667</v>
      </c>
      <c r="AM71" s="202">
        <f t="shared" si="111"/>
        <v>1237145.5071062667</v>
      </c>
      <c r="AN71" s="202">
        <f t="shared" si="111"/>
        <v>1237145.5071062667</v>
      </c>
      <c r="AO71" s="202">
        <f t="shared" si="111"/>
        <v>1237145.5071062667</v>
      </c>
      <c r="AP71" s="202">
        <f t="shared" si="111"/>
        <v>1237145.5071062667</v>
      </c>
    </row>
    <row r="72" spans="1:45" ht="15" thickBot="1" x14ac:dyDescent="0.25">
      <c r="A72" s="207" t="s">
        <v>257</v>
      </c>
      <c r="B72" s="208">
        <f t="shared" ref="B72:AO72" si="112">B70+B71</f>
        <v>40687015.783333331</v>
      </c>
      <c r="C72" s="208">
        <f t="shared" si="112"/>
        <v>0</v>
      </c>
      <c r="D72" s="208">
        <f t="shared" si="112"/>
        <v>-4948582.0284250658</v>
      </c>
      <c r="E72" s="208">
        <f t="shared" si="112"/>
        <v>11997546.372244162</v>
      </c>
      <c r="F72" s="208">
        <f t="shared" si="112"/>
        <v>19241304.033373989</v>
      </c>
      <c r="G72" s="208">
        <f t="shared" si="112"/>
        <v>16233046.807281375</v>
      </c>
      <c r="H72" s="208">
        <f t="shared" si="112"/>
        <v>17203156.200317502</v>
      </c>
      <c r="I72" s="208">
        <f t="shared" si="112"/>
        <v>18217696.181848805</v>
      </c>
      <c r="J72" s="208">
        <f t="shared" si="112"/>
        <v>19278701.653514434</v>
      </c>
      <c r="K72" s="208">
        <f t="shared" si="112"/>
        <v>20388300.714564003</v>
      </c>
      <c r="L72" s="208">
        <f t="shared" si="112"/>
        <v>21548718.930267703</v>
      </c>
      <c r="M72" s="208">
        <f t="shared" si="112"/>
        <v>20388300.714564003</v>
      </c>
      <c r="N72" s="208">
        <f t="shared" si="112"/>
        <v>21548718.930267703</v>
      </c>
      <c r="O72" s="208">
        <f t="shared" si="112"/>
        <v>22762283.795817651</v>
      </c>
      <c r="P72" s="208">
        <f t="shared" si="112"/>
        <v>24031429.404673986</v>
      </c>
      <c r="Q72" s="208">
        <f t="shared" si="112"/>
        <v>25358701.33071924</v>
      </c>
      <c r="R72" s="208">
        <f t="shared" si="112"/>
        <v>26746761.734013189</v>
      </c>
      <c r="S72" s="208">
        <f t="shared" si="112"/>
        <v>28198394.70038911</v>
      </c>
      <c r="T72" s="208">
        <f t="shared" si="112"/>
        <v>29716511.82560122</v>
      </c>
      <c r="U72" s="208">
        <f t="shared" si="112"/>
        <v>31304158.055223592</v>
      </c>
      <c r="V72" s="208">
        <f t="shared" si="112"/>
        <v>32964517.792013962</v>
      </c>
      <c r="W72" s="208">
        <f t="shared" si="112"/>
        <v>34700921.282992117</v>
      </c>
      <c r="X72" s="208">
        <f t="shared" si="112"/>
        <v>36516851.299043685</v>
      </c>
      <c r="Y72" s="208">
        <f t="shared" si="112"/>
        <v>38415950.120446905</v>
      </c>
      <c r="Z72" s="208">
        <f t="shared" si="112"/>
        <v>40402026.842333473</v>
      </c>
      <c r="AA72" s="208">
        <f t="shared" si="112"/>
        <v>42479065.01473628</v>
      </c>
      <c r="AB72" s="208">
        <f t="shared" si="112"/>
        <v>44651230.632548109</v>
      </c>
      <c r="AC72" s="208">
        <f t="shared" si="112"/>
        <v>46922880.491416827</v>
      </c>
      <c r="AD72" s="208">
        <f t="shared" si="112"/>
        <v>49298570.926337138</v>
      </c>
      <c r="AE72" s="208">
        <f t="shared" si="112"/>
        <v>51783066.950465828</v>
      </c>
      <c r="AF72" s="208">
        <f t="shared" si="112"/>
        <v>54381351.81249094</v>
      </c>
      <c r="AG72" s="208">
        <f t="shared" si="112"/>
        <v>57098636.991724178</v>
      </c>
      <c r="AH72" s="208">
        <f t="shared" si="112"/>
        <v>59940372.650964342</v>
      </c>
      <c r="AI72" s="208">
        <f t="shared" si="112"/>
        <v>62912258.568097197</v>
      </c>
      <c r="AJ72" s="208">
        <f t="shared" si="112"/>
        <v>66020255.568358004</v>
      </c>
      <c r="AK72" s="208">
        <f t="shared" si="112"/>
        <v>69270597.480186626</v>
      </c>
      <c r="AL72" s="208">
        <f t="shared" si="112"/>
        <v>-4948582.0284250658</v>
      </c>
      <c r="AM72" s="208">
        <f t="shared" si="112"/>
        <v>-4948582.0284250658</v>
      </c>
      <c r="AN72" s="208">
        <f t="shared" si="112"/>
        <v>-4948582.0284250658</v>
      </c>
      <c r="AO72" s="208">
        <f t="shared" si="112"/>
        <v>-4948582.0284250658</v>
      </c>
      <c r="AP72" s="208">
        <f>AP70+AP71</f>
        <v>-4948582.0284250658</v>
      </c>
    </row>
    <row r="73" spans="1:45" ht="16.5" thickBot="1" x14ac:dyDescent="0.25">
      <c r="B73" s="328">
        <f>H141</f>
        <v>0.5</v>
      </c>
      <c r="C73" s="328">
        <f t="shared" ref="C73:K73" si="113">I141</f>
        <v>1.5</v>
      </c>
      <c r="D73" s="328">
        <f t="shared" si="113"/>
        <v>2.5</v>
      </c>
      <c r="E73" s="328">
        <f t="shared" si="113"/>
        <v>3.5</v>
      </c>
      <c r="F73" s="328">
        <f t="shared" si="113"/>
        <v>4.5</v>
      </c>
      <c r="G73" s="328">
        <f t="shared" si="113"/>
        <v>5.5</v>
      </c>
      <c r="H73" s="328">
        <f t="shared" si="113"/>
        <v>6.5</v>
      </c>
      <c r="I73" s="328">
        <f t="shared" si="113"/>
        <v>7.5</v>
      </c>
      <c r="J73" s="328">
        <f t="shared" si="113"/>
        <v>8.5</v>
      </c>
      <c r="K73" s="328">
        <f t="shared" si="113"/>
        <v>9.5</v>
      </c>
      <c r="L73" s="328">
        <f t="shared" ref="L73" si="114">R141</f>
        <v>10.5</v>
      </c>
      <c r="M73" s="328">
        <f t="shared" ref="M73" si="115">S141</f>
        <v>11.5</v>
      </c>
      <c r="N73" s="328">
        <f t="shared" ref="N73" si="116">T141</f>
        <v>12.5</v>
      </c>
      <c r="O73" s="328">
        <f t="shared" ref="O73" si="117">U141</f>
        <v>13.5</v>
      </c>
      <c r="P73" s="328">
        <f t="shared" ref="P73" si="118">V141</f>
        <v>14.5</v>
      </c>
      <c r="Q73" s="328">
        <f t="shared" ref="Q73" si="119">W141</f>
        <v>15.5</v>
      </c>
      <c r="R73" s="328">
        <f t="shared" ref="R73" si="120">X141</f>
        <v>16.5</v>
      </c>
      <c r="S73" s="328">
        <f t="shared" ref="S73" si="121">Y141</f>
        <v>17.5</v>
      </c>
      <c r="T73" s="328">
        <f t="shared" ref="T73" si="122">Z141</f>
        <v>18.5</v>
      </c>
      <c r="U73" s="328">
        <f t="shared" ref="U73" si="123">AA141</f>
        <v>19.5</v>
      </c>
      <c r="V73" s="328">
        <f t="shared" ref="V73" si="124">AB141</f>
        <v>20.5</v>
      </c>
      <c r="W73" s="328">
        <f t="shared" ref="W73" si="125">AC141</f>
        <v>21.5</v>
      </c>
      <c r="X73" s="328">
        <f t="shared" ref="X73" si="126">AD141</f>
        <v>22.5</v>
      </c>
      <c r="Y73" s="328">
        <f t="shared" ref="Y73" si="127">AE141</f>
        <v>23.5</v>
      </c>
      <c r="Z73" s="328">
        <f t="shared" ref="Z73" si="128">AF141</f>
        <v>24.5</v>
      </c>
      <c r="AA73" s="328">
        <f t="shared" ref="AA73" si="129">AG141</f>
        <v>25.5</v>
      </c>
      <c r="AB73" s="328">
        <f t="shared" ref="AB73" si="130">AH141</f>
        <v>26.5</v>
      </c>
      <c r="AC73" s="328">
        <f t="shared" ref="AC73" si="131">AI141</f>
        <v>27.5</v>
      </c>
      <c r="AD73" s="328">
        <f t="shared" ref="AD73" si="132">AJ141</f>
        <v>28.5</v>
      </c>
      <c r="AE73" s="328">
        <f t="shared" ref="AE73" si="133">AK141</f>
        <v>29.5</v>
      </c>
      <c r="AF73" s="328">
        <f t="shared" ref="AF73" si="134">AL141</f>
        <v>30.5</v>
      </c>
      <c r="AG73" s="328">
        <f t="shared" ref="AG73" si="135">AM141</f>
        <v>31.5</v>
      </c>
      <c r="AH73" s="328">
        <f t="shared" ref="AH73" si="136">AN141</f>
        <v>32.5</v>
      </c>
      <c r="AI73" s="328">
        <f t="shared" ref="AI73" si="137">AO141</f>
        <v>33.5</v>
      </c>
      <c r="AJ73" s="328">
        <f t="shared" ref="AJ73" si="138">AP141</f>
        <v>34.5</v>
      </c>
      <c r="AK73" s="328">
        <f t="shared" ref="AK73" si="139">AQ141</f>
        <v>35.5</v>
      </c>
      <c r="AL73" s="328">
        <f t="shared" ref="AL73" si="140">AR141</f>
        <v>36.5</v>
      </c>
      <c r="AM73" s="328">
        <f t="shared" ref="AM73" si="141">AS141</f>
        <v>0</v>
      </c>
      <c r="AN73" s="328">
        <f t="shared" ref="AN73" si="142">AT141</f>
        <v>1</v>
      </c>
      <c r="AO73" s="328">
        <f t="shared" ref="AO73" si="143">AU141</f>
        <v>1.5</v>
      </c>
      <c r="AP73" s="328">
        <f t="shared" ref="AP73" si="144">AV141</f>
        <v>2.5</v>
      </c>
    </row>
    <row r="74" spans="1:45" x14ac:dyDescent="0.2">
      <c r="A74" s="201" t="s">
        <v>256</v>
      </c>
      <c r="B74" s="246">
        <f t="shared" ref="B74:AO74" si="145">B58</f>
        <v>1</v>
      </c>
      <c r="C74" s="246">
        <f t="shared" si="145"/>
        <v>2</v>
      </c>
      <c r="D74" s="246">
        <f t="shared" si="145"/>
        <v>3</v>
      </c>
      <c r="E74" s="246">
        <f t="shared" si="145"/>
        <v>4</v>
      </c>
      <c r="F74" s="246">
        <f t="shared" si="145"/>
        <v>5</v>
      </c>
      <c r="G74" s="246">
        <f t="shared" si="145"/>
        <v>6</v>
      </c>
      <c r="H74" s="246">
        <f t="shared" si="145"/>
        <v>7</v>
      </c>
      <c r="I74" s="246">
        <f t="shared" si="145"/>
        <v>8</v>
      </c>
      <c r="J74" s="246">
        <f t="shared" si="145"/>
        <v>9</v>
      </c>
      <c r="K74" s="246">
        <f t="shared" si="145"/>
        <v>10</v>
      </c>
      <c r="L74" s="246">
        <f t="shared" si="145"/>
        <v>11</v>
      </c>
      <c r="M74" s="246">
        <f t="shared" si="145"/>
        <v>12</v>
      </c>
      <c r="N74" s="246">
        <f t="shared" si="145"/>
        <v>13</v>
      </c>
      <c r="O74" s="246">
        <f t="shared" si="145"/>
        <v>14</v>
      </c>
      <c r="P74" s="246">
        <f t="shared" si="145"/>
        <v>15</v>
      </c>
      <c r="Q74" s="246">
        <f t="shared" si="145"/>
        <v>16</v>
      </c>
      <c r="R74" s="246">
        <f t="shared" si="145"/>
        <v>17</v>
      </c>
      <c r="S74" s="246">
        <f t="shared" si="145"/>
        <v>18</v>
      </c>
      <c r="T74" s="246">
        <f t="shared" si="145"/>
        <v>19</v>
      </c>
      <c r="U74" s="246">
        <f t="shared" si="145"/>
        <v>20</v>
      </c>
      <c r="V74" s="246">
        <f t="shared" si="145"/>
        <v>21</v>
      </c>
      <c r="W74" s="246">
        <f t="shared" si="145"/>
        <v>22</v>
      </c>
      <c r="X74" s="246">
        <f t="shared" si="145"/>
        <v>23</v>
      </c>
      <c r="Y74" s="246">
        <f t="shared" si="145"/>
        <v>24</v>
      </c>
      <c r="Z74" s="246">
        <f t="shared" si="145"/>
        <v>25</v>
      </c>
      <c r="AA74" s="246">
        <f t="shared" si="145"/>
        <v>26</v>
      </c>
      <c r="AB74" s="246">
        <f t="shared" si="145"/>
        <v>27</v>
      </c>
      <c r="AC74" s="246">
        <f t="shared" si="145"/>
        <v>28</v>
      </c>
      <c r="AD74" s="246">
        <f t="shared" si="145"/>
        <v>29</v>
      </c>
      <c r="AE74" s="246">
        <f t="shared" si="145"/>
        <v>30</v>
      </c>
      <c r="AF74" s="246">
        <f t="shared" si="145"/>
        <v>31</v>
      </c>
      <c r="AG74" s="246">
        <f t="shared" si="145"/>
        <v>32</v>
      </c>
      <c r="AH74" s="246">
        <f t="shared" si="145"/>
        <v>33</v>
      </c>
      <c r="AI74" s="246">
        <f t="shared" si="145"/>
        <v>34</v>
      </c>
      <c r="AJ74" s="246">
        <f t="shared" si="145"/>
        <v>35</v>
      </c>
      <c r="AK74" s="246">
        <f t="shared" si="145"/>
        <v>36</v>
      </c>
      <c r="AL74" s="246">
        <f t="shared" si="145"/>
        <v>37</v>
      </c>
      <c r="AM74" s="246">
        <f t="shared" si="145"/>
        <v>38</v>
      </c>
      <c r="AN74" s="246">
        <f t="shared" si="145"/>
        <v>39</v>
      </c>
      <c r="AO74" s="246">
        <f t="shared" si="145"/>
        <v>40</v>
      </c>
      <c r="AP74" s="246">
        <f>AP58</f>
        <v>41</v>
      </c>
    </row>
    <row r="75" spans="1:45" ht="28.5" x14ac:dyDescent="0.2">
      <c r="A75" s="204" t="s">
        <v>582</v>
      </c>
      <c r="B75" s="205">
        <f>B68</f>
        <v>40687015.783333331</v>
      </c>
      <c r="C75" s="205">
        <f>C68</f>
        <v>0</v>
      </c>
      <c r="D75" s="205">
        <f>D68</f>
        <v>-6185727.5355313327</v>
      </c>
      <c r="E75" s="205">
        <f t="shared" ref="E75:AO75" si="146">E68</f>
        <v>14996932.965305204</v>
      </c>
      <c r="F75" s="205">
        <f t="shared" si="146"/>
        <v>24051630.041717485</v>
      </c>
      <c r="G75" s="205">
        <f t="shared" si="146"/>
        <v>20291308.509101719</v>
      </c>
      <c r="H75" s="205">
        <f t="shared" si="146"/>
        <v>21503945.250396878</v>
      </c>
      <c r="I75" s="205">
        <f t="shared" si="146"/>
        <v>22772120.227311008</v>
      </c>
      <c r="J75" s="205">
        <f t="shared" si="146"/>
        <v>24098377.066893041</v>
      </c>
      <c r="K75" s="205">
        <f t="shared" si="146"/>
        <v>25485375.893205002</v>
      </c>
      <c r="L75" s="205">
        <f t="shared" si="146"/>
        <v>26935898.662834629</v>
      </c>
      <c r="M75" s="205">
        <f t="shared" si="146"/>
        <v>25485375.893205002</v>
      </c>
      <c r="N75" s="205">
        <f t="shared" si="146"/>
        <v>26935898.662834629</v>
      </c>
      <c r="O75" s="205">
        <f t="shared" si="146"/>
        <v>28452854.744772062</v>
      </c>
      <c r="P75" s="205">
        <f t="shared" si="146"/>
        <v>30039286.755842485</v>
      </c>
      <c r="Q75" s="205">
        <f t="shared" si="146"/>
        <v>31698376.663399048</v>
      </c>
      <c r="R75" s="205">
        <f t="shared" si="146"/>
        <v>33433452.167516485</v>
      </c>
      <c r="S75" s="205">
        <f t="shared" si="146"/>
        <v>35247993.375486389</v>
      </c>
      <c r="T75" s="205">
        <f t="shared" si="146"/>
        <v>37145639.782001525</v>
      </c>
      <c r="U75" s="205">
        <f t="shared" si="146"/>
        <v>39130197.569029488</v>
      </c>
      <c r="V75" s="205">
        <f t="shared" si="146"/>
        <v>41205647.240017451</v>
      </c>
      <c r="W75" s="205">
        <f t="shared" si="146"/>
        <v>43376151.603740148</v>
      </c>
      <c r="X75" s="205">
        <f t="shared" si="146"/>
        <v>45646064.123804606</v>
      </c>
      <c r="Y75" s="205">
        <f t="shared" si="146"/>
        <v>48019937.650558636</v>
      </c>
      <c r="Z75" s="205">
        <f t="shared" si="146"/>
        <v>50502533.55291684</v>
      </c>
      <c r="AA75" s="205">
        <f t="shared" si="146"/>
        <v>53098831.268420354</v>
      </c>
      <c r="AB75" s="205">
        <f t="shared" si="146"/>
        <v>55814038.290685132</v>
      </c>
      <c r="AC75" s="205">
        <f t="shared" si="146"/>
        <v>58653600.61427103</v>
      </c>
      <c r="AD75" s="205">
        <f t="shared" si="146"/>
        <v>61623213.657921426</v>
      </c>
      <c r="AE75" s="205">
        <f t="shared" si="146"/>
        <v>64728833.688082285</v>
      </c>
      <c r="AF75" s="205">
        <f t="shared" si="146"/>
        <v>67976689.765613675</v>
      </c>
      <c r="AG75" s="205">
        <f t="shared" si="146"/>
        <v>71373296.239655226</v>
      </c>
      <c r="AH75" s="205">
        <f t="shared" si="146"/>
        <v>74925465.813705429</v>
      </c>
      <c r="AI75" s="205">
        <f t="shared" si="146"/>
        <v>78640323.210121498</v>
      </c>
      <c r="AJ75" s="205">
        <f t="shared" si="146"/>
        <v>82525319.460447505</v>
      </c>
      <c r="AK75" s="205">
        <f t="shared" si="146"/>
        <v>86588246.850233287</v>
      </c>
      <c r="AL75" s="205">
        <f t="shared" si="146"/>
        <v>-6185727.5355313327</v>
      </c>
      <c r="AM75" s="205">
        <f t="shared" si="146"/>
        <v>-6185727.5355313327</v>
      </c>
      <c r="AN75" s="205">
        <f t="shared" si="146"/>
        <v>-6185727.5355313327</v>
      </c>
      <c r="AO75" s="205">
        <f t="shared" si="146"/>
        <v>-6185727.5355313327</v>
      </c>
      <c r="AP75" s="205">
        <f>AP68</f>
        <v>-6185727.5355313327</v>
      </c>
    </row>
    <row r="76" spans="1:45" x14ac:dyDescent="0.2">
      <c r="A76" s="252" t="s">
        <v>255</v>
      </c>
      <c r="B76" s="202">
        <f t="shared" ref="B76:AO76" si="147">-B67</f>
        <v>0</v>
      </c>
      <c r="C76" s="202">
        <f>-C67</f>
        <v>0</v>
      </c>
      <c r="D76" s="202">
        <f t="shared" si="147"/>
        <v>6185727.5355313327</v>
      </c>
      <c r="E76" s="202">
        <f t="shared" si="147"/>
        <v>6185727.5355313327</v>
      </c>
      <c r="F76" s="202">
        <f t="shared" si="147"/>
        <v>6185727.5355313327</v>
      </c>
      <c r="G76" s="202">
        <f t="shared" si="147"/>
        <v>6185727.5355313327</v>
      </c>
      <c r="H76" s="202">
        <f t="shared" si="147"/>
        <v>6185727.5355313327</v>
      </c>
      <c r="I76" s="202">
        <f t="shared" si="147"/>
        <v>6185727.5355313327</v>
      </c>
      <c r="J76" s="202">
        <f t="shared" si="147"/>
        <v>6185727.5355313327</v>
      </c>
      <c r="K76" s="202">
        <f t="shared" si="147"/>
        <v>6185727.5355313327</v>
      </c>
      <c r="L76" s="202">
        <f>-L67</f>
        <v>6185727.5355313327</v>
      </c>
      <c r="M76" s="202">
        <f>-M67</f>
        <v>6185727.5355313327</v>
      </c>
      <c r="N76" s="202">
        <f t="shared" si="147"/>
        <v>6185727.5355313327</v>
      </c>
      <c r="O76" s="202">
        <f t="shared" si="147"/>
        <v>6185727.5355313327</v>
      </c>
      <c r="P76" s="202">
        <f t="shared" si="147"/>
        <v>6185727.5355313327</v>
      </c>
      <c r="Q76" s="202">
        <f t="shared" si="147"/>
        <v>6185727.5355313327</v>
      </c>
      <c r="R76" s="202">
        <f t="shared" si="147"/>
        <v>6185727.5355313327</v>
      </c>
      <c r="S76" s="202">
        <f t="shared" si="147"/>
        <v>6185727.5355313327</v>
      </c>
      <c r="T76" s="202">
        <f t="shared" si="147"/>
        <v>6185727.5355313327</v>
      </c>
      <c r="U76" s="202">
        <f t="shared" si="147"/>
        <v>6185727.5355313327</v>
      </c>
      <c r="V76" s="202">
        <f t="shared" si="147"/>
        <v>6185727.5355313327</v>
      </c>
      <c r="W76" s="202">
        <f t="shared" si="147"/>
        <v>6185727.5355313327</v>
      </c>
      <c r="X76" s="202">
        <f t="shared" si="147"/>
        <v>6185727.5355313327</v>
      </c>
      <c r="Y76" s="202">
        <f t="shared" si="147"/>
        <v>6185727.5355313327</v>
      </c>
      <c r="Z76" s="202">
        <f t="shared" si="147"/>
        <v>6185727.5355313327</v>
      </c>
      <c r="AA76" s="202">
        <f t="shared" si="147"/>
        <v>6185727.5355313327</v>
      </c>
      <c r="AB76" s="202">
        <f t="shared" si="147"/>
        <v>6185727.5355313327</v>
      </c>
      <c r="AC76" s="202">
        <f t="shared" si="147"/>
        <v>6185727.5355313327</v>
      </c>
      <c r="AD76" s="202">
        <f t="shared" si="147"/>
        <v>6185727.5355313327</v>
      </c>
      <c r="AE76" s="202">
        <f t="shared" si="147"/>
        <v>6185727.5355313327</v>
      </c>
      <c r="AF76" s="202">
        <f t="shared" si="147"/>
        <v>6185727.5355313327</v>
      </c>
      <c r="AG76" s="202">
        <f t="shared" si="147"/>
        <v>6185727.5355313327</v>
      </c>
      <c r="AH76" s="202">
        <f t="shared" si="147"/>
        <v>6185727.5355313327</v>
      </c>
      <c r="AI76" s="202">
        <f t="shared" si="147"/>
        <v>6185727.5355313327</v>
      </c>
      <c r="AJ76" s="202">
        <f t="shared" si="147"/>
        <v>6185727.5355313327</v>
      </c>
      <c r="AK76" s="202">
        <f t="shared" si="147"/>
        <v>6185727.5355313327</v>
      </c>
      <c r="AL76" s="202">
        <f t="shared" si="147"/>
        <v>6185727.5355313327</v>
      </c>
      <c r="AM76" s="202">
        <f t="shared" si="147"/>
        <v>6185727.5355313327</v>
      </c>
      <c r="AN76" s="202">
        <f t="shared" si="147"/>
        <v>6185727.5355313327</v>
      </c>
      <c r="AO76" s="202">
        <f t="shared" si="147"/>
        <v>6185727.5355313327</v>
      </c>
      <c r="AP76" s="202">
        <f>-AP67</f>
        <v>6185727.5355313327</v>
      </c>
    </row>
    <row r="77" spans="1:45" x14ac:dyDescent="0.2">
      <c r="A77" s="252" t="s">
        <v>254</v>
      </c>
      <c r="B77" s="202">
        <f t="shared" ref="B77:AO77" si="148">B69</f>
        <v>0</v>
      </c>
      <c r="C77" s="202">
        <f t="shared" si="148"/>
        <v>0</v>
      </c>
      <c r="D77" s="202">
        <f t="shared" si="148"/>
        <v>0</v>
      </c>
      <c r="E77" s="202">
        <f t="shared" si="148"/>
        <v>0</v>
      </c>
      <c r="F77" s="202">
        <f t="shared" si="148"/>
        <v>0</v>
      </c>
      <c r="G77" s="202">
        <f t="shared" si="148"/>
        <v>0</v>
      </c>
      <c r="H77" s="202">
        <f t="shared" si="148"/>
        <v>0</v>
      </c>
      <c r="I77" s="202">
        <f t="shared" si="148"/>
        <v>0</v>
      </c>
      <c r="J77" s="202">
        <f t="shared" si="148"/>
        <v>0</v>
      </c>
      <c r="K77" s="202">
        <f t="shared" si="148"/>
        <v>0</v>
      </c>
      <c r="L77" s="202">
        <f t="shared" si="148"/>
        <v>0</v>
      </c>
      <c r="M77" s="202">
        <f t="shared" si="148"/>
        <v>0</v>
      </c>
      <c r="N77" s="202">
        <f t="shared" si="148"/>
        <v>0</v>
      </c>
      <c r="O77" s="202">
        <f t="shared" si="148"/>
        <v>0</v>
      </c>
      <c r="P77" s="202">
        <f t="shared" si="148"/>
        <v>0</v>
      </c>
      <c r="Q77" s="202">
        <f t="shared" si="148"/>
        <v>0</v>
      </c>
      <c r="R77" s="202">
        <f t="shared" si="148"/>
        <v>0</v>
      </c>
      <c r="S77" s="202">
        <f t="shared" si="148"/>
        <v>0</v>
      </c>
      <c r="T77" s="202">
        <f t="shared" si="148"/>
        <v>0</v>
      </c>
      <c r="U77" s="202">
        <f t="shared" si="148"/>
        <v>0</v>
      </c>
      <c r="V77" s="202">
        <f t="shared" si="148"/>
        <v>0</v>
      </c>
      <c r="W77" s="202">
        <f t="shared" si="148"/>
        <v>0</v>
      </c>
      <c r="X77" s="202">
        <f t="shared" si="148"/>
        <v>0</v>
      </c>
      <c r="Y77" s="202">
        <f t="shared" si="148"/>
        <v>0</v>
      </c>
      <c r="Z77" s="202">
        <f t="shared" si="148"/>
        <v>0</v>
      </c>
      <c r="AA77" s="202">
        <f t="shared" si="148"/>
        <v>0</v>
      </c>
      <c r="AB77" s="202">
        <f t="shared" si="148"/>
        <v>0</v>
      </c>
      <c r="AC77" s="202">
        <f t="shared" si="148"/>
        <v>0</v>
      </c>
      <c r="AD77" s="202">
        <f t="shared" si="148"/>
        <v>0</v>
      </c>
      <c r="AE77" s="202">
        <f t="shared" si="148"/>
        <v>0</v>
      </c>
      <c r="AF77" s="202">
        <f t="shared" si="148"/>
        <v>0</v>
      </c>
      <c r="AG77" s="202">
        <f t="shared" si="148"/>
        <v>0</v>
      </c>
      <c r="AH77" s="202">
        <f t="shared" si="148"/>
        <v>0</v>
      </c>
      <c r="AI77" s="202">
        <f t="shared" si="148"/>
        <v>0</v>
      </c>
      <c r="AJ77" s="202">
        <f t="shared" si="148"/>
        <v>0</v>
      </c>
      <c r="AK77" s="202">
        <f t="shared" si="148"/>
        <v>0</v>
      </c>
      <c r="AL77" s="202">
        <f t="shared" si="148"/>
        <v>0</v>
      </c>
      <c r="AM77" s="202">
        <f t="shared" si="148"/>
        <v>0</v>
      </c>
      <c r="AN77" s="202">
        <f t="shared" si="148"/>
        <v>0</v>
      </c>
      <c r="AO77" s="202">
        <f t="shared" si="148"/>
        <v>0</v>
      </c>
      <c r="AP77" s="202">
        <f>AP69</f>
        <v>0</v>
      </c>
    </row>
    <row r="78" spans="1:45" x14ac:dyDescent="0.2">
      <c r="A78" s="252" t="s">
        <v>253</v>
      </c>
      <c r="B78" s="202">
        <f>IF(SUM($B$71:B71)+SUM($A$78:A78)&gt;0,0,SUM($B$71:B71)-SUM($A$78:A78))</f>
        <v>0</v>
      </c>
      <c r="C78" s="202">
        <f>IF(SUM($B$71:C71)+SUM($A$78:B78)&gt;0,0,SUM($B$71:C71)-SUM($A$78:B78))</f>
        <v>0</v>
      </c>
      <c r="D78" s="202">
        <f>IF(SUM($B$71:D71)+SUM($A$78:C78)&gt;0,0,SUM($B$71:D71)-SUM($A$78:C78))</f>
        <v>0</v>
      </c>
      <c r="E78" s="202">
        <f>IF(SUM($B$71:E71)+SUM($A$78:D78)&gt;0,0,SUM($B$71:E71)-SUM($A$78:D78))</f>
        <v>-1762241.0859547744</v>
      </c>
      <c r="F78" s="202">
        <f>IF(SUM($B$71:F71)+SUM($A$78:E78)&gt;0,0,SUM($B$71:F71)-SUM($A$78:E78))</f>
        <v>-4810326.0083434973</v>
      </c>
      <c r="G78" s="202">
        <f>IF(SUM($B$71:G71)+SUM($A$78:F78)&gt;0,0,SUM($B$71:G71)-SUM($A$78:F78))</f>
        <v>-4058261.7018203437</v>
      </c>
      <c r="H78" s="202">
        <f>IF(SUM($B$71:H71)+SUM($A$78:G78)&gt;0,0,SUM($B$71:H71)-SUM($A$78:G78))</f>
        <v>-4300789.0500793755</v>
      </c>
      <c r="I78" s="202">
        <f>IF(SUM($B$71:I71)+SUM($A$78:H78)&gt;0,0,SUM($B$71:I71)-SUM($A$78:H78))</f>
        <v>-4554424.0454622004</v>
      </c>
      <c r="J78" s="202">
        <f>IF(SUM($B$71:J71)+SUM($A$78:I78)&gt;0,0,SUM($B$71:J71)-SUM($A$78:I78))</f>
        <v>-4819675.4133786075</v>
      </c>
      <c r="K78" s="202">
        <f>IF(SUM($B$71:K71)+SUM($A$78:J78)&gt;0,0,SUM($B$71:K71)-SUM($A$78:J78))</f>
        <v>-5097075.1786410026</v>
      </c>
      <c r="L78" s="202">
        <f>IF(SUM($B$71:L71)+SUM($A$78:K78)&gt;0,0,SUM($B$71:L71)-SUM($A$78:K78))</f>
        <v>-5387179.7325669229</v>
      </c>
      <c r="M78" s="202">
        <f>IF(SUM($B$71:M71)+SUM($A$78:L78)&gt;0,0,SUM($B$71:M71)-SUM($A$78:L78))</f>
        <v>-5097075.1786409989</v>
      </c>
      <c r="N78" s="202">
        <f>IF(SUM($B$71:N71)+SUM($A$78:M78)&gt;0,0,SUM($B$71:N71)-SUM($A$78:M78))</f>
        <v>-5387179.7325669304</v>
      </c>
      <c r="O78" s="202">
        <f>IF(SUM($B$71:O71)+SUM($A$78:N78)&gt;0,0,SUM($B$71:O71)-SUM($A$78:N78))</f>
        <v>-5690570.9489544109</v>
      </c>
      <c r="P78" s="202">
        <f>IF(SUM($B$71:P71)+SUM($A$78:O78)&gt;0,0,SUM($B$71:P71)-SUM($A$78:O78))</f>
        <v>-6007857.3511684984</v>
      </c>
      <c r="Q78" s="202">
        <f>IF(SUM($B$71:Q71)+SUM($A$78:P78)&gt;0,0,SUM($B$71:Q71)-SUM($A$78:P78))</f>
        <v>-6339675.3326798081</v>
      </c>
      <c r="R78" s="202">
        <f>IF(SUM($B$71:R71)+SUM($A$78:Q78)&gt;0,0,SUM($B$71:R71)-SUM($A$78:Q78))</f>
        <v>-6686690.4335032925</v>
      </c>
      <c r="S78" s="202">
        <f>IF(SUM($B$71:S71)+SUM($A$78:R78)&gt;0,0,SUM($B$71:S71)-SUM($A$78:R78))</f>
        <v>-7049598.6750972718</v>
      </c>
      <c r="T78" s="202">
        <f>IF(SUM($B$71:T71)+SUM($A$78:S78)&gt;0,0,SUM($B$71:T71)-SUM($A$78:S78))</f>
        <v>-7429127.956400305</v>
      </c>
      <c r="U78" s="202">
        <f>IF(SUM($B$71:U71)+SUM($A$78:T78)&gt;0,0,SUM($B$71:U71)-SUM($A$78:T78))</f>
        <v>-7826039.513805896</v>
      </c>
      <c r="V78" s="202">
        <f>IF(SUM($B$71:V71)+SUM($A$78:U78)&gt;0,0,SUM($B$71:V71)-SUM($A$78:U78))</f>
        <v>-8241129.4480034858</v>
      </c>
      <c r="W78" s="202">
        <f>IF(SUM($B$71:W71)+SUM($A$78:V78)&gt;0,0,SUM($B$71:W71)-SUM($A$78:V78))</f>
        <v>-8675230.3207480311</v>
      </c>
      <c r="X78" s="202">
        <f>IF(SUM($B$71:X71)+SUM($A$78:W78)&gt;0,0,SUM($B$71:X71)-SUM($A$78:W78))</f>
        <v>-9129212.8247609138</v>
      </c>
      <c r="Y78" s="202">
        <f>IF(SUM($B$71:Y71)+SUM($A$78:X78)&gt;0,0,SUM($B$71:Y71)-SUM($A$78:X78))</f>
        <v>-9603987.5301117301</v>
      </c>
      <c r="Z78" s="202">
        <f>IF(SUM($B$71:Z71)+SUM($A$78:Y78)&gt;0,0,SUM($B$71:Z71)-SUM($A$78:Y78))</f>
        <v>-10100506.710583359</v>
      </c>
      <c r="AA78" s="202">
        <f>IF(SUM($B$71:AA71)+SUM($A$78:Z78)&gt;0,0,SUM($B$71:AA71)-SUM($A$78:Z78))</f>
        <v>-10619766.253684074</v>
      </c>
      <c r="AB78" s="202">
        <f>IF(SUM($B$71:AB71)+SUM($A$78:AA78)&gt;0,0,SUM($B$71:AB71)-SUM($A$78:AA78))</f>
        <v>-11162807.658137023</v>
      </c>
      <c r="AC78" s="202">
        <f>IF(SUM($B$71:AC71)+SUM($A$78:AB78)&gt;0,0,SUM($B$71:AC71)-SUM($A$78:AB78))</f>
        <v>-11730720.122854203</v>
      </c>
      <c r="AD78" s="202">
        <f>IF(SUM($B$71:AD71)+SUM($A$78:AC78)&gt;0,0,SUM($B$71:AD71)-SUM($A$78:AC78))</f>
        <v>-12324642.731584281</v>
      </c>
      <c r="AE78" s="202">
        <f>IF(SUM($B$71:AE71)+SUM($A$78:AD78)&gt;0,0,SUM($B$71:AE71)-SUM($A$78:AD78))</f>
        <v>-12945766.73761645</v>
      </c>
      <c r="AF78" s="202">
        <f>IF(SUM($B$71:AF71)+SUM($A$78:AE78)&gt;0,0,SUM($B$71:AF71)-SUM($A$78:AE78))</f>
        <v>-13595337.953122735</v>
      </c>
      <c r="AG78" s="202">
        <f>IF(SUM($B$71:AG71)+SUM($A$78:AF78)&gt;0,0,SUM($B$71:AG71)-SUM($A$78:AF78))</f>
        <v>-14274659.247931033</v>
      </c>
      <c r="AH78" s="202">
        <f>IF(SUM($B$71:AH71)+SUM($A$78:AG78)&gt;0,0,SUM($B$71:AH71)-SUM($A$78:AG78))</f>
        <v>-14985093.162741095</v>
      </c>
      <c r="AI78" s="202">
        <f>IF(SUM($B$71:AI71)+SUM($A$78:AH78)&gt;0,0,SUM($B$71:AI71)-SUM($A$78:AH78))</f>
        <v>-15728064.642024308</v>
      </c>
      <c r="AJ78" s="202">
        <f>IF(SUM($B$71:AJ71)+SUM($A$78:AI78)&gt;0,0,SUM($B$71:AJ71)-SUM($A$78:AI78))</f>
        <v>-16505063.892089516</v>
      </c>
      <c r="AK78" s="202">
        <f>IF(SUM($B$71:AK71)+SUM($A$78:AJ78)&gt;0,0,SUM($B$71:AK71)-SUM($A$78:AJ78))</f>
        <v>-17317649.370046675</v>
      </c>
      <c r="AL78" s="202">
        <f>IF(SUM($B$71:AL71)+SUM($A$78:AK78)&gt;0,0,SUM($B$71:AL71)-SUM($A$78:AK78))</f>
        <v>1237145.5071062446</v>
      </c>
      <c r="AM78" s="202">
        <f>IF(SUM($B$71:AM71)+SUM($A$78:AL78)&gt;0,0,SUM($B$71:AM71)-SUM($A$78:AL78))</f>
        <v>1237145.5071062446</v>
      </c>
      <c r="AN78" s="202">
        <f>IF(SUM($B$71:AN71)+SUM($A$78:AM78)&gt;0,0,SUM($B$71:AN71)-SUM($A$78:AM78))</f>
        <v>1237145.5071062446</v>
      </c>
      <c r="AO78" s="202">
        <f>IF(SUM($B$71:AO71)+SUM($A$78:AN78)&gt;0,0,SUM($B$71:AO71)-SUM($A$78:AN78))</f>
        <v>1237145.5071062446</v>
      </c>
      <c r="AP78" s="202">
        <f>IF(SUM($B$71:AP71)+SUM($A$78:AO78)&gt;0,0,SUM($B$71:AP71)-SUM($A$78:AO78))</f>
        <v>1237145.5071062446</v>
      </c>
    </row>
    <row r="79" spans="1:45" x14ac:dyDescent="0.2">
      <c r="A79" s="252" t="s">
        <v>252</v>
      </c>
      <c r="B79" s="202">
        <f ca="1">IF(((SUM($B$59:B59)+SUM($B$61:B64))+SUM($B$81:B81))&lt;0,((SUM($B$59:B59)+SUM($B$61:B64))+SUM($B$81:B81))*0.18-SUM($A$79:A79),IF(SUM(A$79:$B79)&lt;0,0-SUM(A$79:$B79),0))</f>
        <v>-6667739.6705999998</v>
      </c>
      <c r="C79" s="202">
        <f ca="1">IF(((SUM($B$59:C59)+SUM($B$61:C64))+SUM($B$81:C81))&lt;0,((SUM($B$59:C59)+SUM($B$61:C64))+SUM($B$81:C81))*0.18-SUM($A$79:B79),IF(SUM($B$79:B79)&lt;0,0-SUM($B$79:B79),0))</f>
        <v>-18520148.266735677</v>
      </c>
      <c r="D79" s="202">
        <f ca="1">IF(((SUM($B$59:D59)+SUM($B$61:D64))+SUM($B$81:D81))&lt;0,((SUM($B$59:D59)+SUM($B$61:D64))+SUM($B$81:D81))*0.18-SUM($A$79:C79),IF(SUM($B$79:C79)&lt;0,0-SUM($B$79:C79),0))</f>
        <v>-14895626.49290736</v>
      </c>
      <c r="E79" s="202">
        <f ca="1">IF(((SUM($B$59:E59)+SUM($B$61:E64))+SUM($B$81:E81))&lt;0,((SUM($B$59:E59)+SUM($B$61:E64))+SUM($B$81:E81))*0.18-SUM($A$79:D79),IF(SUM($B$79:D79)&lt;0,0-SUM($B$79:D79),0))</f>
        <v>0</v>
      </c>
      <c r="F79" s="202">
        <f ca="1">IF(((SUM($B$59:F59)+SUM($B$61:F64))+SUM($B$81:F81))&lt;0,((SUM($B$59:F59)+SUM($B$61:F64))+SUM($B$81:F81))*0.18-SUM($A$79:E79),IF(SUM($B$79:E79)&lt;0,0-SUM($B$79:E79),0))</f>
        <v>3317280.9157071412</v>
      </c>
      <c r="G79" s="202">
        <f ca="1">IF(((SUM($B$59:G59)+SUM($B$61:G64))+SUM($B$81:G81))&lt;0,((SUM($B$59:G59)+SUM($B$61:G64))+SUM($B$81:G81))*0.18-SUM($A$79:F79),IF(SUM($B$79:F79)&lt;0,0-SUM($B$79:F79),0))</f>
        <v>3774290.2395935133</v>
      </c>
      <c r="H79" s="202">
        <f ca="1">IF(((SUM($B$59:H59)+SUM($B$61:H64))+SUM($B$81:H81))&lt;0,((SUM($B$59:H59)+SUM($B$61:H64))+SUM($B$81:H81))*0.18-SUM($A$79:G79),IF(SUM($B$79:G79)&lt;0,0-SUM($B$79:G79),0))</f>
        <v>4163409.9920581952</v>
      </c>
      <c r="I79" s="202">
        <f ca="1">IF(((SUM($B$59:I59)+SUM($B$61:I64))+SUM($B$81:I81))&lt;0,((SUM($B$59:I59)+SUM($B$61:I64))+SUM($B$81:I81))*0.18-SUM($A$79:H79),IF(SUM($B$79:H79)&lt;0,0-SUM($B$79:H79),0))</f>
        <v>4363014.6540201195</v>
      </c>
      <c r="J79" s="202">
        <f ca="1">IF(((SUM($B$59:J59)+SUM($B$61:J64))+SUM($B$81:J81))&lt;0,((SUM($B$59:J59)+SUM($B$61:J64))+SUM($B$81:J81))*0.18-SUM($A$79:I79),IF(SUM($B$79:I79)&lt;0,0-SUM($B$79:I79),0))</f>
        <v>4572188.8806304671</v>
      </c>
      <c r="K79" s="202">
        <f ca="1">IF(((SUM($B$59:K59)+SUM($B$61:K64))+SUM($B$81:K81))&lt;0,((SUM($B$59:K59)+SUM($B$61:K64))+SUM($B$81:K81))*0.18-SUM($A$79:J79),IF(SUM($B$79:J79)&lt;0,0-SUM($B$79:J79),0))</f>
        <v>4791391.4616121948</v>
      </c>
      <c r="L79" s="202">
        <f ca="1">IF(((SUM($B$59:L59)+SUM($B$61:L64))+SUM($B$81:L81))&lt;0,((SUM($B$59:L59)+SUM($B$61:L64))+SUM($B$81:L81))*0.18-SUM($A$79:K79),IF(SUM($B$79:K79)&lt;0,0-SUM($B$79:K79),0))</f>
        <v>5021103.1822562348</v>
      </c>
      <c r="M79" s="202">
        <f ca="1">IF(((SUM($B$59:M59)+SUM($B$61:M64))+SUM($B$81:M81))&lt;0,((SUM($B$59:M59)+SUM($B$61:M64))+SUM($B$81:M81))*0.18-SUM($A$79:L79),IF(SUM($B$79:L79)&lt;0,0-SUM($B$79:L79),0))</f>
        <v>4791391.4616121901</v>
      </c>
      <c r="N79" s="202">
        <f ca="1">IF(((SUM($B$59:N59)+SUM($B$61:N64))+SUM($B$81:N81))&lt;0,((SUM($B$59:N59)+SUM($B$61:N64))+SUM($B$81:N81))*0.18-SUM($A$79:M79),IF(SUM($B$79:M79)&lt;0,0-SUM($B$79:M79),0))</f>
        <v>5021103.1822562348</v>
      </c>
      <c r="O79" s="202">
        <f ca="1">IF(((SUM($B$59:O59)+SUM($B$61:O64))+SUM($B$81:O81))&lt;0,((SUM($B$59:O59)+SUM($B$61:O64))+SUM($B$81:O81))*0.18-SUM($A$79:N79),IF(SUM($B$79:N79)&lt;0,0-SUM($B$79:N79),0))</f>
        <v>268340.46049674693</v>
      </c>
      <c r="P79" s="202">
        <f ca="1">IF(((SUM($B$59:P59)+SUM($B$61:P64))+SUM($B$81:P81))&lt;0,((SUM($B$59:P59)+SUM($B$61:P64))+SUM($B$81:P81))*0.18-SUM($A$79:O79),IF(SUM($B$79:O79)&lt;0,0-SUM($B$79:O79),0))</f>
        <v>0</v>
      </c>
      <c r="Q79" s="202">
        <f ca="1">IF(((SUM($B$59:Q59)+SUM($B$61:Q64))+SUM($B$81:Q81))&lt;0,((SUM($B$59:Q59)+SUM($B$61:Q64))+SUM($B$81:Q81))*0.18-SUM($A$79:P79),IF(SUM($B$79:P79)&lt;0,0-SUM($B$79:P79),0))</f>
        <v>0</v>
      </c>
      <c r="R79" s="202">
        <f ca="1">IF(((SUM($B$59:R59)+SUM($B$61:R64))+SUM($B$81:R81))&lt;0,((SUM($B$59:R59)+SUM($B$61:R64))+SUM($B$81:R81))*0.18-SUM($A$79:Q79),IF(SUM($B$79:Q79)&lt;0,0-SUM($B$79:Q79),0))</f>
        <v>0</v>
      </c>
      <c r="S79" s="202">
        <f ca="1">IF(((SUM($B$59:S59)+SUM($B$61:S64))+SUM($B$81:S81))&lt;0,((SUM($B$59:S59)+SUM($B$61:S64))+SUM($B$81:S81))*0.18-SUM($A$79:R79),IF(SUM($B$79:R79)&lt;0,0-SUM($B$79:R79),0))</f>
        <v>0</v>
      </c>
      <c r="T79" s="202">
        <f ca="1">IF(((SUM($B$59:T59)+SUM($B$61:T64))+SUM($B$81:T81))&lt;0,((SUM($B$59:T59)+SUM($B$61:T64))+SUM($B$81:T81))*0.18-SUM($A$79:S79),IF(SUM($B$79:S79)&lt;0,0-SUM($B$79:S79),0))</f>
        <v>0</v>
      </c>
      <c r="U79" s="202">
        <f ca="1">IF(((SUM($B$59:U59)+SUM($B$61:U64))+SUM($B$81:U81))&lt;0,((SUM($B$59:U59)+SUM($B$61:U64))+SUM($B$81:U81))*0.18-SUM($A$79:T79),IF(SUM($B$79:T79)&lt;0,0-SUM($B$79:T79),0))</f>
        <v>0</v>
      </c>
      <c r="V79" s="202">
        <f ca="1">IF(((SUM($B$59:V59)+SUM($B$61:V64))+SUM($B$81:V81))&lt;0,((SUM($B$59:V59)+SUM($B$61:V64))+SUM($B$81:V81))*0.18-SUM($A$79:U79),IF(SUM($B$79:U79)&lt;0,0-SUM($B$79:U79),0))</f>
        <v>0</v>
      </c>
      <c r="W79" s="202">
        <f ca="1">IF(((SUM($B$59:W59)+SUM($B$61:W64))+SUM($B$81:W81))&lt;0,((SUM($B$59:W59)+SUM($B$61:W64))+SUM($B$81:W81))*0.18-SUM($A$79:V79),IF(SUM($B$79:V79)&lt;0,0-SUM($B$79:V79),0))</f>
        <v>0</v>
      </c>
      <c r="X79" s="202">
        <f ca="1">IF(((SUM($B$59:X59)+SUM($B$61:X64))+SUM($B$81:X81))&lt;0,((SUM($B$59:X59)+SUM($B$61:X64))+SUM($B$81:X81))*0.18-SUM($A$79:W79),IF(SUM($B$79:W79)&lt;0,0-SUM($B$79:W79),0))</f>
        <v>0</v>
      </c>
      <c r="Y79" s="202">
        <f ca="1">IF(((SUM($B$59:Y59)+SUM($B$61:Y64))+SUM($B$81:Y81))&lt;0,((SUM($B$59:Y59)+SUM($B$61:Y64))+SUM($B$81:Y81))*0.18-SUM($A$79:X79),IF(SUM($B$79:X79)&lt;0,0-SUM($B$79:X79),0))</f>
        <v>0</v>
      </c>
      <c r="Z79" s="202">
        <f ca="1">IF(((SUM($B$59:Z59)+SUM($B$61:Z64))+SUM($B$81:Z81))&lt;0,((SUM($B$59:Z59)+SUM($B$61:Z64))+SUM($B$81:Z81))*0.18-SUM($A$79:Y79),IF(SUM($B$79:Y79)&lt;0,0-SUM($B$79:Y79),0))</f>
        <v>0</v>
      </c>
      <c r="AA79" s="202">
        <f ca="1">IF(((SUM($B$59:AA59)+SUM($B$61:AA64))+SUM($B$81:AA81))&lt;0,((SUM($B$59:AA59)+SUM($B$61:AA64))+SUM($B$81:AA81))*0.18-SUM($A$79:Z79),IF(SUM($B$79:Z79)&lt;0,0-SUM($B$79:Z79),0))</f>
        <v>0</v>
      </c>
      <c r="AB79" s="202">
        <f ca="1">IF(((SUM($B$59:AB59)+SUM($B$61:AB64))+SUM($B$81:AB81))&lt;0,((SUM($B$59:AB59)+SUM($B$61:AB64))+SUM($B$81:AB81))*0.18-SUM($A$79:AA79),IF(SUM($B$79:AA79)&lt;0,0-SUM($B$79:AA79),0))</f>
        <v>0</v>
      </c>
      <c r="AC79" s="202">
        <f ca="1">IF(((SUM($B$59:AC59)+SUM($B$61:AC64))+SUM($B$81:AC81))&lt;0,((SUM($B$59:AC59)+SUM($B$61:AC64))+SUM($B$81:AC81))*0.18-SUM($A$79:AB79),IF(SUM($B$79:AB79)&lt;0,0-SUM($B$79:AB79),0))</f>
        <v>0</v>
      </c>
      <c r="AD79" s="202">
        <f ca="1">IF(((SUM($B$59:AD59)+SUM($B$61:AD64))+SUM($B$81:AD81))&lt;0,((SUM($B$59:AD59)+SUM($B$61:AD64))+SUM($B$81:AD81))*0.18-SUM($A$79:AC79),IF(SUM($B$79:AC79)&lt;0,0-SUM($B$79:AC79),0))</f>
        <v>0</v>
      </c>
      <c r="AE79" s="202">
        <f ca="1">IF(((SUM($B$59:AE59)+SUM($B$61:AE64))+SUM($B$81:AE81))&lt;0,((SUM($B$59:AE59)+SUM($B$61:AE64))+SUM($B$81:AE81))*0.18-SUM($A$79:AD79),IF(SUM($B$79:AD79)&lt;0,0-SUM($B$79:AD79),0))</f>
        <v>0</v>
      </c>
      <c r="AF79" s="202">
        <f ca="1">IF(((SUM($B$59:AF59)+SUM($B$61:AF64))+SUM($B$81:AF81))&lt;0,((SUM($B$59:AF59)+SUM($B$61:AF64))+SUM($B$81:AF81))*0.18-SUM($A$79:AE79),IF(SUM($B$79:AE79)&lt;0,0-SUM($B$79:AE79),0))</f>
        <v>0</v>
      </c>
      <c r="AG79" s="202">
        <f ca="1">IF(((SUM($B$59:AG59)+SUM($B$61:AG64))+SUM($B$81:AG81))&lt;0,((SUM($B$59:AG59)+SUM($B$61:AG64))+SUM($B$81:AG81))*0.18-SUM($A$79:AF79),IF(SUM($B$79:AF79)&lt;0,0-SUM($B$79:AF79),0))</f>
        <v>0</v>
      </c>
      <c r="AH79" s="202">
        <f ca="1">IF(((SUM($B$59:AH59)+SUM($B$61:AH64))+SUM($B$81:AH81))&lt;0,((SUM($B$59:AH59)+SUM($B$61:AH64))+SUM($B$81:AH81))*0.18-SUM($A$79:AG79),IF(SUM($B$79:AG79)&lt;0,0-SUM($B$79:AG79),0))</f>
        <v>0</v>
      </c>
      <c r="AI79" s="202">
        <f ca="1">IF(((SUM($B$59:AI59)+SUM($B$61:AI64))+SUM($B$81:AI81))&lt;0,((SUM($B$59:AI59)+SUM($B$61:AI64))+SUM($B$81:AI81))*0.18-SUM($A$79:AH79),IF(SUM($B$79:AH79)&lt;0,0-SUM($B$79:AH79),0))</f>
        <v>0</v>
      </c>
      <c r="AJ79" s="202">
        <f ca="1">IF(((SUM($B$59:AJ59)+SUM($B$61:AJ64))+SUM($B$81:AJ81))&lt;0,((SUM($B$59:AJ59)+SUM($B$61:AJ64))+SUM($B$81:AJ81))*0.18-SUM($A$79:AI79),IF(SUM($B$79:AI79)&lt;0,0-SUM($B$79:AI79),0))</f>
        <v>0</v>
      </c>
      <c r="AK79" s="202">
        <f ca="1">IF(((SUM($B$59:AK59)+SUM($B$61:AK64))+SUM($B$81:AK81))&lt;0,((SUM($B$59:AK59)+SUM($B$61:AK64))+SUM($B$81:AK81))*0.18-SUM($A$79:AJ79),IF(SUM($B$79:AJ79)&lt;0,0-SUM($B$79:AJ79),0))</f>
        <v>0</v>
      </c>
      <c r="AL79" s="202">
        <f ca="1">IF(((SUM($B$59:AL59)+SUM($B$61:AL64))+SUM($B$81:AL81))&lt;0,((SUM($B$59:AL59)+SUM($B$61:AL64))+SUM($B$81:AL81))*0.18-SUM($A$79:AK79),IF(SUM($B$79:AK79)&lt;0,0-SUM($B$79:AK79),0))</f>
        <v>0</v>
      </c>
      <c r="AM79" s="202">
        <f ca="1">IF(((SUM($B$59:AM59)+SUM($B$61:AM64))+SUM($B$81:AM81))&lt;0,((SUM($B$59:AM59)+SUM($B$61:AM64))+SUM($B$81:AM81))*0.18-SUM($A$79:AL79),IF(SUM($B$79:AL79)&lt;0,0-SUM($B$79:AL79),0))</f>
        <v>0</v>
      </c>
      <c r="AN79" s="202">
        <f ca="1">IF(((SUM($B$59:AN59)+SUM($B$61:AN64))+SUM($B$81:AN81))&lt;0,((SUM($B$59:AN59)+SUM($B$61:AN64))+SUM($B$81:AN81))*0.18-SUM($A$79:AM79),IF(SUM($B$79:AM79)&lt;0,0-SUM($B$79:AM79),0))</f>
        <v>0</v>
      </c>
      <c r="AO79" s="202">
        <f ca="1">IF(((SUM($B$59:AO59)+SUM($B$61:AO64))+SUM($B$81:AO81))&lt;0,((SUM($B$59:AO59)+SUM($B$61:AO64))+SUM($B$81:AO81))*0.18-SUM($A$79:AN79),IF(SUM($B$79:AN79)&lt;0,0-SUM($B$79:AN79),0))</f>
        <v>0</v>
      </c>
      <c r="AP79" s="202">
        <f ca="1">IF(((SUM($B$59:AP59)+SUM($B$61:AP64))+SUM($B$81:AP81))&lt;0,((SUM($B$59:AP59)+SUM($B$61:AP64))+SUM($B$81:AP81))*0.18-SUM($A$79:AO79),IF(SUM($B$79:AO79)&lt;0,0-SUM($B$79:AO79),0))</f>
        <v>0</v>
      </c>
    </row>
    <row r="80" spans="1:45" x14ac:dyDescent="0.2">
      <c r="A80" s="252" t="s">
        <v>251</v>
      </c>
      <c r="B80" s="202">
        <f>-B59*(B39)</f>
        <v>0</v>
      </c>
      <c r="C80" s="202">
        <f t="shared" ref="C80:AP80" si="149">-(C59-B59)*$B$39</f>
        <v>0</v>
      </c>
      <c r="D80" s="202">
        <f t="shared" si="149"/>
        <v>0</v>
      </c>
      <c r="E80" s="202">
        <f t="shared" si="149"/>
        <v>0</v>
      </c>
      <c r="F80" s="202">
        <f t="shared" si="149"/>
        <v>0</v>
      </c>
      <c r="G80" s="202">
        <f t="shared" si="149"/>
        <v>0</v>
      </c>
      <c r="H80" s="202">
        <f t="shared" si="149"/>
        <v>0</v>
      </c>
      <c r="I80" s="202">
        <f t="shared" si="149"/>
        <v>0</v>
      </c>
      <c r="J80" s="202">
        <f t="shared" si="149"/>
        <v>0</v>
      </c>
      <c r="K80" s="202">
        <f t="shared" si="149"/>
        <v>0</v>
      </c>
      <c r="L80" s="202">
        <f t="shared" si="149"/>
        <v>0</v>
      </c>
      <c r="M80" s="202">
        <f t="shared" si="149"/>
        <v>0</v>
      </c>
      <c r="N80" s="202">
        <f t="shared" si="149"/>
        <v>0</v>
      </c>
      <c r="O80" s="202">
        <f t="shared" si="149"/>
        <v>0</v>
      </c>
      <c r="P80" s="202">
        <f t="shared" si="149"/>
        <v>0</v>
      </c>
      <c r="Q80" s="202">
        <f t="shared" si="149"/>
        <v>0</v>
      </c>
      <c r="R80" s="202">
        <f t="shared" si="149"/>
        <v>0</v>
      </c>
      <c r="S80" s="202">
        <f t="shared" si="149"/>
        <v>0</v>
      </c>
      <c r="T80" s="202">
        <f t="shared" si="149"/>
        <v>0</v>
      </c>
      <c r="U80" s="202">
        <f t="shared" si="149"/>
        <v>0</v>
      </c>
      <c r="V80" s="202">
        <f t="shared" si="149"/>
        <v>0</v>
      </c>
      <c r="W80" s="202">
        <f t="shared" si="149"/>
        <v>0</v>
      </c>
      <c r="X80" s="202">
        <f t="shared" si="149"/>
        <v>0</v>
      </c>
      <c r="Y80" s="202">
        <f t="shared" si="149"/>
        <v>0</v>
      </c>
      <c r="Z80" s="202">
        <f t="shared" si="149"/>
        <v>0</v>
      </c>
      <c r="AA80" s="202">
        <f t="shared" si="149"/>
        <v>0</v>
      </c>
      <c r="AB80" s="202">
        <f t="shared" si="149"/>
        <v>0</v>
      </c>
      <c r="AC80" s="202">
        <f t="shared" si="149"/>
        <v>0</v>
      </c>
      <c r="AD80" s="202">
        <f t="shared" si="149"/>
        <v>0</v>
      </c>
      <c r="AE80" s="202">
        <f t="shared" si="149"/>
        <v>0</v>
      </c>
      <c r="AF80" s="202">
        <f t="shared" si="149"/>
        <v>0</v>
      </c>
      <c r="AG80" s="202">
        <f t="shared" si="149"/>
        <v>0</v>
      </c>
      <c r="AH80" s="202">
        <f t="shared" si="149"/>
        <v>0</v>
      </c>
      <c r="AI80" s="202">
        <f t="shared" si="149"/>
        <v>0</v>
      </c>
      <c r="AJ80" s="202">
        <f t="shared" si="149"/>
        <v>0</v>
      </c>
      <c r="AK80" s="202">
        <f t="shared" si="149"/>
        <v>0</v>
      </c>
      <c r="AL80" s="202">
        <f t="shared" si="149"/>
        <v>0</v>
      </c>
      <c r="AM80" s="202">
        <f t="shared" si="149"/>
        <v>0</v>
      </c>
      <c r="AN80" s="202">
        <f t="shared" si="149"/>
        <v>0</v>
      </c>
      <c r="AO80" s="202">
        <f t="shared" si="149"/>
        <v>0</v>
      </c>
      <c r="AP80" s="202">
        <f t="shared" si="149"/>
        <v>0</v>
      </c>
    </row>
    <row r="81" spans="1:44" x14ac:dyDescent="0.2">
      <c r="A81" s="252" t="s">
        <v>434</v>
      </c>
      <c r="B81" s="202">
        <f>'6.2. Паспорт фин осв ввод'!T24*(-1000000)</f>
        <v>-37042998.170000002</v>
      </c>
      <c r="C81" s="202">
        <f>'6.2. Паспорт фин осв ввод'!X24*(-1000000)</f>
        <v>-102889712.59297599</v>
      </c>
      <c r="D81" s="202">
        <f>'6.2. Паспорт фин осв ввод'!AB24*(-1000000)</f>
        <v>-82753480.516152009</v>
      </c>
      <c r="E81" s="202">
        <v>0</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53">
        <f>SUM(B81:AP81)</f>
        <v>-222686191.27912802</v>
      </c>
      <c r="AR81" s="254"/>
    </row>
    <row r="82" spans="1:44" x14ac:dyDescent="0.2">
      <c r="A82" s="252" t="s">
        <v>250</v>
      </c>
      <c r="B82" s="202">
        <f t="shared" ref="B82:AO82" si="150">B54-B55</f>
        <v>0</v>
      </c>
      <c r="C82" s="202">
        <f t="shared" si="150"/>
        <v>0</v>
      </c>
      <c r="D82" s="202">
        <f t="shared" si="150"/>
        <v>0</v>
      </c>
      <c r="E82" s="202">
        <f t="shared" si="150"/>
        <v>0</v>
      </c>
      <c r="F82" s="202">
        <f t="shared" si="150"/>
        <v>0</v>
      </c>
      <c r="G82" s="202">
        <f t="shared" si="150"/>
        <v>0</v>
      </c>
      <c r="H82" s="202">
        <f t="shared" si="150"/>
        <v>0</v>
      </c>
      <c r="I82" s="202">
        <f t="shared" si="150"/>
        <v>0</v>
      </c>
      <c r="J82" s="202">
        <f t="shared" si="150"/>
        <v>0</v>
      </c>
      <c r="K82" s="202">
        <f t="shared" si="150"/>
        <v>0</v>
      </c>
      <c r="L82" s="202">
        <f t="shared" si="150"/>
        <v>0</v>
      </c>
      <c r="M82" s="202">
        <f t="shared" si="150"/>
        <v>0</v>
      </c>
      <c r="N82" s="202">
        <f t="shared" si="150"/>
        <v>0</v>
      </c>
      <c r="O82" s="202">
        <f t="shared" si="150"/>
        <v>0</v>
      </c>
      <c r="P82" s="202">
        <f t="shared" si="150"/>
        <v>0</v>
      </c>
      <c r="Q82" s="202">
        <f t="shared" si="150"/>
        <v>0</v>
      </c>
      <c r="R82" s="202">
        <f t="shared" si="150"/>
        <v>0</v>
      </c>
      <c r="S82" s="202">
        <f t="shared" si="150"/>
        <v>0</v>
      </c>
      <c r="T82" s="202">
        <f t="shared" si="150"/>
        <v>0</v>
      </c>
      <c r="U82" s="202">
        <f t="shared" si="150"/>
        <v>0</v>
      </c>
      <c r="V82" s="202">
        <f t="shared" si="150"/>
        <v>0</v>
      </c>
      <c r="W82" s="202">
        <f t="shared" si="150"/>
        <v>0</v>
      </c>
      <c r="X82" s="202">
        <f t="shared" si="150"/>
        <v>0</v>
      </c>
      <c r="Y82" s="202">
        <f t="shared" si="150"/>
        <v>0</v>
      </c>
      <c r="Z82" s="202">
        <f t="shared" si="150"/>
        <v>0</v>
      </c>
      <c r="AA82" s="202">
        <f t="shared" si="150"/>
        <v>0</v>
      </c>
      <c r="AB82" s="202">
        <f t="shared" si="150"/>
        <v>0</v>
      </c>
      <c r="AC82" s="202">
        <f t="shared" si="150"/>
        <v>0</v>
      </c>
      <c r="AD82" s="202">
        <f t="shared" si="150"/>
        <v>0</v>
      </c>
      <c r="AE82" s="202">
        <f t="shared" si="150"/>
        <v>0</v>
      </c>
      <c r="AF82" s="202">
        <f t="shared" si="150"/>
        <v>0</v>
      </c>
      <c r="AG82" s="202">
        <f t="shared" si="150"/>
        <v>0</v>
      </c>
      <c r="AH82" s="202">
        <f t="shared" si="150"/>
        <v>0</v>
      </c>
      <c r="AI82" s="202">
        <f t="shared" si="150"/>
        <v>0</v>
      </c>
      <c r="AJ82" s="202">
        <f t="shared" si="150"/>
        <v>0</v>
      </c>
      <c r="AK82" s="202">
        <f t="shared" si="150"/>
        <v>0</v>
      </c>
      <c r="AL82" s="202">
        <f t="shared" si="150"/>
        <v>0</v>
      </c>
      <c r="AM82" s="202">
        <f t="shared" si="150"/>
        <v>0</v>
      </c>
      <c r="AN82" s="202">
        <f t="shared" si="150"/>
        <v>0</v>
      </c>
      <c r="AO82" s="202">
        <f t="shared" si="150"/>
        <v>0</v>
      </c>
      <c r="AP82" s="202">
        <f>AP54-AP55</f>
        <v>0</v>
      </c>
    </row>
    <row r="83" spans="1:44" ht="14.25" x14ac:dyDescent="0.2">
      <c r="A83" s="206" t="s">
        <v>249</v>
      </c>
      <c r="B83" s="205">
        <f ca="1">SUM(B75:B82)</f>
        <v>-43710737.840599999</v>
      </c>
      <c r="C83" s="205">
        <f t="shared" ref="C83:V83" ca="1" si="151">SUM(C75:C82)</f>
        <v>-121409860.85971166</v>
      </c>
      <c r="D83" s="205">
        <f ca="1">SUM(D75:D82)</f>
        <v>-97649107.00905937</v>
      </c>
      <c r="E83" s="205">
        <f ca="1">SUM(E75:E82)</f>
        <v>0</v>
      </c>
      <c r="F83" s="205">
        <f t="shared" ca="1" si="151"/>
        <v>26720770.201927193</v>
      </c>
      <c r="G83" s="205">
        <f t="shared" ca="1" si="151"/>
        <v>21786059.033782054</v>
      </c>
      <c r="H83" s="205">
        <f t="shared" ca="1" si="151"/>
        <v>23904599.908312041</v>
      </c>
      <c r="I83" s="205">
        <f t="shared" ca="1" si="151"/>
        <v>24991336.401215803</v>
      </c>
      <c r="J83" s="205">
        <f t="shared" ca="1" si="151"/>
        <v>26130173.857205469</v>
      </c>
      <c r="K83" s="205">
        <f t="shared" ca="1" si="151"/>
        <v>27323610.131439313</v>
      </c>
      <c r="L83" s="205">
        <f t="shared" ca="1" si="151"/>
        <v>28574262.832723558</v>
      </c>
      <c r="M83" s="205">
        <f t="shared" ca="1" si="151"/>
        <v>27323610.13143931</v>
      </c>
      <c r="N83" s="205">
        <f t="shared" ca="1" si="151"/>
        <v>28574262.832723558</v>
      </c>
      <c r="O83" s="205">
        <f t="shared" ca="1" si="151"/>
        <v>24891387.647363245</v>
      </c>
      <c r="P83" s="205">
        <f t="shared" ca="1" si="151"/>
        <v>25744227.903722942</v>
      </c>
      <c r="Q83" s="205">
        <f t="shared" ca="1" si="151"/>
        <v>26919160.929002821</v>
      </c>
      <c r="R83" s="205">
        <f t="shared" ca="1" si="151"/>
        <v>28150423.287638359</v>
      </c>
      <c r="S83" s="205">
        <f t="shared" ca="1" si="151"/>
        <v>29440715.553813785</v>
      </c>
      <c r="T83" s="205">
        <f t="shared" ca="1" si="151"/>
        <v>30792867.774236642</v>
      </c>
      <c r="U83" s="205">
        <f t="shared" ca="1" si="151"/>
        <v>32209845.675385974</v>
      </c>
      <c r="V83" s="205">
        <f t="shared" ca="1" si="151"/>
        <v>33694757.168352097</v>
      </c>
      <c r="W83" s="205">
        <f ca="1">SUM(W75:W82)</f>
        <v>35250859.165535234</v>
      </c>
      <c r="X83" s="205">
        <f ca="1">SUM(X75:X82)</f>
        <v>36881564.724154435</v>
      </c>
      <c r="Y83" s="205">
        <f ca="1">SUM(Y75:Y82)</f>
        <v>38590450.532234661</v>
      </c>
      <c r="Z83" s="205">
        <f ca="1">SUM(Z75:Z82)</f>
        <v>40381264.753491595</v>
      </c>
      <c r="AA83" s="205">
        <f t="shared" ref="AA83:AP83" ca="1" si="152">SUM(AA75:AA82)</f>
        <v>42257935.248320527</v>
      </c>
      <c r="AB83" s="205">
        <f t="shared" ca="1" si="152"/>
        <v>44224578.188920781</v>
      </c>
      <c r="AC83" s="205">
        <f t="shared" ca="1" si="152"/>
        <v>46285507.087451436</v>
      </c>
      <c r="AD83" s="205">
        <f t="shared" ca="1" si="152"/>
        <v>48445242.257020406</v>
      </c>
      <c r="AE83" s="205">
        <f t="shared" ca="1" si="152"/>
        <v>50708520.72625751</v>
      </c>
      <c r="AF83" s="205">
        <f t="shared" ca="1" si="152"/>
        <v>53080306.629218288</v>
      </c>
      <c r="AG83" s="205">
        <f t="shared" ca="1" si="152"/>
        <v>55565802.093406424</v>
      </c>
      <c r="AH83" s="205">
        <f t="shared" ca="1" si="152"/>
        <v>58170458.649796247</v>
      </c>
      <c r="AI83" s="205">
        <f t="shared" ca="1" si="152"/>
        <v>60899989.189881384</v>
      </c>
      <c r="AJ83" s="205">
        <f t="shared" ca="1" si="152"/>
        <v>63760380.495975062</v>
      </c>
      <c r="AK83" s="205">
        <f t="shared" ca="1" si="152"/>
        <v>66757906.372245774</v>
      </c>
      <c r="AL83" s="205">
        <f t="shared" ca="1" si="152"/>
        <v>69899141.405288547</v>
      </c>
      <c r="AM83" s="205">
        <f t="shared" ca="1" si="152"/>
        <v>73190975.384413838</v>
      </c>
      <c r="AN83" s="205">
        <f t="shared" ca="1" si="152"/>
        <v>76640628.413282365</v>
      </c>
      <c r="AO83" s="205">
        <f t="shared" ca="1" si="152"/>
        <v>80255666.746030793</v>
      </c>
      <c r="AP83" s="205">
        <f t="shared" ca="1" si="152"/>
        <v>84044019.38262248</v>
      </c>
    </row>
    <row r="84" spans="1:44" ht="14.25" x14ac:dyDescent="0.2">
      <c r="A84" s="206" t="s">
        <v>583</v>
      </c>
      <c r="B84" s="205">
        <f ca="1">SUM($B$83:B83)</f>
        <v>-43710737.840599999</v>
      </c>
      <c r="C84" s="205">
        <f ca="1">SUM($B$83:C83)</f>
        <v>-165120598.70031166</v>
      </c>
      <c r="D84" s="205">
        <f ca="1">SUM($B$83:D83)</f>
        <v>-262769705.70937103</v>
      </c>
      <c r="E84" s="205">
        <f ca="1">SUM($B$83:E83)</f>
        <v>-262769705.70937103</v>
      </c>
      <c r="F84" s="205">
        <f ca="1">SUM($B$83:F83)</f>
        <v>-236048935.50744385</v>
      </c>
      <c r="G84" s="205">
        <f ca="1">SUM($B$83:G83)</f>
        <v>-214262876.47366178</v>
      </c>
      <c r="H84" s="205">
        <f ca="1">SUM($B$83:H83)</f>
        <v>-190358276.56534973</v>
      </c>
      <c r="I84" s="205">
        <f ca="1">SUM($B$83:I83)</f>
        <v>-165366940.16413394</v>
      </c>
      <c r="J84" s="205">
        <f ca="1">SUM($B$83:J83)</f>
        <v>-139236766.30692846</v>
      </c>
      <c r="K84" s="205">
        <f ca="1">SUM($B$83:K83)</f>
        <v>-111913156.17548914</v>
      </c>
      <c r="L84" s="205">
        <f ca="1">SUM($B$83:L83)</f>
        <v>-83338893.342765585</v>
      </c>
      <c r="M84" s="205">
        <f ca="1">SUM($B$83:M83)</f>
        <v>-56015283.211326271</v>
      </c>
      <c r="N84" s="205">
        <f ca="1">SUM($B$83:N83)</f>
        <v>-27441020.378602713</v>
      </c>
      <c r="O84" s="205">
        <f ca="1">SUM($B$83:O83)</f>
        <v>-2549632.7312394679</v>
      </c>
      <c r="P84" s="205">
        <f ca="1">SUM($B$83:P83)</f>
        <v>23194595.172483474</v>
      </c>
      <c r="Q84" s="205">
        <f ca="1">SUM($B$83:Q83)</f>
        <v>50113756.101486295</v>
      </c>
      <c r="R84" s="205">
        <f ca="1">SUM($B$83:R83)</f>
        <v>78264179.389124662</v>
      </c>
      <c r="S84" s="205">
        <f ca="1">SUM($B$83:S83)</f>
        <v>107704894.94293845</v>
      </c>
      <c r="T84" s="205">
        <f ca="1">SUM($B$83:T83)</f>
        <v>138497762.7171751</v>
      </c>
      <c r="U84" s="205">
        <f ca="1">SUM($B$83:U83)</f>
        <v>170707608.39256108</v>
      </c>
      <c r="V84" s="205">
        <f ca="1">SUM($B$83:V83)</f>
        <v>204402365.56091318</v>
      </c>
      <c r="W84" s="205">
        <f ca="1">SUM($B$83:W83)</f>
        <v>239653224.72644842</v>
      </c>
      <c r="X84" s="205">
        <f ca="1">SUM($B$83:X83)</f>
        <v>276534789.45060283</v>
      </c>
      <c r="Y84" s="205">
        <f ca="1">SUM($B$83:Y83)</f>
        <v>315125239.9828375</v>
      </c>
      <c r="Z84" s="205">
        <f ca="1">SUM($B$83:Z83)</f>
        <v>355506504.73632908</v>
      </c>
      <c r="AA84" s="205">
        <f ca="1">SUM($B$83:AA83)</f>
        <v>397764439.9846496</v>
      </c>
      <c r="AB84" s="205">
        <f ca="1">SUM($B$83:AB83)</f>
        <v>441989018.17357039</v>
      </c>
      <c r="AC84" s="205">
        <f ca="1">SUM($B$83:AC83)</f>
        <v>488274525.26102185</v>
      </c>
      <c r="AD84" s="205">
        <f ca="1">SUM($B$83:AD83)</f>
        <v>536719767.51804227</v>
      </c>
      <c r="AE84" s="205">
        <f ca="1">SUM($B$83:AE83)</f>
        <v>587428288.24429977</v>
      </c>
      <c r="AF84" s="205">
        <f ca="1">SUM($B$83:AF83)</f>
        <v>640508594.87351811</v>
      </c>
      <c r="AG84" s="205">
        <f ca="1">SUM($B$83:AG83)</f>
        <v>696074396.96692455</v>
      </c>
      <c r="AH84" s="205">
        <f ca="1">SUM($B$83:AH83)</f>
        <v>754244855.6167208</v>
      </c>
      <c r="AI84" s="205">
        <f ca="1">SUM($B$83:AI83)</f>
        <v>815144844.80660224</v>
      </c>
      <c r="AJ84" s="205">
        <f ca="1">SUM($B$83:AJ83)</f>
        <v>878905225.30257726</v>
      </c>
      <c r="AK84" s="205">
        <f ca="1">SUM($B$83:AK83)</f>
        <v>945663131.67482305</v>
      </c>
      <c r="AL84" s="205">
        <f ca="1">SUM($B$83:AL83)</f>
        <v>1015562273.0801116</v>
      </c>
      <c r="AM84" s="205">
        <f ca="1">SUM($B$83:AM83)</f>
        <v>1088753248.4645255</v>
      </c>
      <c r="AN84" s="205">
        <f ca="1">SUM($B$83:AN83)</f>
        <v>1165393876.8778079</v>
      </c>
      <c r="AO84" s="205">
        <f ca="1">SUM($B$83:AO83)</f>
        <v>1245649543.6238387</v>
      </c>
      <c r="AP84" s="205">
        <f ca="1">SUM($B$83:AP83)</f>
        <v>1329693563.0064611</v>
      </c>
    </row>
    <row r="85" spans="1:44" x14ac:dyDescent="0.2">
      <c r="A85" s="252" t="s">
        <v>435</v>
      </c>
      <c r="B85" s="209">
        <f>1/POWER((1+$B$44),B73)</f>
        <v>0.9128709291752769</v>
      </c>
      <c r="C85" s="209">
        <f>1/POWER((1+$B$44),C73)</f>
        <v>0.7607257743127307</v>
      </c>
      <c r="D85" s="209">
        <f t="shared" ref="D85:AP85" si="153">1/POWER((1+$B$44),D73)</f>
        <v>0.63393814526060899</v>
      </c>
      <c r="E85" s="209">
        <f t="shared" si="153"/>
        <v>0.52828178771717416</v>
      </c>
      <c r="F85" s="209">
        <f t="shared" si="153"/>
        <v>0.44023482309764517</v>
      </c>
      <c r="G85" s="209">
        <f t="shared" si="153"/>
        <v>0.36686235258137107</v>
      </c>
      <c r="H85" s="209">
        <f t="shared" si="153"/>
        <v>0.30571862715114251</v>
      </c>
      <c r="I85" s="209">
        <f t="shared" si="153"/>
        <v>0.25476552262595203</v>
      </c>
      <c r="J85" s="209">
        <f t="shared" si="153"/>
        <v>0.21230460218829345</v>
      </c>
      <c r="K85" s="209">
        <f t="shared" si="153"/>
        <v>0.17692050182357785</v>
      </c>
      <c r="L85" s="209">
        <f t="shared" si="153"/>
        <v>0.14743375151964822</v>
      </c>
      <c r="M85" s="209">
        <f t="shared" si="153"/>
        <v>0.12286145959970685</v>
      </c>
      <c r="N85" s="209">
        <f t="shared" si="153"/>
        <v>0.10238454966642239</v>
      </c>
      <c r="O85" s="209">
        <f t="shared" si="153"/>
        <v>8.5320458055351975E-2</v>
      </c>
      <c r="P85" s="209">
        <f t="shared" si="153"/>
        <v>7.1100381712793329E-2</v>
      </c>
      <c r="Q85" s="209">
        <f t="shared" si="153"/>
        <v>5.9250318093994447E-2</v>
      </c>
      <c r="R85" s="209">
        <f t="shared" si="153"/>
        <v>4.9375265078328692E-2</v>
      </c>
      <c r="S85" s="209">
        <f t="shared" si="153"/>
        <v>4.1146054231940586E-2</v>
      </c>
      <c r="T85" s="209">
        <f t="shared" si="153"/>
        <v>3.4288378526617161E-2</v>
      </c>
      <c r="U85" s="209">
        <f t="shared" si="153"/>
        <v>2.8573648772180955E-2</v>
      </c>
      <c r="V85" s="209">
        <f t="shared" si="153"/>
        <v>2.3811373976817471E-2</v>
      </c>
      <c r="W85" s="209">
        <f t="shared" si="153"/>
        <v>1.9842811647347896E-2</v>
      </c>
      <c r="X85" s="209">
        <f t="shared" si="153"/>
        <v>1.6535676372789913E-2</v>
      </c>
      <c r="Y85" s="209">
        <f t="shared" si="153"/>
        <v>1.377973031065826E-2</v>
      </c>
      <c r="Z85" s="209">
        <f t="shared" si="153"/>
        <v>1.1483108592215211E-2</v>
      </c>
      <c r="AA85" s="209">
        <f t="shared" si="153"/>
        <v>9.5692571601793501E-3</v>
      </c>
      <c r="AB85" s="209">
        <f t="shared" si="153"/>
        <v>7.9743809668161216E-3</v>
      </c>
      <c r="AC85" s="209">
        <f t="shared" si="153"/>
        <v>6.6453174723467663E-3</v>
      </c>
      <c r="AD85" s="209">
        <f t="shared" si="153"/>
        <v>5.5377645602889755E-3</v>
      </c>
      <c r="AE85" s="209">
        <f t="shared" si="153"/>
        <v>4.6148038002408118E-3</v>
      </c>
      <c r="AF85" s="209">
        <f t="shared" si="153"/>
        <v>3.8456698335340087E-3</v>
      </c>
      <c r="AG85" s="209">
        <f t="shared" si="153"/>
        <v>3.2047248612783424E-3</v>
      </c>
      <c r="AH85" s="209">
        <f t="shared" si="153"/>
        <v>2.6706040510652848E-3</v>
      </c>
      <c r="AI85" s="209">
        <f t="shared" si="153"/>
        <v>2.2255033758877387E-3</v>
      </c>
      <c r="AJ85" s="209">
        <f t="shared" si="153"/>
        <v>1.8545861465731151E-3</v>
      </c>
      <c r="AK85" s="209">
        <f t="shared" si="153"/>
        <v>1.5454884554775956E-3</v>
      </c>
      <c r="AL85" s="209">
        <f t="shared" si="153"/>
        <v>1.2879070462313304E-3</v>
      </c>
      <c r="AM85" s="209">
        <f t="shared" si="153"/>
        <v>1</v>
      </c>
      <c r="AN85" s="209">
        <f t="shared" si="153"/>
        <v>0.83333333333333337</v>
      </c>
      <c r="AO85" s="209">
        <f t="shared" si="153"/>
        <v>0.7607257743127307</v>
      </c>
      <c r="AP85" s="209">
        <f t="shared" si="153"/>
        <v>0.63393814526060899</v>
      </c>
    </row>
    <row r="86" spans="1:44" ht="28.5" x14ac:dyDescent="0.2">
      <c r="A86" s="204" t="s">
        <v>584</v>
      </c>
      <c r="B86" s="205">
        <f ca="1">B83*B85</f>
        <v>-43710737.840599999</v>
      </c>
      <c r="C86" s="205">
        <f ca="1">C83*C85</f>
        <v>-121409860.85971166</v>
      </c>
      <c r="D86" s="205">
        <f t="shared" ref="D86:AO86" ca="1" si="154">D83*D85</f>
        <v>-93159835.674278572</v>
      </c>
      <c r="E86" s="205">
        <f t="shared" ca="1" si="154"/>
        <v>0</v>
      </c>
      <c r="F86" s="205">
        <f t="shared" ca="1" si="154"/>
        <v>21117920.997274142</v>
      </c>
      <c r="G86" s="205">
        <f t="shared" ca="1" si="154"/>
        <v>15671181.491460573</v>
      </c>
      <c r="H86" s="205">
        <f t="shared" ca="1" si="154"/>
        <v>15650399.173272621</v>
      </c>
      <c r="I86" s="205">
        <f t="shared" ca="1" si="154"/>
        <v>14892043.482622933</v>
      </c>
      <c r="J86" s="205">
        <f t="shared" ca="1" si="154"/>
        <v>14171897.088191597</v>
      </c>
      <c r="K86" s="205">
        <f t="shared" ca="1" si="154"/>
        <v>13487909.586422246</v>
      </c>
      <c r="L86" s="205">
        <f t="shared" ca="1" si="154"/>
        <v>12838150.920160782</v>
      </c>
      <c r="M86" s="205">
        <f t="shared" ca="1" si="154"/>
        <v>11173427.028621837</v>
      </c>
      <c r="N86" s="205">
        <f t="shared" ca="1" si="154"/>
        <v>10635164.891174277</v>
      </c>
      <c r="O86" s="205">
        <f t="shared" ca="1" si="154"/>
        <v>8432166.558032304</v>
      </c>
      <c r="P86" s="205">
        <f t="shared" ca="1" si="154"/>
        <v>7937629.3396483175</v>
      </c>
      <c r="Q86" s="205">
        <f t="shared" ca="1" si="154"/>
        <v>7554284.5204280959</v>
      </c>
      <c r="R86" s="205">
        <f t="shared" ca="1" si="154"/>
        <v>7190144.5930197518</v>
      </c>
      <c r="S86" s="205">
        <f t="shared" ca="1" si="154"/>
        <v>6844188.0127302539</v>
      </c>
      <c r="T86" s="205">
        <f t="shared" ca="1" si="154"/>
        <v>6515452.4945690837</v>
      </c>
      <c r="U86" s="205">
        <f t="shared" ca="1" si="154"/>
        <v>6203031.1915941192</v>
      </c>
      <c r="V86" s="205">
        <f t="shared" ca="1" si="154"/>
        <v>5906069.1471879454</v>
      </c>
      <c r="W86" s="205">
        <f t="shared" ca="1" si="154"/>
        <v>5623759.9998616744</v>
      </c>
      <c r="X86" s="205">
        <f t="shared" ca="1" si="154"/>
        <v>5355342.9209581465</v>
      </c>
      <c r="Y86" s="205">
        <f t="shared" ca="1" si="154"/>
        <v>5100099.7672482748</v>
      </c>
      <c r="Z86" s="205">
        <f t="shared" ca="1" si="154"/>
        <v>4857352.4318972463</v>
      </c>
      <c r="AA86" s="205">
        <f t="shared" ca="1" si="154"/>
        <v>4626460.3786330801</v>
      </c>
      <c r="AB86" s="205">
        <f t="shared" ca="1" si="154"/>
        <v>4406818.3451900957</v>
      </c>
      <c r="AC86" s="205">
        <f t="shared" ca="1" si="154"/>
        <v>4197854.2032340383</v>
      </c>
      <c r="AD86" s="205">
        <f t="shared" ca="1" si="154"/>
        <v>3999026.9630134557</v>
      </c>
      <c r="AE86" s="205">
        <f t="shared" ca="1" si="154"/>
        <v>3809824.9119315417</v>
      </c>
      <c r="AF86" s="205">
        <f t="shared" ca="1" si="154"/>
        <v>3629763.8771019992</v>
      </c>
      <c r="AG86" s="205">
        <f t="shared" ca="1" si="154"/>
        <v>3458385.6027483498</v>
      </c>
      <c r="AH86" s="205">
        <f t="shared" ca="1" si="154"/>
        <v>3295256.2340349588</v>
      </c>
      <c r="AI86" s="205">
        <f t="shared" ca="1" si="154"/>
        <v>3139964.8995856936</v>
      </c>
      <c r="AJ86" s="205">
        <f t="shared" ca="1" si="154"/>
        <v>2992122.3855578955</v>
      </c>
      <c r="AK86" s="205">
        <f t="shared" ca="1" si="154"/>
        <v>2851359.8946999703</v>
      </c>
      <c r="AL86" s="205">
        <f t="shared" ca="1" si="154"/>
        <v>2717327.8843348785</v>
      </c>
      <c r="AM86" s="205">
        <f t="shared" ca="1" si="154"/>
        <v>2589694.9776832205</v>
      </c>
      <c r="AN86" s="205">
        <f t="shared" ca="1" si="154"/>
        <v>2468146.9433719018</v>
      </c>
      <c r="AO86" s="205">
        <f t="shared" ca="1" si="154"/>
        <v>2352385.7383711245</v>
      </c>
      <c r="AP86" s="205">
        <f ca="1">AP83*AP85</f>
        <v>2242128.6099666548</v>
      </c>
    </row>
    <row r="87" spans="1:44" ht="14.25" x14ac:dyDescent="0.2">
      <c r="A87" s="204" t="s">
        <v>585</v>
      </c>
      <c r="B87" s="205">
        <f ca="1">SUM($B$86:B86)</f>
        <v>-43710737.840599999</v>
      </c>
      <c r="C87" s="205">
        <f ca="1">SUM($B$86:C86)</f>
        <v>-165120598.70031166</v>
      </c>
      <c r="D87" s="205">
        <f ca="1">SUM($B$86:D86)</f>
        <v>-258280434.37459022</v>
      </c>
      <c r="E87" s="205">
        <f ca="1">SUM($B$86:E86)</f>
        <v>-258280434.37459022</v>
      </c>
      <c r="F87" s="205">
        <f ca="1">SUM($B$86:F86)</f>
        <v>-237162513.37731609</v>
      </c>
      <c r="G87" s="205">
        <f ca="1">SUM($B$86:G86)</f>
        <v>-221491331.88585553</v>
      </c>
      <c r="H87" s="205">
        <f ca="1">SUM($B$86:H86)</f>
        <v>-205840932.71258292</v>
      </c>
      <c r="I87" s="205">
        <f ca="1">SUM($B$86:I86)</f>
        <v>-190948889.22995999</v>
      </c>
      <c r="J87" s="205">
        <f ca="1">SUM($B$86:J86)</f>
        <v>-176776992.1417684</v>
      </c>
      <c r="K87" s="205">
        <f ca="1">SUM($B$86:K86)</f>
        <v>-163289082.55534616</v>
      </c>
      <c r="L87" s="205">
        <f ca="1">SUM($B$86:L86)</f>
        <v>-150450931.63518539</v>
      </c>
      <c r="M87" s="205">
        <f ca="1">SUM($B$86:M86)</f>
        <v>-139277504.60656357</v>
      </c>
      <c r="N87" s="205">
        <f ca="1">SUM($B$86:N86)</f>
        <v>-128642339.7153893</v>
      </c>
      <c r="O87" s="205">
        <f ca="1">SUM($B$86:O86)</f>
        <v>-120210173.15735699</v>
      </c>
      <c r="P87" s="205">
        <f ca="1">SUM($B$86:P86)</f>
        <v>-112272543.81770867</v>
      </c>
      <c r="Q87" s="205">
        <f ca="1">SUM($B$86:Q86)</f>
        <v>-104718259.29728058</v>
      </c>
      <c r="R87" s="205">
        <f ca="1">SUM($B$86:R86)</f>
        <v>-97528114.704260826</v>
      </c>
      <c r="S87" s="205">
        <f ca="1">SUM($B$86:S86)</f>
        <v>-90683926.69153057</v>
      </c>
      <c r="T87" s="205">
        <f ca="1">SUM($B$86:T86)</f>
        <v>-84168474.196961492</v>
      </c>
      <c r="U87" s="205">
        <f ca="1">SUM($B$86:U86)</f>
        <v>-77965443.005367368</v>
      </c>
      <c r="V87" s="205">
        <f ca="1">SUM($B$86:V86)</f>
        <v>-72059373.85817942</v>
      </c>
      <c r="W87" s="205">
        <f ca="1">SUM($B$86:W86)</f>
        <v>-66435613.858317748</v>
      </c>
      <c r="X87" s="205">
        <f ca="1">SUM($B$86:X86)</f>
        <v>-61080270.937359601</v>
      </c>
      <c r="Y87" s="205">
        <f ca="1">SUM($B$86:Y86)</f>
        <v>-55980171.170111328</v>
      </c>
      <c r="Z87" s="205">
        <f ca="1">SUM($B$86:Z86)</f>
        <v>-51122818.738214083</v>
      </c>
      <c r="AA87" s="205">
        <f ca="1">SUM($B$86:AA86)</f>
        <v>-46496358.359581001</v>
      </c>
      <c r="AB87" s="205">
        <f ca="1">SUM($B$86:AB86)</f>
        <v>-42089540.014390908</v>
      </c>
      <c r="AC87" s="205">
        <f ca="1">SUM($B$86:AC86)</f>
        <v>-37891685.811156869</v>
      </c>
      <c r="AD87" s="205">
        <f ca="1">SUM($B$86:AD86)</f>
        <v>-33892658.848143414</v>
      </c>
      <c r="AE87" s="205">
        <f ca="1">SUM($B$86:AE86)</f>
        <v>-30082833.936211873</v>
      </c>
      <c r="AF87" s="205">
        <f ca="1">SUM($B$86:AF86)</f>
        <v>-26453070.059109874</v>
      </c>
      <c r="AG87" s="205">
        <f ca="1">SUM($B$86:AG86)</f>
        <v>-22994684.456361525</v>
      </c>
      <c r="AH87" s="205">
        <f ca="1">SUM($B$86:AH86)</f>
        <v>-19699428.222326566</v>
      </c>
      <c r="AI87" s="205">
        <f ca="1">SUM($B$86:AI86)</f>
        <v>-16559463.322740871</v>
      </c>
      <c r="AJ87" s="205">
        <f ca="1">SUM($B$86:AJ86)</f>
        <v>-13567340.937182976</v>
      </c>
      <c r="AK87" s="205">
        <f ca="1">SUM($B$86:AK86)</f>
        <v>-10715981.042483006</v>
      </c>
      <c r="AL87" s="205">
        <f ca="1">SUM($B$86:AL86)</f>
        <v>-7998653.1581481267</v>
      </c>
      <c r="AM87" s="205">
        <f ca="1">SUM($B$86:AM86)</f>
        <v>-5408958.1804649066</v>
      </c>
      <c r="AN87" s="205">
        <f ca="1">SUM($B$86:AN86)</f>
        <v>-2940811.2370930049</v>
      </c>
      <c r="AO87" s="205">
        <f ca="1">SUM($B$86:AO86)</f>
        <v>-588425.49872188037</v>
      </c>
      <c r="AP87" s="205">
        <f ca="1">SUM($B$86:AP86)</f>
        <v>1653703.1112447744</v>
      </c>
    </row>
    <row r="88" spans="1:44" ht="14.25" x14ac:dyDescent="0.2">
      <c r="A88" s="204" t="s">
        <v>586</v>
      </c>
      <c r="B88" s="210">
        <f ca="1">IF((ISERR(IRR($B$83:B83))),0,IF(IRR($B$83:B83)&lt;0,0,IRR($B$83:B83)))</f>
        <v>0</v>
      </c>
      <c r="C88" s="211">
        <f ca="1">IF((ISERR(IRR($B$83:C83))),0,IF(IRR($B$83:C83)&lt;0,0,IRR($B$83:C83)))</f>
        <v>0</v>
      </c>
      <c r="D88" s="211">
        <f ca="1">IF((ISERR(IRR($B$83:D83))),0,IF(IRR($B$83:D83)&lt;0,0,IRR($B$83:D83)))</f>
        <v>0</v>
      </c>
      <c r="E88" s="211">
        <f ca="1">IF((ISERR(IRR($B$83:E83))),0,IF(IRR($B$83:E83)&lt;0,0,IRR($B$83:E83)))</f>
        <v>0</v>
      </c>
      <c r="F88" s="211">
        <f ca="1">IF((ISERR(IRR($B$83:F83))),0,IF(IRR($B$83:F83)&lt;0,0,IRR($B$83:F83)))</f>
        <v>0</v>
      </c>
      <c r="G88" s="211">
        <f ca="1">IF((ISERR(IRR($B$83:G83))),0,IF(IRR($B$83:G83)&lt;0,0,IRR($B$83:G83)))</f>
        <v>0</v>
      </c>
      <c r="H88" s="211">
        <f ca="1">IF((ISERR(IRR($B$83:H83))),0,IF(IRR($B$83:H83)&lt;0,0,IRR($B$83:H83)))</f>
        <v>0</v>
      </c>
      <c r="I88" s="211">
        <f ca="1">IF((ISERR(IRR($B$83:I83))),0,IF(IRR($B$83:I83)&lt;0,0,IRR($B$83:I83)))</f>
        <v>0</v>
      </c>
      <c r="J88" s="211">
        <f ca="1">IF((ISERR(IRR($B$83:J83))),0,IF(IRR($B$83:J83)&lt;0,0,IRR($B$83:J83)))</f>
        <v>0</v>
      </c>
      <c r="K88" s="211">
        <f ca="1">IF((ISERR(IRR($B$83:K83))),0,IF(IRR($B$83:K83)&lt;0,0,IRR($B$83:K83)))</f>
        <v>0</v>
      </c>
      <c r="L88" s="211">
        <f ca="1">IF((ISERR(IRR($B$83:L83))),0,IF(IRR($B$83:L83)&lt;0,0,IRR($B$83:L83)))</f>
        <v>0</v>
      </c>
      <c r="M88" s="211">
        <f ca="1">IF((ISERR(IRR($B$83:M83))),0,IF(IRR($B$83:M83)&lt;0,0,IRR($B$83:M83)))</f>
        <v>0</v>
      </c>
      <c r="N88" s="211">
        <f ca="1">IF((ISERR(IRR($B$83:N83))),0,IF(IRR($B$83:N83)&lt;0,0,IRR($B$83:N83)))</f>
        <v>0</v>
      </c>
      <c r="O88" s="211">
        <f ca="1">IF((ISERR(IRR($B$83:O83))),0,IF(IRR($B$83:O83)&lt;0,0,IRR($B$83:O83)))</f>
        <v>0</v>
      </c>
      <c r="P88" s="211">
        <f ca="1">IF((ISERR(IRR($B$83:P83))),0,IF(IRR($B$83:P83)&lt;0,0,IRR($B$83:P83)))</f>
        <v>1.0840951578607427E-2</v>
      </c>
      <c r="Q88" s="211">
        <f ca="1">IF((ISERR(IRR($B$83:Q83))),0,IF(IRR($B$83:Q83)&lt;0,0,IRR($B$83:Q83)))</f>
        <v>2.1292477685078248E-2</v>
      </c>
      <c r="R88" s="211">
        <f ca="1">IF((ISERR(IRR($B$83:R83))),0,IF(IRR($B$83:R83)&lt;0,0,IRR($B$83:R83)))</f>
        <v>3.0307787182567658E-2</v>
      </c>
      <c r="S88" s="211">
        <f ca="1">IF((ISERR(IRR($B$83:S83))),0,IF(IRR($B$83:S83)&lt;0,0,IRR($B$83:S83)))</f>
        <v>3.8115289448772405E-2</v>
      </c>
      <c r="T88" s="211">
        <f ca="1">IF((ISERR(IRR($B$83:T83))),0,IF(IRR($B$83:T83)&lt;0,0,IRR($B$83:T83)))</f>
        <v>4.4906065760488056E-2</v>
      </c>
      <c r="U88" s="211">
        <f ca="1">IF((ISERR(IRR($B$83:U83))),0,IF(IRR($B$83:U83)&lt;0,0,IRR($B$83:U83)))</f>
        <v>5.0838470341196818E-2</v>
      </c>
      <c r="V88" s="211">
        <f ca="1">IF((ISERR(IRR($B$83:V83))),0,IF(IRR($B$83:V83)&lt;0,0,IRR($B$83:V83)))</f>
        <v>5.6043339087117561E-2</v>
      </c>
      <c r="W88" s="211">
        <f ca="1">IF((ISERR(IRR($B$83:W83))),0,IF(IRR($B$83:W83)&lt;0,0,IRR($B$83:W83)))</f>
        <v>6.0628829358995828E-2</v>
      </c>
      <c r="X88" s="211">
        <f ca="1">IF((ISERR(IRR($B$83:X83))),0,IF(IRR($B$83:X83)&lt;0,0,IRR($B$83:X83)))</f>
        <v>6.4684578992326935E-2</v>
      </c>
      <c r="Y88" s="211">
        <f ca="1">IF((ISERR(IRR($B$83:Y83))),0,IF(IRR($B$83:Y83)&lt;0,0,IRR($B$83:Y83)))</f>
        <v>6.828515090993359E-2</v>
      </c>
      <c r="Z88" s="211">
        <f ca="1">IF((ISERR(IRR($B$83:Z83))),0,IF(IRR($B$83:Z83)&lt;0,0,IRR($B$83:Z83)))</f>
        <v>7.1492834504882419E-2</v>
      </c>
      <c r="AA88" s="211">
        <f ca="1">IF((ISERR(IRR($B$83:AA83))),0,IF(IRR($B$83:AA83)&lt;0,0,IRR($B$83:AA83)))</f>
        <v>7.4359904436373858E-2</v>
      </c>
      <c r="AB88" s="211">
        <f ca="1">IF((ISERR(IRR($B$83:AB83))),0,IF(IRR($B$83:AB83)&lt;0,0,IRR($B$83:AB83)))</f>
        <v>7.6930436154351689E-2</v>
      </c>
      <c r="AC88" s="211">
        <f ca="1">IF((ISERR(IRR($B$83:AC83))),0,IF(IRR($B$83:AC83)&lt;0,0,IRR($B$83:AC83)))</f>
        <v>7.9241765141661702E-2</v>
      </c>
      <c r="AD88" s="211">
        <f ca="1">IF((ISERR(IRR($B$83:AD83))),0,IF(IRR($B$83:AD83)&lt;0,0,IRR($B$83:AD83)))</f>
        <v>8.1325662039024138E-2</v>
      </c>
      <c r="AE88" s="211">
        <f ca="1">IF((ISERR(IRR($B$83:AE83))),0,IF(IRR($B$83:AE83)&lt;0,0,IRR($B$83:AE83)))</f>
        <v>8.3209281887221431E-2</v>
      </c>
      <c r="AF88" s="211">
        <f ca="1">IF((ISERR(IRR($B$83:AF83))),0,IF(IRR($B$83:AF83)&lt;0,0,IRR($B$83:AF83)))</f>
        <v>8.4915933805127075E-2</v>
      </c>
      <c r="AG88" s="211">
        <f ca="1">IF((ISERR(IRR($B$83:AG83))),0,IF(IRR($B$83:AG83)&lt;0,0,IRR($B$83:AG83)))</f>
        <v>8.6465707682304771E-2</v>
      </c>
      <c r="AH88" s="211">
        <f ca="1">IF((ISERR(IRR($B$83:AH83))),0,IF(IRR($B$83:AH83)&lt;0,0,IRR($B$83:AH83)))</f>
        <v>8.7875986691590358E-2</v>
      </c>
      <c r="AI88" s="211">
        <f ca="1">IF((ISERR(IRR($B$83:AI83))),0,IF(IRR($B$83:AI83)&lt;0,0,IRR($B$83:AI83)))</f>
        <v>8.9161868302029657E-2</v>
      </c>
      <c r="AJ88" s="211">
        <f ca="1">IF((ISERR(IRR($B$83:AJ83))),0,IF(IRR($B$83:AJ83)&lt;0,0,IRR($B$83:AJ83)))</f>
        <v>9.0336511677189923E-2</v>
      </c>
      <c r="AK88" s="211">
        <f ca="1">IF((ISERR(IRR($B$83:AK83))),0,IF(IRR($B$83:AK83)&lt;0,0,IRR($B$83:AK83)))</f>
        <v>9.1411425599248863E-2</v>
      </c>
      <c r="AL88" s="211">
        <f ca="1">IF((ISERR(IRR($B$83:AL83))),0,IF(IRR($B$83:AL83)&lt;0,0,IRR($B$83:AL83)))</f>
        <v>9.2396708135632055E-2</v>
      </c>
      <c r="AM88" s="211">
        <f ca="1">IF((ISERR(IRR($B$83:AM83))),0,IF(IRR($B$83:AM83)&lt;0,0,IRR($B$83:AM83)))</f>
        <v>9.3301246979102803E-2</v>
      </c>
      <c r="AN88" s="211">
        <f ca="1">IF((ISERR(IRR($B$83:AN83))),0,IF(IRR($B$83:AN83)&lt;0,0,IRR($B$83:AN83)))</f>
        <v>9.4132887600653303E-2</v>
      </c>
      <c r="AO88" s="211">
        <f ca="1">IF((ISERR(IRR($B$83:AO83))),0,IF(IRR($B$83:AO83)&lt;0,0,IRR($B$83:AO83)))</f>
        <v>9.4898574946031378E-2</v>
      </c>
      <c r="AP88" s="211">
        <f ca="1">IF((ISERR(IRR($B$83:AP83))),0,IF(IRR($B$83:AP83)&lt;0,0,IRR($B$83:AP83)))</f>
        <v>9.5604473295449965E-2</v>
      </c>
    </row>
    <row r="89" spans="1:44" ht="14.25" x14ac:dyDescent="0.2">
      <c r="A89" s="204" t="s">
        <v>587</v>
      </c>
      <c r="B89" s="212">
        <f ca="1">IF(AND(B84&gt;0,A84&lt;0),(B74-(B84/(B84-A84))),0)</f>
        <v>0</v>
      </c>
      <c r="C89" s="212">
        <f t="shared" ref="C89:AP89" ca="1" si="155">IF(AND(C84&gt;0,B84&lt;0),(C74-(C84/(C84-B84))),0)</f>
        <v>0</v>
      </c>
      <c r="D89" s="212">
        <f t="shared" ca="1" si="155"/>
        <v>0</v>
      </c>
      <c r="E89" s="212">
        <f t="shared" ca="1" si="155"/>
        <v>0</v>
      </c>
      <c r="F89" s="212">
        <f t="shared" ca="1" si="155"/>
        <v>0</v>
      </c>
      <c r="G89" s="212">
        <f t="shared" ca="1" si="155"/>
        <v>0</v>
      </c>
      <c r="H89" s="212">
        <f ca="1">IF(AND(H84&gt;0,G84&lt;0),(H74-(H84/(H84-G84))),0)</f>
        <v>0</v>
      </c>
      <c r="I89" s="212">
        <f t="shared" ca="1" si="155"/>
        <v>0</v>
      </c>
      <c r="J89" s="212">
        <f t="shared" ca="1" si="155"/>
        <v>0</v>
      </c>
      <c r="K89" s="212">
        <f t="shared" ca="1" si="155"/>
        <v>0</v>
      </c>
      <c r="L89" s="212">
        <f ca="1">IF(AND(L84&gt;0,K84&lt;0),(L74-(L84/(L84-K84))),0)</f>
        <v>0</v>
      </c>
      <c r="M89" s="212">
        <f t="shared" ca="1" si="155"/>
        <v>0</v>
      </c>
      <c r="N89" s="212">
        <f t="shared" ca="1" si="155"/>
        <v>0</v>
      </c>
      <c r="O89" s="212">
        <f t="shared" ca="1" si="155"/>
        <v>0</v>
      </c>
      <c r="P89" s="212">
        <f t="shared" ca="1" si="155"/>
        <v>14.099037063405998</v>
      </c>
      <c r="Q89" s="212">
        <f t="shared" ca="1" si="155"/>
        <v>0</v>
      </c>
      <c r="R89" s="212">
        <f t="shared" ca="1" si="155"/>
        <v>0</v>
      </c>
      <c r="S89" s="212">
        <f t="shared" ca="1" si="155"/>
        <v>0</v>
      </c>
      <c r="T89" s="212">
        <f t="shared" ca="1" si="155"/>
        <v>0</v>
      </c>
      <c r="U89" s="212">
        <f t="shared" ca="1" si="155"/>
        <v>0</v>
      </c>
      <c r="V89" s="212">
        <f t="shared" ca="1" si="155"/>
        <v>0</v>
      </c>
      <c r="W89" s="212">
        <f t="shared" ca="1" si="155"/>
        <v>0</v>
      </c>
      <c r="X89" s="212">
        <f t="shared" ca="1" si="155"/>
        <v>0</v>
      </c>
      <c r="Y89" s="212">
        <f t="shared" ca="1" si="155"/>
        <v>0</v>
      </c>
      <c r="Z89" s="212">
        <f t="shared" ca="1" si="155"/>
        <v>0</v>
      </c>
      <c r="AA89" s="212">
        <f t="shared" ca="1" si="155"/>
        <v>0</v>
      </c>
      <c r="AB89" s="212">
        <f t="shared" ca="1" si="155"/>
        <v>0</v>
      </c>
      <c r="AC89" s="212">
        <f t="shared" ca="1" si="155"/>
        <v>0</v>
      </c>
      <c r="AD89" s="212">
        <f t="shared" ca="1" si="155"/>
        <v>0</v>
      </c>
      <c r="AE89" s="212">
        <f t="shared" ca="1" si="155"/>
        <v>0</v>
      </c>
      <c r="AF89" s="212">
        <f t="shared" ca="1" si="155"/>
        <v>0</v>
      </c>
      <c r="AG89" s="212">
        <f t="shared" ca="1" si="155"/>
        <v>0</v>
      </c>
      <c r="AH89" s="212">
        <f t="shared" ca="1" si="155"/>
        <v>0</v>
      </c>
      <c r="AI89" s="212">
        <f t="shared" ca="1" si="155"/>
        <v>0</v>
      </c>
      <c r="AJ89" s="212">
        <f t="shared" ca="1" si="155"/>
        <v>0</v>
      </c>
      <c r="AK89" s="212">
        <f t="shared" ca="1" si="155"/>
        <v>0</v>
      </c>
      <c r="AL89" s="212">
        <f t="shared" ca="1" si="155"/>
        <v>0</v>
      </c>
      <c r="AM89" s="212">
        <f t="shared" ca="1" si="155"/>
        <v>0</v>
      </c>
      <c r="AN89" s="212">
        <f t="shared" ca="1" si="155"/>
        <v>0</v>
      </c>
      <c r="AO89" s="212">
        <f t="shared" ca="1" si="155"/>
        <v>0</v>
      </c>
      <c r="AP89" s="212">
        <f t="shared" ca="1" si="155"/>
        <v>0</v>
      </c>
    </row>
    <row r="90" spans="1:44" ht="15" thickBot="1" x14ac:dyDescent="0.25">
      <c r="A90" s="213" t="s">
        <v>588</v>
      </c>
      <c r="B90" s="214">
        <f t="shared" ref="B90:AP90" ca="1" si="156">IF(AND(B87&gt;0,A87&lt;0),(B74-(B87/(B87-A87))),0)</f>
        <v>0</v>
      </c>
      <c r="C90" s="214">
        <f t="shared" ca="1" si="156"/>
        <v>0</v>
      </c>
      <c r="D90" s="214">
        <f t="shared" ca="1" si="156"/>
        <v>0</v>
      </c>
      <c r="E90" s="214">
        <f t="shared" ca="1" si="156"/>
        <v>0</v>
      </c>
      <c r="F90" s="214">
        <f t="shared" ca="1" si="156"/>
        <v>0</v>
      </c>
      <c r="G90" s="214">
        <f t="shared" ca="1" si="156"/>
        <v>0</v>
      </c>
      <c r="H90" s="214">
        <f t="shared" ca="1" si="156"/>
        <v>0</v>
      </c>
      <c r="I90" s="214">
        <f t="shared" ca="1" si="156"/>
        <v>0</v>
      </c>
      <c r="J90" s="214">
        <f t="shared" ca="1" si="156"/>
        <v>0</v>
      </c>
      <c r="K90" s="214">
        <f t="shared" ca="1" si="156"/>
        <v>0</v>
      </c>
      <c r="L90" s="214">
        <f t="shared" ca="1" si="156"/>
        <v>0</v>
      </c>
      <c r="M90" s="214">
        <f t="shared" ca="1" si="156"/>
        <v>0</v>
      </c>
      <c r="N90" s="214">
        <f t="shared" ca="1" si="156"/>
        <v>0</v>
      </c>
      <c r="O90" s="214">
        <f t="shared" ca="1" si="156"/>
        <v>0</v>
      </c>
      <c r="P90" s="214">
        <f t="shared" ca="1" si="156"/>
        <v>0</v>
      </c>
      <c r="Q90" s="214">
        <f t="shared" ca="1" si="156"/>
        <v>0</v>
      </c>
      <c r="R90" s="214">
        <f t="shared" ca="1" si="156"/>
        <v>0</v>
      </c>
      <c r="S90" s="214">
        <f t="shared" ca="1" si="156"/>
        <v>0</v>
      </c>
      <c r="T90" s="214">
        <f t="shared" ca="1" si="156"/>
        <v>0</v>
      </c>
      <c r="U90" s="214">
        <f t="shared" ca="1" si="156"/>
        <v>0</v>
      </c>
      <c r="V90" s="214">
        <f t="shared" ca="1" si="156"/>
        <v>0</v>
      </c>
      <c r="W90" s="214">
        <f t="shared" ca="1" si="156"/>
        <v>0</v>
      </c>
      <c r="X90" s="214">
        <f t="shared" ca="1" si="156"/>
        <v>0</v>
      </c>
      <c r="Y90" s="214">
        <f t="shared" ca="1" si="156"/>
        <v>0</v>
      </c>
      <c r="Z90" s="214">
        <f t="shared" ca="1" si="156"/>
        <v>0</v>
      </c>
      <c r="AA90" s="214">
        <f t="shared" ca="1" si="156"/>
        <v>0</v>
      </c>
      <c r="AB90" s="214">
        <f t="shared" ca="1" si="156"/>
        <v>0</v>
      </c>
      <c r="AC90" s="214">
        <f t="shared" ca="1" si="156"/>
        <v>0</v>
      </c>
      <c r="AD90" s="214">
        <f t="shared" ca="1" si="156"/>
        <v>0</v>
      </c>
      <c r="AE90" s="214">
        <f t="shared" ca="1" si="156"/>
        <v>0</v>
      </c>
      <c r="AF90" s="214">
        <f t="shared" ca="1" si="156"/>
        <v>0</v>
      </c>
      <c r="AG90" s="214">
        <f t="shared" ca="1" si="156"/>
        <v>0</v>
      </c>
      <c r="AH90" s="214">
        <f t="shared" ca="1" si="156"/>
        <v>0</v>
      </c>
      <c r="AI90" s="214">
        <f t="shared" ca="1" si="156"/>
        <v>0</v>
      </c>
      <c r="AJ90" s="214">
        <f t="shared" ca="1" si="156"/>
        <v>0</v>
      </c>
      <c r="AK90" s="214">
        <f t="shared" ca="1" si="156"/>
        <v>0</v>
      </c>
      <c r="AL90" s="214">
        <f t="shared" ca="1" si="156"/>
        <v>0</v>
      </c>
      <c r="AM90" s="214">
        <f t="shared" ca="1" si="156"/>
        <v>0</v>
      </c>
      <c r="AN90" s="214">
        <f t="shared" ca="1" si="156"/>
        <v>0</v>
      </c>
      <c r="AO90" s="214">
        <f t="shared" ca="1" si="156"/>
        <v>0</v>
      </c>
      <c r="AP90" s="214">
        <f t="shared" ca="1" si="156"/>
        <v>40.262440564785727</v>
      </c>
    </row>
    <row r="91" spans="1:44" x14ac:dyDescent="0.2">
      <c r="B91" s="255">
        <v>2022</v>
      </c>
      <c r="C91" s="255">
        <f>B91+1</f>
        <v>2023</v>
      </c>
      <c r="D91" s="220">
        <f t="shared" ref="D91:AP91" si="157">C91+1</f>
        <v>2024</v>
      </c>
      <c r="E91" s="220">
        <f t="shared" si="157"/>
        <v>2025</v>
      </c>
      <c r="F91" s="220">
        <f t="shared" si="157"/>
        <v>2026</v>
      </c>
      <c r="G91" s="220">
        <f t="shared" si="157"/>
        <v>2027</v>
      </c>
      <c r="H91" s="220">
        <f t="shared" si="157"/>
        <v>2028</v>
      </c>
      <c r="I91" s="220">
        <f t="shared" si="157"/>
        <v>2029</v>
      </c>
      <c r="J91" s="220">
        <f t="shared" si="157"/>
        <v>2030</v>
      </c>
      <c r="K91" s="220">
        <f t="shared" si="157"/>
        <v>2031</v>
      </c>
      <c r="L91" s="220">
        <f t="shared" si="157"/>
        <v>2032</v>
      </c>
      <c r="M91" s="220">
        <f t="shared" si="157"/>
        <v>2033</v>
      </c>
      <c r="N91" s="220">
        <f t="shared" si="157"/>
        <v>2034</v>
      </c>
      <c r="O91" s="220">
        <f t="shared" si="157"/>
        <v>2035</v>
      </c>
      <c r="P91" s="220">
        <f t="shared" si="157"/>
        <v>2036</v>
      </c>
      <c r="Q91" s="220">
        <f t="shared" si="157"/>
        <v>2037</v>
      </c>
      <c r="R91" s="220">
        <f t="shared" si="157"/>
        <v>2038</v>
      </c>
      <c r="S91" s="220">
        <f t="shared" si="157"/>
        <v>2039</v>
      </c>
      <c r="T91" s="220">
        <f t="shared" si="157"/>
        <v>2040</v>
      </c>
      <c r="U91" s="220">
        <f t="shared" si="157"/>
        <v>2041</v>
      </c>
      <c r="V91" s="220">
        <f t="shared" si="157"/>
        <v>2042</v>
      </c>
      <c r="W91" s="220">
        <f t="shared" si="157"/>
        <v>2043</v>
      </c>
      <c r="X91" s="220">
        <f t="shared" si="157"/>
        <v>2044</v>
      </c>
      <c r="Y91" s="220">
        <f t="shared" si="157"/>
        <v>2045</v>
      </c>
      <c r="Z91" s="220">
        <f t="shared" si="157"/>
        <v>2046</v>
      </c>
      <c r="AA91" s="220">
        <f t="shared" si="157"/>
        <v>2047</v>
      </c>
      <c r="AB91" s="220">
        <f t="shared" si="157"/>
        <v>2048</v>
      </c>
      <c r="AC91" s="220">
        <f t="shared" si="157"/>
        <v>2049</v>
      </c>
      <c r="AD91" s="220">
        <f t="shared" si="157"/>
        <v>2050</v>
      </c>
      <c r="AE91" s="220">
        <f t="shared" si="157"/>
        <v>2051</v>
      </c>
      <c r="AF91" s="220">
        <f t="shared" si="157"/>
        <v>2052</v>
      </c>
      <c r="AG91" s="220">
        <f t="shared" si="157"/>
        <v>2053</v>
      </c>
      <c r="AH91" s="220">
        <f t="shared" si="157"/>
        <v>2054</v>
      </c>
      <c r="AI91" s="220">
        <f t="shared" si="157"/>
        <v>2055</v>
      </c>
      <c r="AJ91" s="220">
        <f t="shared" si="157"/>
        <v>2056</v>
      </c>
      <c r="AK91" s="220">
        <f t="shared" si="157"/>
        <v>2057</v>
      </c>
      <c r="AL91" s="220">
        <f t="shared" si="157"/>
        <v>2058</v>
      </c>
      <c r="AM91" s="220">
        <f t="shared" si="157"/>
        <v>2059</v>
      </c>
      <c r="AN91" s="220">
        <f t="shared" si="157"/>
        <v>2060</v>
      </c>
      <c r="AO91" s="220">
        <f t="shared" si="157"/>
        <v>2061</v>
      </c>
      <c r="AP91" s="220">
        <f t="shared" si="157"/>
        <v>2062</v>
      </c>
    </row>
    <row r="92" spans="1:44" ht="12.75" x14ac:dyDescent="0.2">
      <c r="A92" s="215" t="s">
        <v>589</v>
      </c>
      <c r="B92" s="216"/>
      <c r="C92" s="216"/>
      <c r="D92" s="216"/>
      <c r="E92" s="216"/>
      <c r="F92" s="216"/>
      <c r="G92" s="216"/>
      <c r="H92" s="216"/>
      <c r="I92" s="216"/>
      <c r="J92" s="216"/>
      <c r="K92" s="216"/>
      <c r="L92" s="216">
        <v>10</v>
      </c>
      <c r="M92" s="216"/>
      <c r="N92" s="216"/>
      <c r="O92" s="216"/>
      <c r="P92" s="216"/>
      <c r="Q92" s="216"/>
      <c r="R92" s="216"/>
      <c r="S92" s="216"/>
      <c r="T92" s="216"/>
      <c r="U92" s="216"/>
      <c r="V92" s="216"/>
      <c r="W92" s="216"/>
      <c r="X92" s="216"/>
      <c r="Y92" s="216"/>
      <c r="Z92" s="216"/>
      <c r="AA92" s="216">
        <v>25</v>
      </c>
      <c r="AB92" s="216"/>
      <c r="AC92" s="216"/>
      <c r="AD92" s="216"/>
      <c r="AE92" s="216"/>
      <c r="AF92" s="216">
        <v>30</v>
      </c>
      <c r="AG92" s="216"/>
      <c r="AH92" s="216"/>
      <c r="AI92" s="216"/>
      <c r="AJ92" s="216"/>
      <c r="AK92" s="216"/>
      <c r="AL92" s="216"/>
      <c r="AM92" s="216"/>
      <c r="AN92" s="216"/>
      <c r="AO92" s="216"/>
      <c r="AP92" s="216">
        <v>40</v>
      </c>
    </row>
    <row r="93" spans="1:44" ht="12.75" x14ac:dyDescent="0.2">
      <c r="A93" s="217" t="s">
        <v>590</v>
      </c>
      <c r="B93" s="217"/>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7"/>
    </row>
    <row r="94" spans="1:44" ht="12.75" x14ac:dyDescent="0.2">
      <c r="A94" s="217" t="s">
        <v>591</v>
      </c>
      <c r="B94" s="217"/>
      <c r="C94" s="217"/>
      <c r="D94" s="217"/>
      <c r="E94" s="217"/>
      <c r="F94" s="217"/>
      <c r="G94" s="217"/>
      <c r="H94" s="217"/>
      <c r="I94" s="217"/>
      <c r="J94" s="217"/>
      <c r="K94" s="217"/>
      <c r="L94" s="217"/>
      <c r="M94" s="217"/>
      <c r="N94" s="217"/>
      <c r="O94" s="217"/>
      <c r="P94" s="217"/>
      <c r="Q94" s="217"/>
      <c r="R94" s="217"/>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7"/>
    </row>
    <row r="95" spans="1:44" ht="12.75" x14ac:dyDescent="0.2">
      <c r="A95" s="217" t="s">
        <v>592</v>
      </c>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7"/>
    </row>
    <row r="96" spans="1:44" ht="12.75" x14ac:dyDescent="0.2">
      <c r="A96" s="216" t="s">
        <v>593</v>
      </c>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row>
    <row r="97" spans="1:43" ht="33.75" customHeight="1" x14ac:dyDescent="0.2">
      <c r="A97" s="389" t="s">
        <v>594</v>
      </c>
      <c r="B97" s="389"/>
      <c r="C97" s="389"/>
      <c r="D97" s="389"/>
      <c r="E97" s="389"/>
      <c r="F97" s="389"/>
      <c r="G97" s="389"/>
      <c r="H97" s="389"/>
      <c r="I97" s="389"/>
      <c r="J97" s="389"/>
      <c r="K97" s="389"/>
      <c r="L97" s="389"/>
    </row>
    <row r="98" spans="1:43" ht="16.5" hidden="1" thickBot="1" x14ac:dyDescent="0.25">
      <c r="C98" s="256"/>
    </row>
    <row r="99" spans="1:43" s="260" customFormat="1" ht="16.5" hidden="1" thickTop="1" x14ac:dyDescent="0.2">
      <c r="A99" s="257" t="s">
        <v>595</v>
      </c>
      <c r="B99" s="258">
        <f>B81*B85</f>
        <v>-33815476.158885986</v>
      </c>
      <c r="C99" s="258">
        <f>C81*C85</f>
        <v>-78270856.28110598</v>
      </c>
      <c r="D99" s="258">
        <f t="shared" ref="D99:AP99" si="158">D81*D85</f>
        <v>-52460587.952269346</v>
      </c>
      <c r="E99" s="258">
        <f t="shared" si="158"/>
        <v>0</v>
      </c>
      <c r="F99" s="258">
        <f t="shared" si="158"/>
        <v>0</v>
      </c>
      <c r="G99" s="258">
        <f t="shared" si="158"/>
        <v>0</v>
      </c>
      <c r="H99" s="258">
        <f t="shared" si="158"/>
        <v>0</v>
      </c>
      <c r="I99" s="258">
        <f t="shared" si="158"/>
        <v>0</v>
      </c>
      <c r="J99" s="258">
        <f>J81*J85</f>
        <v>0</v>
      </c>
      <c r="K99" s="258">
        <f t="shared" si="158"/>
        <v>0</v>
      </c>
      <c r="L99" s="258">
        <f>L81*L85</f>
        <v>0</v>
      </c>
      <c r="M99" s="258">
        <f t="shared" si="158"/>
        <v>0</v>
      </c>
      <c r="N99" s="258">
        <f t="shared" si="158"/>
        <v>0</v>
      </c>
      <c r="O99" s="258">
        <f t="shared" si="158"/>
        <v>0</v>
      </c>
      <c r="P99" s="258">
        <f t="shared" si="158"/>
        <v>0</v>
      </c>
      <c r="Q99" s="258">
        <f t="shared" si="158"/>
        <v>0</v>
      </c>
      <c r="R99" s="258">
        <f t="shared" si="158"/>
        <v>0</v>
      </c>
      <c r="S99" s="258">
        <f t="shared" si="158"/>
        <v>0</v>
      </c>
      <c r="T99" s="258">
        <f t="shared" si="158"/>
        <v>0</v>
      </c>
      <c r="U99" s="258">
        <f t="shared" si="158"/>
        <v>0</v>
      </c>
      <c r="V99" s="258">
        <f t="shared" si="158"/>
        <v>0</v>
      </c>
      <c r="W99" s="258">
        <f t="shared" si="158"/>
        <v>0</v>
      </c>
      <c r="X99" s="258">
        <f t="shared" si="158"/>
        <v>0</v>
      </c>
      <c r="Y99" s="258">
        <f t="shared" si="158"/>
        <v>0</v>
      </c>
      <c r="Z99" s="258">
        <f t="shared" si="158"/>
        <v>0</v>
      </c>
      <c r="AA99" s="258">
        <f t="shared" si="158"/>
        <v>0</v>
      </c>
      <c r="AB99" s="258">
        <f t="shared" si="158"/>
        <v>0</v>
      </c>
      <c r="AC99" s="258">
        <f t="shared" si="158"/>
        <v>0</v>
      </c>
      <c r="AD99" s="258">
        <f t="shared" si="158"/>
        <v>0</v>
      </c>
      <c r="AE99" s="258">
        <f t="shared" si="158"/>
        <v>0</v>
      </c>
      <c r="AF99" s="258">
        <f t="shared" si="158"/>
        <v>0</v>
      </c>
      <c r="AG99" s="258">
        <f t="shared" si="158"/>
        <v>0</v>
      </c>
      <c r="AH99" s="258">
        <f t="shared" si="158"/>
        <v>0</v>
      </c>
      <c r="AI99" s="258">
        <f t="shared" si="158"/>
        <v>0</v>
      </c>
      <c r="AJ99" s="258">
        <f t="shared" si="158"/>
        <v>0</v>
      </c>
      <c r="AK99" s="258">
        <f t="shared" si="158"/>
        <v>0</v>
      </c>
      <c r="AL99" s="258">
        <f t="shared" si="158"/>
        <v>0</v>
      </c>
      <c r="AM99" s="258">
        <f t="shared" si="158"/>
        <v>0</v>
      </c>
      <c r="AN99" s="258">
        <f t="shared" si="158"/>
        <v>0</v>
      </c>
      <c r="AO99" s="258">
        <f t="shared" si="158"/>
        <v>0</v>
      </c>
      <c r="AP99" s="258">
        <f t="shared" si="158"/>
        <v>0</v>
      </c>
      <c r="AQ99" s="259">
        <f>SUM(B99:AP99)</f>
        <v>-164546920.39226133</v>
      </c>
    </row>
    <row r="100" spans="1:43" hidden="1" x14ac:dyDescent="0.2">
      <c r="A100" s="261">
        <f>AQ99</f>
        <v>-164546920.39226133</v>
      </c>
    </row>
    <row r="101" spans="1:43" hidden="1" x14ac:dyDescent="0.2">
      <c r="A101" s="261">
        <f ca="1">AP87</f>
        <v>1653703.1112447744</v>
      </c>
    </row>
    <row r="102" spans="1:43" hidden="1" x14ac:dyDescent="0.2">
      <c r="A102" s="224" t="s">
        <v>596</v>
      </c>
      <c r="B102" s="262">
        <f ca="1">(A101+-A100)/-A100</f>
        <v>1.0075552361370073</v>
      </c>
    </row>
    <row r="103" spans="1:43" hidden="1" x14ac:dyDescent="0.2"/>
    <row r="104" spans="1:43" ht="12.75" hidden="1" x14ac:dyDescent="0.2">
      <c r="A104" s="218" t="s">
        <v>597</v>
      </c>
      <c r="B104" s="218" t="s">
        <v>598</v>
      </c>
      <c r="C104" s="218" t="s">
        <v>599</v>
      </c>
      <c r="D104" s="218" t="s">
        <v>600</v>
      </c>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c r="AA104" s="221"/>
      <c r="AB104" s="221"/>
      <c r="AC104" s="221"/>
      <c r="AD104" s="221"/>
      <c r="AE104" s="221"/>
      <c r="AF104" s="221"/>
      <c r="AG104" s="221"/>
      <c r="AH104" s="221"/>
      <c r="AI104" s="221"/>
      <c r="AJ104" s="221"/>
      <c r="AK104" s="221"/>
      <c r="AL104" s="221"/>
      <c r="AM104" s="221"/>
      <c r="AN104" s="221"/>
      <c r="AO104" s="221"/>
      <c r="AP104" s="221"/>
    </row>
    <row r="105" spans="1:43" ht="12.75" hidden="1" x14ac:dyDescent="0.2">
      <c r="A105" s="263">
        <f ca="1">G30/1000/1000</f>
        <v>-150.45093163518538</v>
      </c>
      <c r="B105" s="264">
        <f ca="1">L88</f>
        <v>0</v>
      </c>
      <c r="C105" s="265" t="str">
        <f ca="1">G28</f>
        <v>не окупается</v>
      </c>
      <c r="D105" s="265" t="str">
        <f ca="1">G29</f>
        <v>не окупается</v>
      </c>
      <c r="E105" s="221" t="s">
        <v>601</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row>
    <row r="106" spans="1:43" ht="12.75" hidden="1" x14ac:dyDescent="0.2">
      <c r="A106" s="266"/>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c r="AA106" s="221"/>
      <c r="AB106" s="221"/>
      <c r="AC106" s="221"/>
      <c r="AD106" s="221"/>
      <c r="AE106" s="221"/>
      <c r="AF106" s="221"/>
      <c r="AG106" s="221"/>
      <c r="AH106" s="221"/>
      <c r="AI106" s="221"/>
      <c r="AJ106" s="221"/>
      <c r="AK106" s="221"/>
      <c r="AL106" s="221"/>
      <c r="AM106" s="221"/>
      <c r="AN106" s="221"/>
      <c r="AO106" s="221"/>
      <c r="AP106" s="221"/>
    </row>
    <row r="107" spans="1:43" ht="12.75" hidden="1" x14ac:dyDescent="0.2">
      <c r="A107" s="267"/>
      <c r="B107" s="268">
        <v>2016</v>
      </c>
      <c r="C107" s="268">
        <v>2017</v>
      </c>
      <c r="D107" s="268">
        <f t="shared" ref="D107:AP107" si="159">C107+1</f>
        <v>2018</v>
      </c>
      <c r="E107" s="268">
        <f t="shared" si="159"/>
        <v>2019</v>
      </c>
      <c r="F107" s="268">
        <f t="shared" si="159"/>
        <v>2020</v>
      </c>
      <c r="G107" s="268">
        <f t="shared" si="159"/>
        <v>2021</v>
      </c>
      <c r="H107" s="268">
        <f t="shared" si="159"/>
        <v>2022</v>
      </c>
      <c r="I107" s="268">
        <f t="shared" si="159"/>
        <v>2023</v>
      </c>
      <c r="J107" s="268">
        <f t="shared" si="159"/>
        <v>2024</v>
      </c>
      <c r="K107" s="268">
        <f t="shared" si="159"/>
        <v>2025</v>
      </c>
      <c r="L107" s="268">
        <f t="shared" si="159"/>
        <v>2026</v>
      </c>
      <c r="M107" s="268">
        <f t="shared" si="159"/>
        <v>2027</v>
      </c>
      <c r="N107" s="268">
        <f t="shared" si="159"/>
        <v>2028</v>
      </c>
      <c r="O107" s="268">
        <f t="shared" si="159"/>
        <v>2029</v>
      </c>
      <c r="P107" s="268">
        <f t="shared" si="159"/>
        <v>2030</v>
      </c>
      <c r="Q107" s="268">
        <f t="shared" si="159"/>
        <v>2031</v>
      </c>
      <c r="R107" s="268">
        <f t="shared" si="159"/>
        <v>2032</v>
      </c>
      <c r="S107" s="268">
        <f t="shared" si="159"/>
        <v>2033</v>
      </c>
      <c r="T107" s="268">
        <f t="shared" si="159"/>
        <v>2034</v>
      </c>
      <c r="U107" s="268">
        <f t="shared" si="159"/>
        <v>2035</v>
      </c>
      <c r="V107" s="268">
        <f t="shared" si="159"/>
        <v>2036</v>
      </c>
      <c r="W107" s="268">
        <f t="shared" si="159"/>
        <v>2037</v>
      </c>
      <c r="X107" s="268">
        <f t="shared" si="159"/>
        <v>2038</v>
      </c>
      <c r="Y107" s="268">
        <f t="shared" si="159"/>
        <v>2039</v>
      </c>
      <c r="Z107" s="268">
        <f t="shared" si="159"/>
        <v>2040</v>
      </c>
      <c r="AA107" s="268">
        <f t="shared" si="159"/>
        <v>2041</v>
      </c>
      <c r="AB107" s="268">
        <f t="shared" si="159"/>
        <v>2042</v>
      </c>
      <c r="AC107" s="268">
        <f t="shared" si="159"/>
        <v>2043</v>
      </c>
      <c r="AD107" s="268">
        <f t="shared" si="159"/>
        <v>2044</v>
      </c>
      <c r="AE107" s="268">
        <f t="shared" si="159"/>
        <v>2045</v>
      </c>
      <c r="AF107" s="268">
        <f t="shared" si="159"/>
        <v>2046</v>
      </c>
      <c r="AG107" s="268">
        <f t="shared" si="159"/>
        <v>2047</v>
      </c>
      <c r="AH107" s="268">
        <f t="shared" si="159"/>
        <v>2048</v>
      </c>
      <c r="AI107" s="268">
        <f t="shared" si="159"/>
        <v>2049</v>
      </c>
      <c r="AJ107" s="268">
        <f t="shared" si="159"/>
        <v>2050</v>
      </c>
      <c r="AK107" s="268">
        <f t="shared" si="159"/>
        <v>2051</v>
      </c>
      <c r="AL107" s="268">
        <f t="shared" si="159"/>
        <v>2052</v>
      </c>
      <c r="AM107" s="268">
        <f t="shared" si="159"/>
        <v>2053</v>
      </c>
      <c r="AN107" s="268">
        <f t="shared" si="159"/>
        <v>2054</v>
      </c>
      <c r="AO107" s="268">
        <f t="shared" si="159"/>
        <v>2055</v>
      </c>
      <c r="AP107" s="268">
        <f t="shared" si="159"/>
        <v>2056</v>
      </c>
    </row>
    <row r="108" spans="1:43" ht="12.75" hidden="1" x14ac:dyDescent="0.2">
      <c r="A108" s="269" t="s">
        <v>681</v>
      </c>
      <c r="B108" s="270"/>
      <c r="C108" s="270">
        <f>C109*$B$111*$B$112*1000</f>
        <v>0</v>
      </c>
      <c r="D108" s="270">
        <f>D109*$B$111*$B$112*1000</f>
        <v>0</v>
      </c>
      <c r="E108" s="270">
        <f>E109*$B$111*$B$112*1000</f>
        <v>0</v>
      </c>
      <c r="F108" s="270">
        <f t="shared" ref="F108:AP108" si="160">F109*$B$111*$B$112*1000</f>
        <v>0</v>
      </c>
      <c r="G108" s="270">
        <f>G109*$B$111*$B$112*B110*1000</f>
        <v>0</v>
      </c>
      <c r="H108" s="270">
        <f t="shared" si="160"/>
        <v>0</v>
      </c>
      <c r="I108" s="270">
        <f t="shared" si="160"/>
        <v>0</v>
      </c>
      <c r="J108" s="270">
        <f>J109*$B$111*$B$112*1000</f>
        <v>15663913.460999999</v>
      </c>
      <c r="K108" s="270">
        <f t="shared" si="160"/>
        <v>17006534.614799999</v>
      </c>
      <c r="L108" s="270">
        <f t="shared" si="160"/>
        <v>17901615.383999996</v>
      </c>
      <c r="M108" s="270">
        <f t="shared" si="160"/>
        <v>17901615.383999996</v>
      </c>
      <c r="N108" s="270">
        <f t="shared" si="160"/>
        <v>17901615.383999996</v>
      </c>
      <c r="O108" s="270">
        <f t="shared" si="160"/>
        <v>17901615.383999996</v>
      </c>
      <c r="P108" s="270">
        <f t="shared" si="160"/>
        <v>17901615.383999996</v>
      </c>
      <c r="Q108" s="270">
        <f t="shared" si="160"/>
        <v>17901615.383999996</v>
      </c>
      <c r="R108" s="270">
        <f t="shared" si="160"/>
        <v>17901615.383999996</v>
      </c>
      <c r="S108" s="270">
        <f t="shared" si="160"/>
        <v>17901615.383999996</v>
      </c>
      <c r="T108" s="270">
        <f t="shared" si="160"/>
        <v>17901615.383999996</v>
      </c>
      <c r="U108" s="270">
        <f t="shared" si="160"/>
        <v>17901615.383999996</v>
      </c>
      <c r="V108" s="270">
        <f t="shared" si="160"/>
        <v>17901615.383999996</v>
      </c>
      <c r="W108" s="270">
        <f t="shared" si="160"/>
        <v>17901615.383999996</v>
      </c>
      <c r="X108" s="270">
        <f t="shared" si="160"/>
        <v>17901615.383999996</v>
      </c>
      <c r="Y108" s="270">
        <f t="shared" si="160"/>
        <v>17901615.383999996</v>
      </c>
      <c r="Z108" s="270">
        <f t="shared" si="160"/>
        <v>17901615.383999996</v>
      </c>
      <c r="AA108" s="270">
        <f t="shared" si="160"/>
        <v>17901615.383999996</v>
      </c>
      <c r="AB108" s="270">
        <f t="shared" si="160"/>
        <v>17901615.383999996</v>
      </c>
      <c r="AC108" s="270">
        <f t="shared" si="160"/>
        <v>17901615.383999996</v>
      </c>
      <c r="AD108" s="270">
        <f t="shared" si="160"/>
        <v>17901615.383999996</v>
      </c>
      <c r="AE108" s="270">
        <f t="shared" si="160"/>
        <v>17901615.383999996</v>
      </c>
      <c r="AF108" s="270">
        <f t="shared" si="160"/>
        <v>17901615.383999996</v>
      </c>
      <c r="AG108" s="270">
        <f t="shared" si="160"/>
        <v>17901615.383999996</v>
      </c>
      <c r="AH108" s="270">
        <f t="shared" si="160"/>
        <v>17901615.383999996</v>
      </c>
      <c r="AI108" s="270">
        <f t="shared" si="160"/>
        <v>17901615.383999996</v>
      </c>
      <c r="AJ108" s="270">
        <f t="shared" si="160"/>
        <v>17901615.383999996</v>
      </c>
      <c r="AK108" s="270">
        <f t="shared" si="160"/>
        <v>17901615.383999996</v>
      </c>
      <c r="AL108" s="270">
        <f t="shared" si="160"/>
        <v>17901615.383999996</v>
      </c>
      <c r="AM108" s="270">
        <f t="shared" si="160"/>
        <v>17901615.383999996</v>
      </c>
      <c r="AN108" s="270">
        <f t="shared" si="160"/>
        <v>17901615.383999996</v>
      </c>
      <c r="AO108" s="270">
        <f t="shared" si="160"/>
        <v>17901615.383999996</v>
      </c>
      <c r="AP108" s="270">
        <f t="shared" si="160"/>
        <v>17901615.383999996</v>
      </c>
    </row>
    <row r="109" spans="1:43" ht="12.75" hidden="1" x14ac:dyDescent="0.2">
      <c r="A109" s="269" t="s">
        <v>602</v>
      </c>
      <c r="B109" s="268"/>
      <c r="C109" s="268">
        <f t="shared" ref="C109:F109" si="161">B109+$I$120*C113</f>
        <v>0</v>
      </c>
      <c r="D109" s="268">
        <f t="shared" si="161"/>
        <v>0</v>
      </c>
      <c r="E109" s="268">
        <f t="shared" si="161"/>
        <v>0</v>
      </c>
      <c r="F109" s="268">
        <f t="shared" si="161"/>
        <v>0</v>
      </c>
      <c r="G109" s="268">
        <v>0</v>
      </c>
      <c r="H109" s="268">
        <v>0</v>
      </c>
      <c r="I109" s="268">
        <f>H109+$I$120*I113</f>
        <v>0</v>
      </c>
      <c r="J109" s="268">
        <f t="shared" ref="J109:AP109" si="162">I109+$I$120*J113</f>
        <v>3.2549999999999999</v>
      </c>
      <c r="K109" s="268">
        <f t="shared" si="162"/>
        <v>3.5339999999999998</v>
      </c>
      <c r="L109" s="268">
        <f t="shared" si="162"/>
        <v>3.7199999999999998</v>
      </c>
      <c r="M109" s="268">
        <f t="shared" si="162"/>
        <v>3.7199999999999998</v>
      </c>
      <c r="N109" s="268">
        <f t="shared" si="162"/>
        <v>3.7199999999999998</v>
      </c>
      <c r="O109" s="268">
        <f t="shared" si="162"/>
        <v>3.7199999999999998</v>
      </c>
      <c r="P109" s="268">
        <f t="shared" si="162"/>
        <v>3.7199999999999998</v>
      </c>
      <c r="Q109" s="268">
        <f t="shared" si="162"/>
        <v>3.7199999999999998</v>
      </c>
      <c r="R109" s="268">
        <f t="shared" si="162"/>
        <v>3.7199999999999998</v>
      </c>
      <c r="S109" s="268">
        <f t="shared" si="162"/>
        <v>3.7199999999999998</v>
      </c>
      <c r="T109" s="268">
        <f t="shared" si="162"/>
        <v>3.7199999999999998</v>
      </c>
      <c r="U109" s="268">
        <f t="shared" si="162"/>
        <v>3.7199999999999998</v>
      </c>
      <c r="V109" s="268">
        <f t="shared" si="162"/>
        <v>3.7199999999999998</v>
      </c>
      <c r="W109" s="268">
        <f t="shared" si="162"/>
        <v>3.7199999999999998</v>
      </c>
      <c r="X109" s="268">
        <f t="shared" si="162"/>
        <v>3.7199999999999998</v>
      </c>
      <c r="Y109" s="268">
        <f t="shared" si="162"/>
        <v>3.7199999999999998</v>
      </c>
      <c r="Z109" s="268">
        <f t="shared" si="162"/>
        <v>3.7199999999999998</v>
      </c>
      <c r="AA109" s="268">
        <f t="shared" si="162"/>
        <v>3.7199999999999998</v>
      </c>
      <c r="AB109" s="268">
        <f t="shared" si="162"/>
        <v>3.7199999999999998</v>
      </c>
      <c r="AC109" s="268">
        <f t="shared" si="162"/>
        <v>3.7199999999999998</v>
      </c>
      <c r="AD109" s="268">
        <f t="shared" si="162"/>
        <v>3.7199999999999998</v>
      </c>
      <c r="AE109" s="268">
        <f t="shared" si="162"/>
        <v>3.7199999999999998</v>
      </c>
      <c r="AF109" s="268">
        <f t="shared" si="162"/>
        <v>3.7199999999999998</v>
      </c>
      <c r="AG109" s="268">
        <f t="shared" si="162"/>
        <v>3.7199999999999998</v>
      </c>
      <c r="AH109" s="268">
        <f t="shared" si="162"/>
        <v>3.7199999999999998</v>
      </c>
      <c r="AI109" s="268">
        <f t="shared" si="162"/>
        <v>3.7199999999999998</v>
      </c>
      <c r="AJ109" s="268">
        <f t="shared" si="162"/>
        <v>3.7199999999999998</v>
      </c>
      <c r="AK109" s="268">
        <f t="shared" si="162"/>
        <v>3.7199999999999998</v>
      </c>
      <c r="AL109" s="268">
        <f t="shared" si="162"/>
        <v>3.7199999999999998</v>
      </c>
      <c r="AM109" s="268">
        <f t="shared" si="162"/>
        <v>3.7199999999999998</v>
      </c>
      <c r="AN109" s="268">
        <f t="shared" si="162"/>
        <v>3.7199999999999998</v>
      </c>
      <c r="AO109" s="268">
        <f t="shared" si="162"/>
        <v>3.7199999999999998</v>
      </c>
      <c r="AP109" s="268">
        <f t="shared" si="162"/>
        <v>3.7199999999999998</v>
      </c>
    </row>
    <row r="110" spans="1:43" ht="12.75" hidden="1" x14ac:dyDescent="0.2">
      <c r="A110" s="269" t="s">
        <v>603</v>
      </c>
      <c r="B110" s="267">
        <v>0.93</v>
      </c>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c r="AK110" s="268"/>
      <c r="AL110" s="268"/>
      <c r="AM110" s="268"/>
      <c r="AN110" s="268"/>
      <c r="AO110" s="268"/>
      <c r="AP110" s="268"/>
    </row>
    <row r="111" spans="1:43" ht="12.75" hidden="1" x14ac:dyDescent="0.2">
      <c r="A111" s="269" t="s">
        <v>604</v>
      </c>
      <c r="B111" s="267">
        <v>4380</v>
      </c>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c r="AK111" s="268"/>
      <c r="AL111" s="268"/>
      <c r="AM111" s="268"/>
      <c r="AN111" s="268"/>
      <c r="AO111" s="268"/>
      <c r="AP111" s="268"/>
    </row>
    <row r="112" spans="1:43" ht="12.75" hidden="1" x14ac:dyDescent="0.2">
      <c r="A112" s="269" t="s">
        <v>605</v>
      </c>
      <c r="B112" s="268">
        <f>$B$131</f>
        <v>1.0986899999999999</v>
      </c>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row>
    <row r="113" spans="1:42" ht="15" hidden="1" x14ac:dyDescent="0.2">
      <c r="A113" s="271" t="s">
        <v>606</v>
      </c>
      <c r="B113" s="272">
        <v>0</v>
      </c>
      <c r="C113" s="219">
        <v>0</v>
      </c>
      <c r="D113" s="219">
        <v>0</v>
      </c>
      <c r="E113" s="219">
        <v>0</v>
      </c>
      <c r="F113" s="272">
        <v>0</v>
      </c>
      <c r="G113" s="272">
        <v>0</v>
      </c>
      <c r="H113" s="272">
        <v>0</v>
      </c>
      <c r="I113" s="272">
        <v>0</v>
      </c>
      <c r="J113" s="272">
        <v>0.35</v>
      </c>
      <c r="K113" s="272">
        <v>0.03</v>
      </c>
      <c r="L113" s="272">
        <v>0.02</v>
      </c>
      <c r="M113" s="272">
        <v>0</v>
      </c>
      <c r="N113" s="272">
        <v>0</v>
      </c>
      <c r="O113" s="272">
        <v>0</v>
      </c>
      <c r="P113" s="272">
        <v>0</v>
      </c>
      <c r="Q113" s="272">
        <v>0</v>
      </c>
      <c r="R113" s="272">
        <v>0</v>
      </c>
      <c r="S113" s="272">
        <v>0</v>
      </c>
      <c r="T113" s="272">
        <v>0</v>
      </c>
      <c r="U113" s="272">
        <v>0</v>
      </c>
      <c r="V113" s="272">
        <v>0</v>
      </c>
      <c r="W113" s="272">
        <v>0</v>
      </c>
      <c r="X113" s="272">
        <v>0</v>
      </c>
      <c r="Y113" s="272">
        <v>0</v>
      </c>
      <c r="Z113" s="272">
        <v>0</v>
      </c>
      <c r="AA113" s="272">
        <v>0</v>
      </c>
      <c r="AB113" s="272">
        <v>0</v>
      </c>
      <c r="AC113" s="272">
        <v>0</v>
      </c>
      <c r="AD113" s="272">
        <v>0</v>
      </c>
      <c r="AE113" s="272">
        <v>0</v>
      </c>
      <c r="AF113" s="272">
        <v>0</v>
      </c>
      <c r="AG113" s="272">
        <v>0</v>
      </c>
      <c r="AH113" s="272">
        <v>0</v>
      </c>
      <c r="AI113" s="272">
        <v>0</v>
      </c>
      <c r="AJ113" s="272">
        <v>0</v>
      </c>
      <c r="AK113" s="272">
        <v>0</v>
      </c>
      <c r="AL113" s="272">
        <v>0</v>
      </c>
      <c r="AM113" s="272">
        <v>0</v>
      </c>
      <c r="AN113" s="272">
        <v>0</v>
      </c>
      <c r="AO113" s="272">
        <v>0</v>
      </c>
      <c r="AP113" s="272">
        <v>0</v>
      </c>
    </row>
    <row r="114" spans="1:42" ht="12.75" hidden="1" x14ac:dyDescent="0.2">
      <c r="A114" s="266"/>
      <c r="B114" s="221"/>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row>
    <row r="115" spans="1:42" ht="12.75" hidden="1" x14ac:dyDescent="0.2">
      <c r="A115" s="266"/>
      <c r="B115" s="221"/>
      <c r="C115" s="221"/>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221"/>
      <c r="AF115" s="221"/>
      <c r="AG115" s="221"/>
      <c r="AH115" s="221"/>
      <c r="AI115" s="221"/>
      <c r="AJ115" s="221"/>
      <c r="AK115" s="221"/>
      <c r="AL115" s="221"/>
      <c r="AM115" s="221"/>
      <c r="AN115" s="221"/>
      <c r="AO115" s="221"/>
      <c r="AP115" s="221"/>
    </row>
    <row r="116" spans="1:42" ht="12.75" hidden="1" x14ac:dyDescent="0.2">
      <c r="A116" s="267"/>
      <c r="B116" s="390" t="s">
        <v>607</v>
      </c>
      <c r="C116" s="391"/>
      <c r="D116" s="390" t="s">
        <v>608</v>
      </c>
      <c r="E116" s="391"/>
      <c r="F116" s="267"/>
      <c r="G116" s="267"/>
      <c r="H116" s="267"/>
      <c r="I116" s="267"/>
      <c r="J116" s="267"/>
      <c r="K116" s="221"/>
      <c r="L116" s="221"/>
      <c r="M116" s="221"/>
      <c r="N116" s="221"/>
      <c r="O116" s="221"/>
      <c r="P116" s="221"/>
      <c r="Q116" s="221"/>
      <c r="R116" s="221"/>
      <c r="S116" s="221"/>
      <c r="T116" s="221"/>
      <c r="U116" s="221"/>
      <c r="V116" s="221"/>
      <c r="W116" s="221"/>
      <c r="X116" s="221"/>
      <c r="Y116" s="221"/>
      <c r="Z116" s="221"/>
      <c r="AA116" s="221"/>
      <c r="AB116" s="221"/>
      <c r="AC116" s="221"/>
      <c r="AD116" s="221"/>
      <c r="AE116" s="221"/>
      <c r="AF116" s="221"/>
      <c r="AG116" s="221"/>
      <c r="AH116" s="221"/>
      <c r="AI116" s="221"/>
      <c r="AJ116" s="221"/>
      <c r="AK116" s="221"/>
      <c r="AL116" s="221"/>
      <c r="AM116" s="221"/>
      <c r="AN116" s="221"/>
      <c r="AO116" s="221"/>
      <c r="AP116" s="221"/>
    </row>
    <row r="117" spans="1:42" ht="12.75" hidden="1" x14ac:dyDescent="0.2">
      <c r="A117" s="269" t="s">
        <v>609</v>
      </c>
      <c r="B117" s="267"/>
      <c r="C117" s="267" t="s">
        <v>610</v>
      </c>
      <c r="D117" s="267">
        <v>16</v>
      </c>
      <c r="E117" s="267" t="s">
        <v>610</v>
      </c>
      <c r="F117" s="267"/>
      <c r="G117" s="267"/>
      <c r="H117" s="267"/>
      <c r="I117" s="267"/>
      <c r="J117" s="267"/>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row>
    <row r="118" spans="1:42" ht="25.5" hidden="1" x14ac:dyDescent="0.2">
      <c r="A118" s="269" t="s">
        <v>609</v>
      </c>
      <c r="B118" s="267">
        <f>$B$110*B117</f>
        <v>0</v>
      </c>
      <c r="C118" s="267" t="s">
        <v>126</v>
      </c>
      <c r="D118" s="267">
        <f>$B$110*D117</f>
        <v>14.88</v>
      </c>
      <c r="E118" s="267" t="s">
        <v>126</v>
      </c>
      <c r="F118" s="269" t="s">
        <v>611</v>
      </c>
      <c r="G118" s="267">
        <v>10</v>
      </c>
      <c r="H118" s="267" t="s">
        <v>610</v>
      </c>
      <c r="I118" s="267">
        <f>$B$110*G118</f>
        <v>9.3000000000000007</v>
      </c>
      <c r="J118" s="267" t="s">
        <v>126</v>
      </c>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row>
    <row r="119" spans="1:42" ht="25.5" hidden="1" x14ac:dyDescent="0.2">
      <c r="A119" s="267"/>
      <c r="B119" s="267"/>
      <c r="C119" s="267"/>
      <c r="D119" s="267"/>
      <c r="E119" s="267"/>
      <c r="F119" s="269" t="s">
        <v>612</v>
      </c>
      <c r="G119" s="273">
        <f>'2. паспорт  ТП'!H26</f>
        <v>3.1070000000000002</v>
      </c>
      <c r="H119" s="267" t="s">
        <v>610</v>
      </c>
      <c r="I119" s="273">
        <f>$B$110*G119</f>
        <v>2.8895100000000005</v>
      </c>
      <c r="J119" s="267" t="s">
        <v>126</v>
      </c>
      <c r="K119" s="311">
        <f>2.7515/I118</f>
        <v>0.29586021505376342</v>
      </c>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row>
    <row r="120" spans="1:42" ht="38.25" hidden="1" x14ac:dyDescent="0.2">
      <c r="A120" s="274"/>
      <c r="B120" s="275"/>
      <c r="C120" s="275"/>
      <c r="D120" s="275"/>
      <c r="E120" s="275"/>
      <c r="F120" s="276" t="s">
        <v>613</v>
      </c>
      <c r="G120" s="267">
        <f>G118</f>
        <v>10</v>
      </c>
      <c r="H120" s="267" t="s">
        <v>610</v>
      </c>
      <c r="I120" s="267">
        <f>I118</f>
        <v>9.3000000000000007</v>
      </c>
      <c r="J120" s="267" t="s">
        <v>126</v>
      </c>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row>
    <row r="121" spans="1:42" ht="13.5" hidden="1" thickBot="1" x14ac:dyDescent="0.25">
      <c r="A121" s="266"/>
      <c r="B121" s="221"/>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row>
    <row r="122" spans="1:42" hidden="1" x14ac:dyDescent="0.2">
      <c r="A122" s="274" t="s">
        <v>614</v>
      </c>
      <c r="B122" s="277">
        <f>'6.2. Паспорт фин осв ввод'!D24</f>
        <v>222.686191279128</v>
      </c>
      <c r="C122" s="221"/>
      <c r="D122" s="397" t="s">
        <v>284</v>
      </c>
      <c r="E122" s="229" t="s">
        <v>615</v>
      </c>
      <c r="F122" s="220">
        <v>35</v>
      </c>
      <c r="G122" s="380"/>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row>
    <row r="123" spans="1:42" hidden="1" x14ac:dyDescent="0.2">
      <c r="A123" s="274" t="s">
        <v>284</v>
      </c>
      <c r="B123" s="278">
        <v>30</v>
      </c>
      <c r="C123" s="221"/>
      <c r="D123" s="397"/>
      <c r="E123" s="229" t="s">
        <v>616</v>
      </c>
      <c r="F123" s="220">
        <v>30</v>
      </c>
      <c r="G123" s="380"/>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row>
    <row r="124" spans="1:42" hidden="1" x14ac:dyDescent="0.2">
      <c r="A124" s="274" t="s">
        <v>617</v>
      </c>
      <c r="B124" s="278" t="s">
        <v>437</v>
      </c>
      <c r="C124" s="279" t="s">
        <v>618</v>
      </c>
      <c r="D124" s="397"/>
      <c r="E124" s="229" t="s">
        <v>619</v>
      </c>
      <c r="F124" s="220">
        <v>30</v>
      </c>
      <c r="G124" s="380"/>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row>
    <row r="125" spans="1:42" hidden="1" x14ac:dyDescent="0.2">
      <c r="A125" s="280"/>
      <c r="B125" s="281"/>
      <c r="C125" s="279"/>
      <c r="D125" s="397"/>
      <c r="E125" s="229" t="s">
        <v>620</v>
      </c>
      <c r="F125" s="220">
        <v>30</v>
      </c>
      <c r="G125" s="380"/>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c r="AN125" s="221"/>
      <c r="AO125" s="221"/>
      <c r="AP125" s="221"/>
    </row>
    <row r="126" spans="1:42" ht="12.75" hidden="1" x14ac:dyDescent="0.2">
      <c r="A126" s="274" t="s">
        <v>621</v>
      </c>
      <c r="B126" s="282">
        <f>B128*1000000</f>
        <v>0</v>
      </c>
      <c r="C126" s="282"/>
      <c r="D126" s="282"/>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row>
    <row r="127" spans="1:42" ht="12.75" hidden="1" x14ac:dyDescent="0.2">
      <c r="A127" s="274" t="s">
        <v>622</v>
      </c>
      <c r="B127" s="283">
        <v>1E-3</v>
      </c>
      <c r="C127" s="221">
        <v>2018</v>
      </c>
      <c r="D127" s="221">
        <v>2019</v>
      </c>
      <c r="E127" s="221">
        <v>2020</v>
      </c>
      <c r="F127" s="221">
        <v>2021</v>
      </c>
      <c r="G127" s="221">
        <v>2022</v>
      </c>
      <c r="H127" s="221">
        <v>2023</v>
      </c>
      <c r="I127" s="221">
        <v>2024</v>
      </c>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row>
    <row r="128" spans="1:42" ht="12.75" hidden="1" x14ac:dyDescent="0.2">
      <c r="A128" s="266"/>
      <c r="B128" s="284">
        <f>SUM(C128:F128)</f>
        <v>0</v>
      </c>
      <c r="C128" s="284">
        <v>0</v>
      </c>
      <c r="D128" s="284">
        <v>0</v>
      </c>
      <c r="E128" s="284">
        <f>'6.2. Паспорт фин осв ввод'!L24</f>
        <v>0</v>
      </c>
      <c r="F128" s="284">
        <f>'6.2. Паспорт фин осв ввод'!P24</f>
        <v>0</v>
      </c>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row>
    <row r="129" spans="1:51" ht="12.75" hidden="1" x14ac:dyDescent="0.2">
      <c r="A129" s="274" t="s">
        <v>623</v>
      </c>
      <c r="B129" s="471">
        <v>0.2</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row>
    <row r="130" spans="1:51" hidden="1" x14ac:dyDescent="0.2">
      <c r="A130" s="285"/>
      <c r="B130" s="286"/>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row>
    <row r="131" spans="1:51" ht="12.75" hidden="1" x14ac:dyDescent="0.2">
      <c r="A131" s="269" t="s">
        <v>682</v>
      </c>
      <c r="B131" s="287">
        <v>1.0986899999999999</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row>
    <row r="132" spans="1:51" ht="12.75" hidden="1"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row>
    <row r="133" spans="1:51" hidden="1" x14ac:dyDescent="0.2">
      <c r="A133" s="266"/>
      <c r="B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G133" s="221"/>
      <c r="AH133" s="221"/>
      <c r="AI133" s="221"/>
      <c r="AJ133" s="221"/>
      <c r="AK133" s="221"/>
      <c r="AL133" s="221"/>
      <c r="AM133" s="221"/>
      <c r="AN133" s="221"/>
      <c r="AO133" s="221"/>
      <c r="AP133" s="221"/>
    </row>
    <row r="134" spans="1:51" hidden="1" x14ac:dyDescent="0.2">
      <c r="A134" s="274" t="s">
        <v>624</v>
      </c>
      <c r="C134" s="221"/>
      <c r="D134" s="221"/>
      <c r="E134" s="221"/>
      <c r="F134" s="221"/>
      <c r="G134" s="221"/>
      <c r="H134" s="221"/>
      <c r="I134" s="221"/>
      <c r="J134" s="221"/>
      <c r="K134" s="221"/>
      <c r="L134" s="221"/>
      <c r="M134" s="221"/>
      <c r="N134" s="221"/>
      <c r="O134" s="221"/>
      <c r="P134" s="221"/>
      <c r="Q134" s="221"/>
      <c r="R134" s="221"/>
      <c r="S134" s="221"/>
      <c r="T134" s="221"/>
      <c r="U134" s="221"/>
      <c r="V134" s="221"/>
      <c r="W134" s="221"/>
      <c r="X134" s="221"/>
      <c r="Y134" s="221"/>
      <c r="Z134" s="221"/>
      <c r="AA134" s="221"/>
      <c r="AB134" s="221"/>
      <c r="AC134" s="221"/>
      <c r="AD134" s="221"/>
      <c r="AE134" s="221"/>
      <c r="AF134" s="221"/>
      <c r="AG134" s="221"/>
      <c r="AH134" s="221"/>
      <c r="AI134" s="221"/>
      <c r="AJ134" s="221"/>
      <c r="AK134" s="221"/>
      <c r="AL134" s="221"/>
      <c r="AM134" s="221"/>
      <c r="AN134" s="221"/>
      <c r="AO134" s="221"/>
      <c r="AP134" s="221"/>
    </row>
    <row r="135" spans="1:51" ht="12.75" hidden="1" x14ac:dyDescent="0.2">
      <c r="A135" s="274"/>
      <c r="B135" s="275">
        <v>2016</v>
      </c>
      <c r="C135" s="275">
        <f>B135+1</f>
        <v>2017</v>
      </c>
      <c r="D135" s="275">
        <f t="shared" ref="D135:AY135" si="163">C135+1</f>
        <v>2018</v>
      </c>
      <c r="E135" s="275">
        <f t="shared" si="163"/>
        <v>2019</v>
      </c>
      <c r="F135" s="275">
        <f t="shared" si="163"/>
        <v>2020</v>
      </c>
      <c r="G135" s="275">
        <f t="shared" si="163"/>
        <v>2021</v>
      </c>
      <c r="H135" s="275">
        <f t="shared" si="163"/>
        <v>2022</v>
      </c>
      <c r="I135" s="275">
        <f t="shared" si="163"/>
        <v>2023</v>
      </c>
      <c r="J135" s="275">
        <f t="shared" si="163"/>
        <v>2024</v>
      </c>
      <c r="K135" s="275">
        <f t="shared" si="163"/>
        <v>2025</v>
      </c>
      <c r="L135" s="275">
        <f t="shared" si="163"/>
        <v>2026</v>
      </c>
      <c r="M135" s="275">
        <f t="shared" si="163"/>
        <v>2027</v>
      </c>
      <c r="N135" s="275">
        <f t="shared" si="163"/>
        <v>2028</v>
      </c>
      <c r="O135" s="275">
        <f t="shared" si="163"/>
        <v>2029</v>
      </c>
      <c r="P135" s="275">
        <f t="shared" si="163"/>
        <v>2030</v>
      </c>
      <c r="Q135" s="275">
        <f t="shared" si="163"/>
        <v>2031</v>
      </c>
      <c r="R135" s="275">
        <f t="shared" si="163"/>
        <v>2032</v>
      </c>
      <c r="S135" s="275">
        <f t="shared" si="163"/>
        <v>2033</v>
      </c>
      <c r="T135" s="275">
        <f t="shared" si="163"/>
        <v>2034</v>
      </c>
      <c r="U135" s="275">
        <f t="shared" si="163"/>
        <v>2035</v>
      </c>
      <c r="V135" s="275">
        <f t="shared" si="163"/>
        <v>2036</v>
      </c>
      <c r="W135" s="275">
        <f t="shared" si="163"/>
        <v>2037</v>
      </c>
      <c r="X135" s="275">
        <f t="shared" si="163"/>
        <v>2038</v>
      </c>
      <c r="Y135" s="275">
        <f t="shared" si="163"/>
        <v>2039</v>
      </c>
      <c r="Z135" s="275">
        <f t="shared" si="163"/>
        <v>2040</v>
      </c>
      <c r="AA135" s="275">
        <f t="shared" si="163"/>
        <v>2041</v>
      </c>
      <c r="AB135" s="275">
        <f t="shared" si="163"/>
        <v>2042</v>
      </c>
      <c r="AC135" s="275">
        <f t="shared" si="163"/>
        <v>2043</v>
      </c>
      <c r="AD135" s="275">
        <f t="shared" si="163"/>
        <v>2044</v>
      </c>
      <c r="AE135" s="275">
        <f t="shared" si="163"/>
        <v>2045</v>
      </c>
      <c r="AF135" s="275">
        <f t="shared" si="163"/>
        <v>2046</v>
      </c>
      <c r="AG135" s="275">
        <f t="shared" si="163"/>
        <v>2047</v>
      </c>
      <c r="AH135" s="275">
        <f t="shared" si="163"/>
        <v>2048</v>
      </c>
      <c r="AI135" s="275">
        <f t="shared" si="163"/>
        <v>2049</v>
      </c>
      <c r="AJ135" s="275">
        <f t="shared" si="163"/>
        <v>2050</v>
      </c>
      <c r="AK135" s="275">
        <f t="shared" si="163"/>
        <v>2051</v>
      </c>
      <c r="AL135" s="275">
        <f t="shared" si="163"/>
        <v>2052</v>
      </c>
      <c r="AM135" s="275">
        <f t="shared" si="163"/>
        <v>2053</v>
      </c>
      <c r="AN135" s="275">
        <f t="shared" si="163"/>
        <v>2054</v>
      </c>
      <c r="AO135" s="275">
        <f t="shared" si="163"/>
        <v>2055</v>
      </c>
      <c r="AP135" s="275">
        <f t="shared" si="163"/>
        <v>2056</v>
      </c>
      <c r="AQ135" s="275">
        <f t="shared" si="163"/>
        <v>2057</v>
      </c>
      <c r="AR135" s="275">
        <f t="shared" si="163"/>
        <v>2058</v>
      </c>
      <c r="AS135" s="275"/>
      <c r="AT135" s="275">
        <f t="shared" si="163"/>
        <v>1</v>
      </c>
      <c r="AU135" s="275">
        <f t="shared" si="163"/>
        <v>2</v>
      </c>
      <c r="AV135" s="275">
        <f t="shared" si="163"/>
        <v>3</v>
      </c>
      <c r="AW135" s="275">
        <f t="shared" si="163"/>
        <v>4</v>
      </c>
      <c r="AX135" s="275">
        <f t="shared" si="163"/>
        <v>5</v>
      </c>
      <c r="AY135" s="275">
        <f t="shared" si="163"/>
        <v>6</v>
      </c>
    </row>
    <row r="136" spans="1:51" ht="12.75" hidden="1" x14ac:dyDescent="0.2">
      <c r="A136" s="274" t="s">
        <v>625</v>
      </c>
      <c r="B136" s="275"/>
      <c r="C136" s="288"/>
      <c r="D136" s="288">
        <v>0</v>
      </c>
      <c r="E136" s="288">
        <v>0</v>
      </c>
      <c r="F136" s="288">
        <v>0</v>
      </c>
      <c r="G136" s="288">
        <v>0</v>
      </c>
      <c r="H136" s="288">
        <v>0.14631427330593999</v>
      </c>
      <c r="I136" s="288">
        <v>6.9688748240430004E-2</v>
      </c>
      <c r="J136" s="288">
        <v>5.2726091890100003E-2</v>
      </c>
      <c r="K136" s="288">
        <v>4.7619843182130001E-2</v>
      </c>
      <c r="L136" s="288">
        <v>4.57995653007E-2</v>
      </c>
      <c r="M136" s="288">
        <v>4.57995653007E-2</v>
      </c>
      <c r="N136" s="288">
        <v>4.57995653007E-2</v>
      </c>
      <c r="O136" s="288">
        <v>4.57995653007E-2</v>
      </c>
      <c r="P136" s="288">
        <v>4.57995653007E-2</v>
      </c>
      <c r="Q136" s="288">
        <v>4.57995653007E-2</v>
      </c>
      <c r="R136" s="288">
        <v>4.57995653007E-2</v>
      </c>
      <c r="S136" s="288">
        <v>4.57995653007E-2</v>
      </c>
      <c r="T136" s="288">
        <v>4.57995653007E-2</v>
      </c>
      <c r="U136" s="288">
        <v>4.57995653007E-2</v>
      </c>
      <c r="V136" s="288">
        <v>4.57995653007E-2</v>
      </c>
      <c r="W136" s="288">
        <v>4.57995653007E-2</v>
      </c>
      <c r="X136" s="288">
        <v>4.57995653007E-2</v>
      </c>
      <c r="Y136" s="288">
        <v>4.57995653007E-2</v>
      </c>
      <c r="Z136" s="288">
        <v>4.57995653007E-2</v>
      </c>
      <c r="AA136" s="288">
        <v>4.57995653007E-2</v>
      </c>
      <c r="AB136" s="288">
        <v>4.57995653007E-2</v>
      </c>
      <c r="AC136" s="288">
        <v>4.57995653007E-2</v>
      </c>
      <c r="AD136" s="288">
        <v>4.57995653007E-2</v>
      </c>
      <c r="AE136" s="288">
        <v>4.57995653007E-2</v>
      </c>
      <c r="AF136" s="288">
        <v>4.57995653007E-2</v>
      </c>
      <c r="AG136" s="288">
        <v>4.57995653007E-2</v>
      </c>
      <c r="AH136" s="288">
        <v>4.57995653007E-2</v>
      </c>
      <c r="AI136" s="288">
        <v>4.57995653007E-2</v>
      </c>
      <c r="AJ136" s="288">
        <v>4.57995653007E-2</v>
      </c>
      <c r="AK136" s="288">
        <v>4.57995653007E-2</v>
      </c>
      <c r="AL136" s="288">
        <v>4.57995653007E-2</v>
      </c>
      <c r="AM136" s="288">
        <v>4.57995653007E-2</v>
      </c>
      <c r="AN136" s="288">
        <v>4.57995653007E-2</v>
      </c>
      <c r="AO136" s="288">
        <v>4.57995653007E-2</v>
      </c>
      <c r="AP136" s="288">
        <v>4.57995653007E-2</v>
      </c>
      <c r="AQ136" s="288">
        <v>4.57995653007E-2</v>
      </c>
      <c r="AR136" s="288">
        <v>4.57995653007E-2</v>
      </c>
      <c r="AS136" s="288"/>
      <c r="AT136" s="288">
        <v>4.57995653007E-2</v>
      </c>
      <c r="AU136" s="288">
        <v>4.57995653007E-2</v>
      </c>
      <c r="AV136" s="288">
        <v>4.57995653007E-2</v>
      </c>
      <c r="AW136" s="288">
        <v>4.57995653007E-2</v>
      </c>
      <c r="AX136" s="288">
        <v>4.57995653007E-2</v>
      </c>
      <c r="AY136" s="288">
        <v>4.57995653007E-2</v>
      </c>
    </row>
    <row r="137" spans="1:51" ht="15" hidden="1" x14ac:dyDescent="0.2">
      <c r="A137" s="274" t="s">
        <v>626</v>
      </c>
      <c r="B137" s="289"/>
      <c r="C137" s="249">
        <f>(1+B137)*(1+C136)-1</f>
        <v>0</v>
      </c>
      <c r="D137" s="249">
        <f>(1+C137)*(1+D136)-1</f>
        <v>0</v>
      </c>
      <c r="E137" s="249">
        <f>(1+D137)*(1+E136)-1</f>
        <v>0</v>
      </c>
      <c r="F137" s="249">
        <f t="shared" ref="F137:AY137" si="164">(1+E137)*(1+F136)-1</f>
        <v>0</v>
      </c>
      <c r="G137" s="249">
        <f>(1+F137)*(1+G136)-1</f>
        <v>0</v>
      </c>
      <c r="H137" s="249">
        <f t="shared" si="164"/>
        <v>0.14631427330593993</v>
      </c>
      <c r="I137" s="249">
        <f t="shared" si="164"/>
        <v>0.22619948010276913</v>
      </c>
      <c r="J137" s="249">
        <f t="shared" si="164"/>
        <v>0.29085218656626055</v>
      </c>
      <c r="K137" s="249">
        <f t="shared" si="164"/>
        <v>0.35232236526185545</v>
      </c>
      <c r="L137" s="249">
        <f t="shared" si="164"/>
        <v>0.41425814173726283</v>
      </c>
      <c r="M137" s="249">
        <f t="shared" si="164"/>
        <v>0.47903054985180527</v>
      </c>
      <c r="N137" s="249">
        <f t="shared" si="164"/>
        <v>0.54676950610147323</v>
      </c>
      <c r="O137" s="249">
        <f t="shared" si="164"/>
        <v>0.61761087710129914</v>
      </c>
      <c r="P137" s="249">
        <f t="shared" si="164"/>
        <v>0.69169675209822268</v>
      </c>
      <c r="Q137" s="249">
        <f t="shared" si="164"/>
        <v>0.76917572796492717</v>
      </c>
      <c r="R137" s="249">
        <f t="shared" si="164"/>
        <v>0.85020320724627019</v>
      </c>
      <c r="S137" s="249">
        <f t="shared" si="164"/>
        <v>0.93494170985611014</v>
      </c>
      <c r="T137" s="249">
        <f t="shared" si="164"/>
        <v>1.0235611990497131</v>
      </c>
      <c r="U137" s="249">
        <f t="shared" si="164"/>
        <v>1.116239422325553</v>
      </c>
      <c r="V137" s="249">
        <f t="shared" si="164"/>
        <v>1.2131622679402678</v>
      </c>
      <c r="W137" s="249">
        <f t="shared" si="164"/>
        <v>1.3145241377518433</v>
      </c>
      <c r="X137" s="249">
        <f t="shared" si="164"/>
        <v>1.4205283371388551</v>
      </c>
      <c r="Y137" s="249">
        <f t="shared" si="164"/>
        <v>1.5313874827778409</v>
      </c>
      <c r="Z137" s="249">
        <f t="shared" si="164"/>
        <v>1.6473239290966992</v>
      </c>
      <c r="AA137" s="249">
        <f t="shared" si="164"/>
        <v>1.7685702142594693</v>
      </c>
      <c r="AB137" s="249">
        <f t="shared" si="164"/>
        <v>1.8953695265770185</v>
      </c>
      <c r="AC137" s="249">
        <f t="shared" si="164"/>
        <v>2.0279761922791395</v>
      </c>
      <c r="AD137" s="249">
        <f t="shared" si="164"/>
        <v>2.1666561856263926</v>
      </c>
      <c r="AE137" s="249">
        <f t="shared" si="164"/>
        <v>2.3116876623848541</v>
      </c>
      <c r="AF137" s="249">
        <f t="shared" si="164"/>
        <v>2.4633615177337718</v>
      </c>
      <c r="AG137" s="249">
        <f t="shared" si="164"/>
        <v>2.6219819697251507</v>
      </c>
      <c r="AH137" s="249">
        <f t="shared" si="164"/>
        <v>2.7878671694655357</v>
      </c>
      <c r="AI137" s="249">
        <f t="shared" si="164"/>
        <v>2.9613498392438502</v>
      </c>
      <c r="AJ137" s="249">
        <f t="shared" si="164"/>
        <v>3.1427779398852165</v>
      </c>
      <c r="AK137" s="249">
        <f t="shared" si="164"/>
        <v>3.3325153686692888</v>
      </c>
      <c r="AL137" s="249">
        <f t="shared" si="164"/>
        <v>3.5309426892129441</v>
      </c>
      <c r="AM137" s="249">
        <f t="shared" si="164"/>
        <v>3.7384578947812814</v>
      </c>
      <c r="AN137" s="249">
        <f t="shared" si="164"/>
        <v>3.9554772065579336</v>
      </c>
      <c r="AO137" s="249">
        <f t="shared" si="164"/>
        <v>4.1824359084758136</v>
      </c>
      <c r="AP137" s="249">
        <f t="shared" si="164"/>
        <v>4.4197892202827438</v>
      </c>
      <c r="AQ137" s="249">
        <f t="shared" si="164"/>
        <v>4.6680132105931129</v>
      </c>
      <c r="AR137" s="249">
        <f t="shared" si="164"/>
        <v>4.9276057517569019</v>
      </c>
      <c r="AS137" s="249"/>
      <c r="AT137" s="249">
        <f t="shared" si="164"/>
        <v>4.5799565300699951E-2</v>
      </c>
      <c r="AU137" s="249">
        <f t="shared" si="164"/>
        <v>9.3696730783132898E-2</v>
      </c>
      <c r="AV137" s="249">
        <f t="shared" si="164"/>
        <v>0.14378756562379702</v>
      </c>
      <c r="AW137" s="249">
        <f>(1+AV137)*(1+AW136)-1</f>
        <v>0.19617253892571274</v>
      </c>
      <c r="AX137" s="249">
        <f t="shared" si="164"/>
        <v>0.25095672123314494</v>
      </c>
      <c r="AY137" s="249">
        <f t="shared" si="164"/>
        <v>0.30824999527561192</v>
      </c>
    </row>
    <row r="138" spans="1:51" hidden="1" x14ac:dyDescent="0.2">
      <c r="B138" s="289"/>
      <c r="C138" s="290"/>
      <c r="D138" s="290"/>
      <c r="E138" s="290"/>
      <c r="F138" s="290"/>
      <c r="G138" s="290"/>
      <c r="H138" s="290"/>
      <c r="I138" s="290"/>
      <c r="J138" s="290"/>
      <c r="K138" s="290"/>
      <c r="L138" s="290"/>
      <c r="M138" s="290"/>
      <c r="N138" s="290"/>
      <c r="O138" s="290"/>
      <c r="P138" s="290"/>
      <c r="Q138" s="290"/>
      <c r="R138" s="290"/>
      <c r="S138" s="290"/>
      <c r="T138" s="290"/>
      <c r="U138" s="290"/>
      <c r="V138" s="290"/>
      <c r="W138" s="290"/>
      <c r="X138" s="290"/>
      <c r="Y138" s="290"/>
      <c r="Z138" s="290"/>
      <c r="AA138" s="290"/>
      <c r="AB138" s="290"/>
      <c r="AC138" s="290"/>
      <c r="AD138" s="290"/>
      <c r="AE138" s="290"/>
      <c r="AF138" s="290"/>
      <c r="AG138" s="290"/>
      <c r="AH138" s="290"/>
      <c r="AI138" s="290"/>
      <c r="AJ138" s="290"/>
      <c r="AK138" s="290"/>
      <c r="AL138" s="290"/>
      <c r="AM138" s="290"/>
      <c r="AN138" s="290"/>
      <c r="AO138" s="290"/>
      <c r="AP138" s="290"/>
    </row>
    <row r="139" spans="1:51" ht="12.75" hidden="1" x14ac:dyDescent="0.2">
      <c r="A139" s="266"/>
      <c r="B139" s="275">
        <v>2016</v>
      </c>
      <c r="C139" s="275">
        <f>B139+1</f>
        <v>2017</v>
      </c>
      <c r="D139" s="275">
        <f t="shared" ref="D139:S140" si="165">C139+1</f>
        <v>2018</v>
      </c>
      <c r="E139" s="275">
        <f t="shared" si="165"/>
        <v>2019</v>
      </c>
      <c r="F139" s="275">
        <f t="shared" si="165"/>
        <v>2020</v>
      </c>
      <c r="G139" s="275">
        <f t="shared" si="165"/>
        <v>2021</v>
      </c>
      <c r="H139" s="275">
        <f t="shared" si="165"/>
        <v>2022</v>
      </c>
      <c r="I139" s="275">
        <f t="shared" si="165"/>
        <v>2023</v>
      </c>
      <c r="J139" s="275">
        <f t="shared" si="165"/>
        <v>2024</v>
      </c>
      <c r="K139" s="275">
        <f t="shared" si="165"/>
        <v>2025</v>
      </c>
      <c r="L139" s="275">
        <f t="shared" si="165"/>
        <v>2026</v>
      </c>
      <c r="M139" s="275">
        <f t="shared" si="165"/>
        <v>2027</v>
      </c>
      <c r="N139" s="275">
        <f t="shared" si="165"/>
        <v>2028</v>
      </c>
      <c r="O139" s="275">
        <f t="shared" si="165"/>
        <v>2029</v>
      </c>
      <c r="P139" s="275">
        <f t="shared" si="165"/>
        <v>2030</v>
      </c>
      <c r="Q139" s="275">
        <f t="shared" si="165"/>
        <v>2031</v>
      </c>
      <c r="R139" s="275">
        <f t="shared" si="165"/>
        <v>2032</v>
      </c>
      <c r="S139" s="275">
        <f t="shared" si="165"/>
        <v>2033</v>
      </c>
      <c r="T139" s="275">
        <f t="shared" ref="T139:AI140" si="166">S139+1</f>
        <v>2034</v>
      </c>
      <c r="U139" s="275">
        <f t="shared" si="166"/>
        <v>2035</v>
      </c>
      <c r="V139" s="275">
        <f t="shared" si="166"/>
        <v>2036</v>
      </c>
      <c r="W139" s="275">
        <f t="shared" si="166"/>
        <v>2037</v>
      </c>
      <c r="X139" s="275">
        <f t="shared" si="166"/>
        <v>2038</v>
      </c>
      <c r="Y139" s="275">
        <f t="shared" si="166"/>
        <v>2039</v>
      </c>
      <c r="Z139" s="275">
        <f t="shared" si="166"/>
        <v>2040</v>
      </c>
      <c r="AA139" s="275">
        <f t="shared" si="166"/>
        <v>2041</v>
      </c>
      <c r="AB139" s="275">
        <f t="shared" si="166"/>
        <v>2042</v>
      </c>
      <c r="AC139" s="275">
        <f t="shared" si="166"/>
        <v>2043</v>
      </c>
      <c r="AD139" s="275">
        <f t="shared" si="166"/>
        <v>2044</v>
      </c>
      <c r="AE139" s="275">
        <f t="shared" si="166"/>
        <v>2045</v>
      </c>
      <c r="AF139" s="275">
        <f t="shared" si="166"/>
        <v>2046</v>
      </c>
      <c r="AG139" s="275">
        <f t="shared" si="166"/>
        <v>2047</v>
      </c>
      <c r="AH139" s="275">
        <f t="shared" si="166"/>
        <v>2048</v>
      </c>
      <c r="AI139" s="275">
        <f t="shared" si="166"/>
        <v>2049</v>
      </c>
      <c r="AJ139" s="275">
        <f t="shared" ref="AJ139:AY140" si="167">AI139+1</f>
        <v>2050</v>
      </c>
      <c r="AK139" s="275">
        <f t="shared" si="167"/>
        <v>2051</v>
      </c>
      <c r="AL139" s="275">
        <f t="shared" si="167"/>
        <v>2052</v>
      </c>
      <c r="AM139" s="275">
        <f t="shared" si="167"/>
        <v>2053</v>
      </c>
      <c r="AN139" s="275">
        <f t="shared" si="167"/>
        <v>2054</v>
      </c>
      <c r="AO139" s="275">
        <f t="shared" si="167"/>
        <v>2055</v>
      </c>
      <c r="AP139" s="275">
        <f t="shared" si="167"/>
        <v>2056</v>
      </c>
      <c r="AQ139" s="275">
        <f t="shared" si="167"/>
        <v>2057</v>
      </c>
      <c r="AR139" s="275">
        <f t="shared" si="167"/>
        <v>2058</v>
      </c>
      <c r="AS139" s="275"/>
      <c r="AT139" s="275">
        <f t="shared" si="167"/>
        <v>1</v>
      </c>
      <c r="AU139" s="275">
        <f t="shared" si="167"/>
        <v>2</v>
      </c>
      <c r="AV139" s="275">
        <f t="shared" si="167"/>
        <v>3</v>
      </c>
      <c r="AW139" s="275">
        <f t="shared" si="167"/>
        <v>4</v>
      </c>
      <c r="AX139" s="275">
        <f t="shared" si="167"/>
        <v>5</v>
      </c>
      <c r="AY139" s="275">
        <f t="shared" si="167"/>
        <v>6</v>
      </c>
    </row>
    <row r="140" spans="1:51" hidden="1" x14ac:dyDescent="0.2">
      <c r="A140" s="266"/>
      <c r="B140" s="291">
        <v>0</v>
      </c>
      <c r="C140" s="291">
        <v>0</v>
      </c>
      <c r="D140" s="291">
        <v>0</v>
      </c>
      <c r="E140" s="291">
        <v>0</v>
      </c>
      <c r="F140" s="291">
        <v>0</v>
      </c>
      <c r="G140" s="291">
        <v>0</v>
      </c>
      <c r="H140" s="291">
        <v>1</v>
      </c>
      <c r="I140" s="291">
        <f t="shared" si="165"/>
        <v>2</v>
      </c>
      <c r="J140" s="291">
        <f t="shared" si="165"/>
        <v>3</v>
      </c>
      <c r="K140" s="291">
        <f t="shared" si="165"/>
        <v>4</v>
      </c>
      <c r="L140" s="291">
        <f t="shared" si="165"/>
        <v>5</v>
      </c>
      <c r="M140" s="291">
        <f t="shared" si="165"/>
        <v>6</v>
      </c>
      <c r="N140" s="291">
        <f t="shared" si="165"/>
        <v>7</v>
      </c>
      <c r="O140" s="291">
        <f t="shared" si="165"/>
        <v>8</v>
      </c>
      <c r="P140" s="291">
        <f t="shared" si="165"/>
        <v>9</v>
      </c>
      <c r="Q140" s="291">
        <f t="shared" si="165"/>
        <v>10</v>
      </c>
      <c r="R140" s="291">
        <f t="shared" si="165"/>
        <v>11</v>
      </c>
      <c r="S140" s="291">
        <f t="shared" si="165"/>
        <v>12</v>
      </c>
      <c r="T140" s="291">
        <f t="shared" si="166"/>
        <v>13</v>
      </c>
      <c r="U140" s="291">
        <f t="shared" si="166"/>
        <v>14</v>
      </c>
      <c r="V140" s="291">
        <f t="shared" si="166"/>
        <v>15</v>
      </c>
      <c r="W140" s="291">
        <f t="shared" si="166"/>
        <v>16</v>
      </c>
      <c r="X140" s="291">
        <f t="shared" si="166"/>
        <v>17</v>
      </c>
      <c r="Y140" s="291">
        <f t="shared" si="166"/>
        <v>18</v>
      </c>
      <c r="Z140" s="291">
        <f t="shared" si="166"/>
        <v>19</v>
      </c>
      <c r="AA140" s="291">
        <f t="shared" si="166"/>
        <v>20</v>
      </c>
      <c r="AB140" s="291">
        <f t="shared" si="166"/>
        <v>21</v>
      </c>
      <c r="AC140" s="291">
        <f t="shared" si="166"/>
        <v>22</v>
      </c>
      <c r="AD140" s="291">
        <f t="shared" si="166"/>
        <v>23</v>
      </c>
      <c r="AE140" s="291">
        <f t="shared" si="166"/>
        <v>24</v>
      </c>
      <c r="AF140" s="291">
        <f t="shared" si="166"/>
        <v>25</v>
      </c>
      <c r="AG140" s="291">
        <f t="shared" si="166"/>
        <v>26</v>
      </c>
      <c r="AH140" s="291">
        <f t="shared" si="166"/>
        <v>27</v>
      </c>
      <c r="AI140" s="291">
        <f t="shared" si="166"/>
        <v>28</v>
      </c>
      <c r="AJ140" s="291">
        <f t="shared" si="167"/>
        <v>29</v>
      </c>
      <c r="AK140" s="291">
        <f t="shared" si="167"/>
        <v>30</v>
      </c>
      <c r="AL140" s="291">
        <f t="shared" si="167"/>
        <v>31</v>
      </c>
      <c r="AM140" s="291">
        <f t="shared" si="167"/>
        <v>32</v>
      </c>
      <c r="AN140" s="291">
        <f t="shared" si="167"/>
        <v>33</v>
      </c>
      <c r="AO140" s="291">
        <f t="shared" si="167"/>
        <v>34</v>
      </c>
      <c r="AP140" s="291">
        <f>AO140+1</f>
        <v>35</v>
      </c>
      <c r="AQ140" s="291">
        <f t="shared" si="167"/>
        <v>36</v>
      </c>
      <c r="AR140" s="291">
        <f t="shared" si="167"/>
        <v>37</v>
      </c>
      <c r="AS140" s="291"/>
      <c r="AT140" s="291">
        <f t="shared" si="167"/>
        <v>1</v>
      </c>
      <c r="AU140" s="291">
        <f t="shared" si="167"/>
        <v>2</v>
      </c>
      <c r="AV140" s="291">
        <f t="shared" si="167"/>
        <v>3</v>
      </c>
      <c r="AW140" s="291">
        <f t="shared" si="167"/>
        <v>4</v>
      </c>
      <c r="AX140" s="291">
        <f t="shared" si="167"/>
        <v>5</v>
      </c>
      <c r="AY140" s="291">
        <f t="shared" si="167"/>
        <v>6</v>
      </c>
    </row>
    <row r="141" spans="1:51" ht="15" hidden="1" x14ac:dyDescent="0.2">
      <c r="A141" s="266"/>
      <c r="B141" s="292">
        <f>AVERAGE(A140:B140)</f>
        <v>0</v>
      </c>
      <c r="C141" s="292">
        <f>AVERAGE(B140:C140)</f>
        <v>0</v>
      </c>
      <c r="D141" s="292">
        <f>AVERAGE(C140:D140)</f>
        <v>0</v>
      </c>
      <c r="E141" s="292">
        <f>AVERAGE(D140:E140)</f>
        <v>0</v>
      </c>
      <c r="F141" s="292">
        <f t="shared" ref="F141:AO141" si="168">AVERAGE(E140:F140)</f>
        <v>0</v>
      </c>
      <c r="G141" s="292">
        <f t="shared" si="168"/>
        <v>0</v>
      </c>
      <c r="H141" s="292">
        <v>0.5</v>
      </c>
      <c r="I141" s="292">
        <f t="shared" si="168"/>
        <v>1.5</v>
      </c>
      <c r="J141" s="292">
        <f t="shared" si="168"/>
        <v>2.5</v>
      </c>
      <c r="K141" s="292">
        <f t="shared" si="168"/>
        <v>3.5</v>
      </c>
      <c r="L141" s="292">
        <f t="shared" si="168"/>
        <v>4.5</v>
      </c>
      <c r="M141" s="292">
        <f t="shared" si="168"/>
        <v>5.5</v>
      </c>
      <c r="N141" s="292">
        <f t="shared" si="168"/>
        <v>6.5</v>
      </c>
      <c r="O141" s="292">
        <f t="shared" si="168"/>
        <v>7.5</v>
      </c>
      <c r="P141" s="292">
        <f t="shared" si="168"/>
        <v>8.5</v>
      </c>
      <c r="Q141" s="292">
        <f t="shared" si="168"/>
        <v>9.5</v>
      </c>
      <c r="R141" s="292">
        <f t="shared" si="168"/>
        <v>10.5</v>
      </c>
      <c r="S141" s="292">
        <f t="shared" si="168"/>
        <v>11.5</v>
      </c>
      <c r="T141" s="292">
        <f t="shared" si="168"/>
        <v>12.5</v>
      </c>
      <c r="U141" s="292">
        <f t="shared" si="168"/>
        <v>13.5</v>
      </c>
      <c r="V141" s="292">
        <f t="shared" si="168"/>
        <v>14.5</v>
      </c>
      <c r="W141" s="292">
        <f t="shared" si="168"/>
        <v>15.5</v>
      </c>
      <c r="X141" s="292">
        <f t="shared" si="168"/>
        <v>16.5</v>
      </c>
      <c r="Y141" s="292">
        <f t="shared" si="168"/>
        <v>17.5</v>
      </c>
      <c r="Z141" s="292">
        <f t="shared" si="168"/>
        <v>18.5</v>
      </c>
      <c r="AA141" s="292">
        <f t="shared" si="168"/>
        <v>19.5</v>
      </c>
      <c r="AB141" s="292">
        <f t="shared" si="168"/>
        <v>20.5</v>
      </c>
      <c r="AC141" s="292">
        <f t="shared" si="168"/>
        <v>21.5</v>
      </c>
      <c r="AD141" s="292">
        <f t="shared" si="168"/>
        <v>22.5</v>
      </c>
      <c r="AE141" s="292">
        <f t="shared" si="168"/>
        <v>23.5</v>
      </c>
      <c r="AF141" s="292">
        <f t="shared" si="168"/>
        <v>24.5</v>
      </c>
      <c r="AG141" s="292">
        <f t="shared" si="168"/>
        <v>25.5</v>
      </c>
      <c r="AH141" s="292">
        <f t="shared" si="168"/>
        <v>26.5</v>
      </c>
      <c r="AI141" s="292">
        <f t="shared" si="168"/>
        <v>27.5</v>
      </c>
      <c r="AJ141" s="292">
        <f t="shared" si="168"/>
        <v>28.5</v>
      </c>
      <c r="AK141" s="292">
        <f t="shared" si="168"/>
        <v>29.5</v>
      </c>
      <c r="AL141" s="292">
        <f t="shared" si="168"/>
        <v>30.5</v>
      </c>
      <c r="AM141" s="292">
        <f t="shared" si="168"/>
        <v>31.5</v>
      </c>
      <c r="AN141" s="292">
        <f t="shared" si="168"/>
        <v>32.5</v>
      </c>
      <c r="AO141" s="292">
        <f t="shared" si="168"/>
        <v>33.5</v>
      </c>
      <c r="AP141" s="292">
        <f>AVERAGE(AO140:AP140)</f>
        <v>34.5</v>
      </c>
      <c r="AQ141" s="292">
        <f t="shared" ref="AQ141:AY141" si="169">AVERAGE(AP140:AQ140)</f>
        <v>35.5</v>
      </c>
      <c r="AR141" s="292">
        <f t="shared" si="169"/>
        <v>36.5</v>
      </c>
      <c r="AS141" s="292"/>
      <c r="AT141" s="292">
        <f t="shared" si="169"/>
        <v>1</v>
      </c>
      <c r="AU141" s="292">
        <f t="shared" si="169"/>
        <v>1.5</v>
      </c>
      <c r="AV141" s="292">
        <f t="shared" si="169"/>
        <v>2.5</v>
      </c>
      <c r="AW141" s="292">
        <f t="shared" si="169"/>
        <v>3.5</v>
      </c>
      <c r="AX141" s="292">
        <f t="shared" si="169"/>
        <v>4.5</v>
      </c>
      <c r="AY141" s="292">
        <f t="shared" si="169"/>
        <v>5.5</v>
      </c>
    </row>
    <row r="142" spans="1:51" ht="12.75" hidden="1" x14ac:dyDescent="0.2">
      <c r="A142" s="266"/>
      <c r="B142" s="221"/>
      <c r="C142" s="221" t="s">
        <v>678</v>
      </c>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row>
    <row r="143" spans="1:51" hidden="1" x14ac:dyDescent="0.2">
      <c r="A143" s="266"/>
      <c r="B143" s="221"/>
      <c r="C143" s="392" t="s">
        <v>64</v>
      </c>
      <c r="D143" s="393" t="s">
        <v>679</v>
      </c>
      <c r="E143" s="393"/>
      <c r="F143" s="393"/>
      <c r="G143" s="393"/>
      <c r="H143" s="393"/>
      <c r="I143" s="393"/>
      <c r="J143" s="393"/>
      <c r="K143" s="393"/>
      <c r="L143" s="393"/>
      <c r="M143" s="393"/>
      <c r="N143" s="393"/>
      <c r="O143" s="393"/>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row>
    <row r="144" spans="1:51" hidden="1" x14ac:dyDescent="0.2">
      <c r="A144" s="266"/>
      <c r="B144" s="221"/>
      <c r="C144" s="392"/>
      <c r="D144" s="325">
        <v>2018</v>
      </c>
      <c r="E144" s="325">
        <v>2019</v>
      </c>
      <c r="F144" s="325">
        <v>2020</v>
      </c>
      <c r="G144" s="325">
        <v>2021</v>
      </c>
      <c r="H144" s="325">
        <v>2022</v>
      </c>
      <c r="I144" s="325">
        <v>2023</v>
      </c>
      <c r="J144" s="325">
        <v>2024</v>
      </c>
      <c r="K144" s="325">
        <v>2025</v>
      </c>
      <c r="L144" s="325">
        <v>2026</v>
      </c>
      <c r="M144" s="325">
        <v>2027</v>
      </c>
      <c r="N144" s="325">
        <v>2028</v>
      </c>
      <c r="O144" s="325">
        <v>2029</v>
      </c>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row>
    <row r="145" spans="1:42" hidden="1" x14ac:dyDescent="0.25">
      <c r="A145" s="266"/>
      <c r="B145" s="221"/>
      <c r="C145" s="326" t="s">
        <v>680</v>
      </c>
      <c r="D145" s="327">
        <v>105.2557</v>
      </c>
      <c r="E145" s="327">
        <v>106.826398641827</v>
      </c>
      <c r="F145" s="327">
        <v>105.561885224957</v>
      </c>
      <c r="G145" s="327">
        <v>104.9354</v>
      </c>
      <c r="H145" s="327">
        <v>113.87439215858601</v>
      </c>
      <c r="I145" s="327">
        <v>105.89170681013999</v>
      </c>
      <c r="J145" s="327">
        <v>105.30227480021099</v>
      </c>
      <c r="K145" s="327">
        <v>104.794259089128</v>
      </c>
      <c r="L145" s="327">
        <v>104.794259089128</v>
      </c>
      <c r="M145" s="327">
        <v>104.794259089128</v>
      </c>
      <c r="N145" s="327">
        <v>104.794259089128</v>
      </c>
      <c r="O145" s="327">
        <v>104.794259089128</v>
      </c>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row>
    <row r="146" spans="1:42" ht="12.75" hidden="1" x14ac:dyDescent="0.2">
      <c r="A146" s="266"/>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row>
    <row r="147" spans="1:42" ht="12.75" hidden="1" x14ac:dyDescent="0.2">
      <c r="A147" s="266"/>
      <c r="B147" s="221"/>
      <c r="C147" s="275" t="s">
        <v>683</v>
      </c>
      <c r="D147" s="275"/>
      <c r="E147" s="275"/>
      <c r="F147" s="275"/>
      <c r="G147" s="275"/>
      <c r="H147" s="275"/>
      <c r="I147" s="275"/>
      <c r="J147" s="275"/>
      <c r="K147" s="275"/>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row>
    <row r="148" spans="1:42" ht="12.75" hidden="1" x14ac:dyDescent="0.2">
      <c r="A148" s="266"/>
      <c r="B148" s="221"/>
      <c r="C148" s="275">
        <v>2022</v>
      </c>
      <c r="D148" s="275">
        <v>2023</v>
      </c>
      <c r="E148" s="275">
        <v>2024</v>
      </c>
      <c r="F148" s="275">
        <v>2025</v>
      </c>
      <c r="G148" s="275">
        <v>2026</v>
      </c>
      <c r="H148" s="275">
        <v>2027</v>
      </c>
      <c r="I148" s="275">
        <v>2028</v>
      </c>
      <c r="J148" s="275">
        <v>2029</v>
      </c>
      <c r="K148" s="275"/>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row>
    <row r="149" spans="1:42" ht="12.75" hidden="1" x14ac:dyDescent="0.2">
      <c r="A149" s="266"/>
      <c r="B149" s="221"/>
      <c r="C149" s="275">
        <v>114.63142733059399</v>
      </c>
      <c r="D149" s="275">
        <v>106.968874824043</v>
      </c>
      <c r="E149" s="275">
        <v>105.27260918901</v>
      </c>
      <c r="F149" s="275">
        <v>104.761984318213</v>
      </c>
      <c r="G149" s="275">
        <v>104.57995653007001</v>
      </c>
      <c r="H149" s="275">
        <v>104.57995653007001</v>
      </c>
      <c r="I149" s="275">
        <v>104.57995653006968</v>
      </c>
      <c r="J149" s="275">
        <v>104.57995653006968</v>
      </c>
      <c r="K149" s="275"/>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row>
    <row r="150" spans="1:42" ht="12.75" hidden="1" x14ac:dyDescent="0.2">
      <c r="A150" s="266"/>
      <c r="B150" s="221"/>
      <c r="C150" s="275"/>
      <c r="D150" s="275"/>
      <c r="E150" s="275"/>
      <c r="F150" s="275"/>
      <c r="G150" s="275"/>
      <c r="H150" s="275"/>
      <c r="I150" s="275"/>
      <c r="J150" s="275"/>
      <c r="K150" s="275"/>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row>
    <row r="151" spans="1:42" ht="12.75" hidden="1" x14ac:dyDescent="0.2">
      <c r="A151" s="266"/>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row>
    <row r="152" spans="1:42" ht="12.75" hidden="1" x14ac:dyDescent="0.2">
      <c r="A152" s="266"/>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row>
    <row r="153" spans="1:42" ht="12.75" hidden="1" x14ac:dyDescent="0.2">
      <c r="A153" s="266"/>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row>
    <row r="154" spans="1:42" ht="12.75" hidden="1" x14ac:dyDescent="0.2">
      <c r="A154" s="266"/>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row>
    <row r="155" spans="1:42" ht="12.75" hidden="1" x14ac:dyDescent="0.2">
      <c r="A155" s="266"/>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row>
    <row r="156" spans="1:42" ht="12.75" hidden="1" x14ac:dyDescent="0.2">
      <c r="A156" s="266"/>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221"/>
      <c r="AK156" s="221"/>
      <c r="AL156" s="221"/>
      <c r="AM156" s="221"/>
      <c r="AN156" s="221"/>
      <c r="AO156" s="221"/>
      <c r="AP156" s="221"/>
    </row>
    <row r="157" spans="1:42" ht="12.75" hidden="1" x14ac:dyDescent="0.2">
      <c r="A157" s="266"/>
      <c r="B157" s="221"/>
      <c r="C157" s="221"/>
      <c r="D157" s="221"/>
      <c r="E157" s="221"/>
      <c r="F157" s="221"/>
      <c r="G157" s="221"/>
      <c r="H157" s="221"/>
      <c r="I157" s="221"/>
      <c r="J157" s="221"/>
      <c r="K157" s="221"/>
      <c r="L157" s="221"/>
      <c r="M157" s="221"/>
      <c r="N157" s="221"/>
      <c r="O157" s="221"/>
      <c r="P157" s="221"/>
      <c r="Q157" s="221"/>
      <c r="R157" s="221"/>
      <c r="S157" s="221"/>
      <c r="T157" s="221"/>
      <c r="U157" s="221"/>
      <c r="V157" s="221"/>
      <c r="W157" s="221"/>
      <c r="X157" s="221"/>
      <c r="Y157" s="221"/>
      <c r="Z157" s="221"/>
      <c r="AA157" s="221"/>
      <c r="AB157" s="221"/>
      <c r="AC157" s="221"/>
      <c r="AD157" s="221"/>
      <c r="AE157" s="221"/>
      <c r="AF157" s="221"/>
      <c r="AG157" s="221"/>
      <c r="AH157" s="221"/>
      <c r="AI157" s="221"/>
      <c r="AJ157" s="221"/>
      <c r="AK157" s="221"/>
      <c r="AL157" s="221"/>
      <c r="AM157" s="221"/>
      <c r="AN157" s="221"/>
      <c r="AO157" s="221"/>
      <c r="AP157" s="221"/>
    </row>
    <row r="158" spans="1:42" ht="12.75" hidden="1" x14ac:dyDescent="0.2">
      <c r="A158" s="266"/>
      <c r="B158" s="221"/>
      <c r="C158" s="221"/>
      <c r="D158" s="221"/>
      <c r="E158" s="221"/>
      <c r="F158" s="221"/>
      <c r="G158" s="221"/>
      <c r="H158" s="221"/>
      <c r="I158" s="221"/>
      <c r="J158" s="221"/>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row>
    <row r="159" spans="1:42" ht="12.75" hidden="1" x14ac:dyDescent="0.2">
      <c r="A159" s="266"/>
      <c r="B159" s="221"/>
      <c r="C159" s="221"/>
      <c r="D159" s="221"/>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row>
    <row r="160" spans="1:42" ht="12.75" hidden="1" x14ac:dyDescent="0.2">
      <c r="A160" s="266"/>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row>
    <row r="161" spans="1:42" ht="12.75" hidden="1" x14ac:dyDescent="0.2">
      <c r="A161" s="266"/>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row>
    <row r="162" spans="1:42" ht="12.75" hidden="1" x14ac:dyDescent="0.2">
      <c r="A162" s="266"/>
      <c r="B162" s="221"/>
      <c r="C162" s="221"/>
      <c r="D162" s="221"/>
      <c r="E162" s="221"/>
      <c r="F162" s="221"/>
      <c r="G162" s="221"/>
      <c r="H162" s="221"/>
      <c r="I162" s="221"/>
      <c r="J162" s="221"/>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row>
    <row r="163" spans="1:42" ht="12.75" hidden="1" x14ac:dyDescent="0.2">
      <c r="A163" s="266"/>
      <c r="B163" s="221"/>
      <c r="C163" s="221"/>
      <c r="D163" s="221"/>
      <c r="E163" s="221"/>
      <c r="F163" s="221"/>
      <c r="G163" s="221"/>
      <c r="H163" s="221"/>
      <c r="I163" s="221"/>
      <c r="J163" s="221"/>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row>
    <row r="164" spans="1:42" ht="12.75" hidden="1" x14ac:dyDescent="0.2">
      <c r="A164" s="266"/>
      <c r="B164" s="221"/>
      <c r="C164" s="221"/>
      <c r="D164" s="221"/>
      <c r="E164" s="221"/>
      <c r="F164" s="221"/>
      <c r="G164" s="221"/>
      <c r="H164" s="221"/>
      <c r="I164" s="221"/>
      <c r="J164" s="221"/>
      <c r="K164" s="221"/>
      <c r="L164" s="221"/>
      <c r="M164" s="221"/>
      <c r="N164" s="221"/>
      <c r="O164" s="221"/>
      <c r="P164" s="221"/>
      <c r="Q164" s="221"/>
      <c r="R164" s="221"/>
      <c r="S164" s="221"/>
      <c r="T164" s="221"/>
      <c r="U164" s="221"/>
      <c r="V164" s="221"/>
      <c r="W164" s="221"/>
      <c r="X164" s="221"/>
      <c r="Y164" s="221"/>
      <c r="Z164" s="221"/>
      <c r="AA164" s="221"/>
      <c r="AB164" s="221"/>
      <c r="AC164" s="221"/>
      <c r="AD164" s="221"/>
      <c r="AE164" s="221"/>
      <c r="AF164" s="221"/>
      <c r="AG164" s="221"/>
      <c r="AH164" s="221"/>
      <c r="AI164" s="221"/>
      <c r="AJ164" s="221"/>
      <c r="AK164" s="221"/>
      <c r="AL164" s="221"/>
      <c r="AM164" s="221"/>
      <c r="AN164" s="221"/>
      <c r="AO164" s="221"/>
      <c r="AP164" s="221"/>
    </row>
    <row r="165" spans="1:42" ht="12.75" hidden="1" x14ac:dyDescent="0.2">
      <c r="A165" s="266"/>
      <c r="B165" s="221"/>
      <c r="C165" s="221"/>
      <c r="D165" s="221"/>
      <c r="E165" s="221"/>
      <c r="F165" s="221"/>
      <c r="G165" s="221"/>
      <c r="H165" s="221"/>
      <c r="I165" s="221"/>
      <c r="J165" s="221"/>
      <c r="K165" s="221"/>
      <c r="L165" s="221"/>
      <c r="M165" s="221"/>
      <c r="N165" s="221"/>
      <c r="O165" s="221"/>
      <c r="P165" s="221"/>
      <c r="Q165" s="221"/>
      <c r="R165" s="221"/>
      <c r="S165" s="221"/>
      <c r="T165" s="221"/>
      <c r="U165" s="221"/>
      <c r="V165" s="221"/>
      <c r="W165" s="221"/>
      <c r="X165" s="221"/>
      <c r="Y165" s="221"/>
      <c r="Z165" s="221"/>
      <c r="AA165" s="221"/>
      <c r="AB165" s="221"/>
      <c r="AC165" s="221"/>
      <c r="AD165" s="221"/>
      <c r="AE165" s="221"/>
      <c r="AF165" s="221"/>
      <c r="AG165" s="221"/>
      <c r="AH165" s="221"/>
      <c r="AI165" s="221"/>
      <c r="AJ165" s="221"/>
      <c r="AK165" s="221"/>
      <c r="AL165" s="221"/>
      <c r="AM165" s="221"/>
      <c r="AN165" s="221"/>
      <c r="AO165" s="221"/>
      <c r="AP165" s="221"/>
    </row>
    <row r="166" spans="1:42" ht="12.75" hidden="1" x14ac:dyDescent="0.2">
      <c r="A166" s="266"/>
      <c r="B166" s="221"/>
      <c r="C166" s="221"/>
      <c r="D166" s="221"/>
      <c r="E166" s="221"/>
      <c r="F166" s="221"/>
      <c r="G166" s="221"/>
      <c r="H166" s="221"/>
      <c r="I166" s="221"/>
      <c r="J166" s="221"/>
      <c r="K166" s="221"/>
      <c r="L166" s="221"/>
      <c r="M166" s="221"/>
      <c r="N166" s="221"/>
      <c r="O166" s="221"/>
      <c r="P166" s="221"/>
      <c r="Q166" s="221"/>
      <c r="R166" s="221"/>
      <c r="S166" s="221"/>
      <c r="T166" s="221"/>
      <c r="U166" s="221"/>
      <c r="V166" s="221"/>
      <c r="W166" s="221"/>
      <c r="X166" s="221"/>
      <c r="Y166" s="221"/>
      <c r="Z166" s="221"/>
      <c r="AA166" s="221"/>
      <c r="AB166" s="221"/>
      <c r="AC166" s="221"/>
      <c r="AD166" s="221"/>
      <c r="AE166" s="221"/>
      <c r="AF166" s="221"/>
      <c r="AG166" s="221"/>
      <c r="AH166" s="221"/>
      <c r="AI166" s="221"/>
      <c r="AJ166" s="221"/>
      <c r="AK166" s="221"/>
      <c r="AL166" s="221"/>
      <c r="AM166" s="221"/>
      <c r="AN166" s="221"/>
      <c r="AO166" s="221"/>
      <c r="AP166" s="221"/>
    </row>
    <row r="167" spans="1:42" ht="12.75" hidden="1" x14ac:dyDescent="0.2">
      <c r="A167" s="266"/>
      <c r="B167" s="221"/>
      <c r="C167" s="221"/>
      <c r="D167" s="221"/>
      <c r="E167" s="221"/>
      <c r="F167" s="221"/>
      <c r="G167" s="221"/>
      <c r="H167" s="221"/>
      <c r="I167" s="221"/>
      <c r="J167" s="221"/>
      <c r="K167" s="221"/>
      <c r="L167" s="221"/>
      <c r="M167" s="221"/>
      <c r="N167" s="221"/>
      <c r="O167" s="221"/>
      <c r="P167" s="221"/>
      <c r="Q167" s="221"/>
      <c r="R167" s="221"/>
      <c r="S167" s="221"/>
      <c r="T167" s="221"/>
      <c r="U167" s="221"/>
      <c r="V167" s="221"/>
      <c r="W167" s="221"/>
      <c r="X167" s="221"/>
      <c r="Y167" s="221"/>
      <c r="Z167" s="221"/>
      <c r="AA167" s="221"/>
      <c r="AB167" s="221"/>
      <c r="AC167" s="221"/>
      <c r="AD167" s="221"/>
      <c r="AE167" s="221"/>
      <c r="AF167" s="221"/>
      <c r="AG167" s="221"/>
      <c r="AH167" s="221"/>
      <c r="AI167" s="221"/>
      <c r="AJ167" s="221"/>
      <c r="AK167" s="221"/>
      <c r="AL167" s="221"/>
      <c r="AM167" s="221"/>
      <c r="AN167" s="221"/>
      <c r="AO167" s="221"/>
      <c r="AP167" s="221"/>
    </row>
    <row r="168" spans="1:42" ht="12.75" hidden="1" x14ac:dyDescent="0.2">
      <c r="A168" s="266"/>
      <c r="B168" s="221"/>
      <c r="C168" s="221"/>
      <c r="D168" s="221"/>
      <c r="E168" s="221"/>
      <c r="F168" s="221"/>
      <c r="G168" s="221"/>
      <c r="H168" s="221"/>
      <c r="I168" s="221"/>
      <c r="J168" s="221"/>
      <c r="K168" s="221"/>
      <c r="L168" s="221"/>
      <c r="M168" s="221"/>
      <c r="N168" s="221"/>
      <c r="O168" s="221"/>
      <c r="P168" s="221"/>
      <c r="Q168" s="221"/>
      <c r="R168" s="221"/>
      <c r="S168" s="221"/>
      <c r="T168" s="221"/>
      <c r="U168" s="221"/>
      <c r="V168" s="221"/>
      <c r="W168" s="221"/>
      <c r="X168" s="221"/>
      <c r="Y168" s="221"/>
      <c r="Z168" s="221"/>
      <c r="AA168" s="221"/>
      <c r="AB168" s="221"/>
      <c r="AC168" s="221"/>
      <c r="AD168" s="221"/>
      <c r="AE168" s="221"/>
      <c r="AF168" s="221"/>
      <c r="AG168" s="221"/>
      <c r="AH168" s="221"/>
      <c r="AI168" s="221"/>
      <c r="AJ168" s="221"/>
      <c r="AK168" s="221"/>
      <c r="AL168" s="221"/>
      <c r="AM168" s="221"/>
      <c r="AN168" s="221"/>
      <c r="AO168" s="221"/>
      <c r="AP168" s="221"/>
    </row>
    <row r="169" spans="1:42" ht="12.75" hidden="1" x14ac:dyDescent="0.2">
      <c r="A169" s="266"/>
      <c r="B169" s="221"/>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c r="AH169" s="221"/>
      <c r="AI169" s="221"/>
      <c r="AJ169" s="221"/>
      <c r="AK169" s="221"/>
      <c r="AL169" s="221"/>
      <c r="AM169" s="221"/>
      <c r="AN169" s="221"/>
      <c r="AO169" s="221"/>
      <c r="AP169" s="221"/>
    </row>
    <row r="170" spans="1:42" ht="12.75" hidden="1" x14ac:dyDescent="0.2">
      <c r="A170" s="266"/>
      <c r="B170" s="221"/>
      <c r="C170" s="221"/>
      <c r="D170" s="221"/>
      <c r="E170" s="221"/>
      <c r="F170" s="221"/>
      <c r="G170" s="221"/>
      <c r="H170" s="221"/>
      <c r="I170" s="221"/>
      <c r="J170" s="221"/>
      <c r="K170" s="221"/>
      <c r="L170" s="221"/>
      <c r="M170" s="221"/>
      <c r="N170" s="221"/>
      <c r="O170" s="221"/>
      <c r="P170" s="221"/>
      <c r="Q170" s="221"/>
      <c r="R170" s="221"/>
      <c r="S170" s="221"/>
      <c r="T170" s="221"/>
      <c r="U170" s="221"/>
      <c r="V170" s="221"/>
      <c r="W170" s="221"/>
      <c r="X170" s="221"/>
      <c r="Y170" s="221"/>
      <c r="Z170" s="221"/>
      <c r="AA170" s="221"/>
      <c r="AB170" s="221"/>
      <c r="AC170" s="221"/>
      <c r="AD170" s="221"/>
      <c r="AE170" s="221"/>
      <c r="AF170" s="221"/>
      <c r="AG170" s="221"/>
      <c r="AH170" s="221"/>
      <c r="AI170" s="221"/>
      <c r="AJ170" s="221"/>
      <c r="AK170" s="221"/>
      <c r="AL170" s="221"/>
      <c r="AM170" s="221"/>
      <c r="AN170" s="221"/>
      <c r="AO170" s="221"/>
      <c r="AP170" s="221"/>
    </row>
    <row r="171" spans="1:42" ht="12.75" hidden="1" x14ac:dyDescent="0.2">
      <c r="A171" s="266"/>
      <c r="B171" s="221"/>
      <c r="C171" s="221"/>
      <c r="D171" s="221"/>
      <c r="E171" s="221"/>
      <c r="F171" s="221"/>
      <c r="G171" s="221"/>
      <c r="H171" s="221"/>
      <c r="I171" s="221"/>
      <c r="J171" s="221"/>
      <c r="K171" s="221"/>
      <c r="L171" s="221"/>
      <c r="M171" s="221"/>
      <c r="N171" s="221"/>
      <c r="O171" s="221"/>
      <c r="P171" s="221"/>
      <c r="Q171" s="221"/>
      <c r="R171" s="221"/>
      <c r="S171" s="221"/>
      <c r="T171" s="221"/>
      <c r="U171" s="221"/>
      <c r="V171" s="221"/>
      <c r="W171" s="221"/>
      <c r="X171" s="221"/>
      <c r="Y171" s="221"/>
      <c r="Z171" s="221"/>
      <c r="AA171" s="221"/>
      <c r="AB171" s="221"/>
      <c r="AC171" s="221"/>
      <c r="AD171" s="221"/>
      <c r="AE171" s="221"/>
      <c r="AF171" s="221"/>
      <c r="AG171" s="221"/>
      <c r="AH171" s="221"/>
      <c r="AI171" s="221"/>
      <c r="AJ171" s="221"/>
      <c r="AK171" s="221"/>
      <c r="AL171" s="221"/>
      <c r="AM171" s="221"/>
      <c r="AN171" s="221"/>
      <c r="AO171" s="221"/>
      <c r="AP171" s="221"/>
    </row>
    <row r="172" spans="1:42" ht="12.75" hidden="1" x14ac:dyDescent="0.2">
      <c r="A172" s="266"/>
      <c r="B172" s="221"/>
      <c r="C172" s="221"/>
      <c r="D172" s="221"/>
      <c r="E172" s="221"/>
      <c r="F172" s="221"/>
      <c r="G172" s="221"/>
      <c r="H172" s="221"/>
      <c r="I172" s="221"/>
      <c r="J172" s="221"/>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row>
    <row r="173" spans="1:42" ht="12.75" hidden="1" x14ac:dyDescent="0.2">
      <c r="A173" s="266"/>
      <c r="B173" s="221"/>
      <c r="C173" s="221"/>
      <c r="D173" s="221"/>
      <c r="E173" s="221"/>
      <c r="F173" s="221"/>
      <c r="G173" s="221"/>
      <c r="H173" s="221"/>
      <c r="I173" s="221"/>
      <c r="J173" s="221"/>
      <c r="K173" s="221"/>
      <c r="L173" s="221"/>
      <c r="M173" s="221"/>
      <c r="N173" s="221"/>
      <c r="O173" s="221"/>
      <c r="P173" s="221"/>
      <c r="Q173" s="221"/>
      <c r="R173" s="221"/>
      <c r="S173" s="221"/>
      <c r="T173" s="221"/>
      <c r="U173" s="221"/>
      <c r="V173" s="221"/>
      <c r="W173" s="221"/>
      <c r="X173" s="221"/>
      <c r="Y173" s="221"/>
      <c r="Z173" s="221"/>
      <c r="AA173" s="221"/>
      <c r="AB173" s="221"/>
      <c r="AC173" s="221"/>
      <c r="AD173" s="221"/>
      <c r="AE173" s="221"/>
      <c r="AF173" s="221"/>
      <c r="AG173" s="221"/>
      <c r="AH173" s="221"/>
      <c r="AI173" s="221"/>
      <c r="AJ173" s="221"/>
      <c r="AK173" s="221"/>
      <c r="AL173" s="221"/>
      <c r="AM173" s="221"/>
      <c r="AN173" s="221"/>
      <c r="AO173" s="221"/>
      <c r="AP173" s="221"/>
    </row>
    <row r="174" spans="1:42" ht="12.75" hidden="1" x14ac:dyDescent="0.2">
      <c r="A174" s="266"/>
      <c r="B174" s="221"/>
      <c r="C174" s="221"/>
      <c r="D174" s="221"/>
      <c r="E174" s="221"/>
      <c r="F174" s="221"/>
      <c r="G174" s="221"/>
      <c r="H174" s="221"/>
      <c r="I174" s="221"/>
      <c r="J174" s="221"/>
      <c r="K174" s="221"/>
      <c r="L174" s="221"/>
      <c r="M174" s="221"/>
      <c r="N174" s="221"/>
      <c r="O174" s="221"/>
      <c r="P174" s="221"/>
      <c r="Q174" s="221"/>
      <c r="R174" s="221"/>
      <c r="S174" s="221"/>
      <c r="T174" s="221"/>
      <c r="U174" s="221"/>
      <c r="V174" s="221"/>
      <c r="W174" s="221"/>
      <c r="X174" s="221"/>
      <c r="Y174" s="221"/>
      <c r="Z174" s="221"/>
      <c r="AA174" s="221"/>
      <c r="AB174" s="221"/>
      <c r="AC174" s="221"/>
      <c r="AD174" s="221"/>
      <c r="AE174" s="221"/>
      <c r="AF174" s="221"/>
      <c r="AG174" s="221"/>
      <c r="AH174" s="221"/>
      <c r="AI174" s="221"/>
      <c r="AJ174" s="221"/>
      <c r="AK174" s="221"/>
      <c r="AL174" s="221"/>
      <c r="AM174" s="221"/>
      <c r="AN174" s="221"/>
      <c r="AO174" s="221"/>
      <c r="AP174" s="221"/>
    </row>
    <row r="175" spans="1:42" ht="12.75" hidden="1" x14ac:dyDescent="0.2">
      <c r="A175" s="266"/>
      <c r="B175" s="221"/>
      <c r="C175" s="221"/>
      <c r="D175" s="221"/>
      <c r="E175" s="221"/>
      <c r="F175" s="221"/>
      <c r="G175" s="221"/>
      <c r="H175" s="221"/>
      <c r="I175" s="221"/>
      <c r="J175" s="221"/>
      <c r="K175" s="221"/>
      <c r="L175" s="221"/>
      <c r="M175" s="221"/>
      <c r="N175" s="221"/>
      <c r="O175" s="221"/>
      <c r="P175" s="221"/>
      <c r="Q175" s="221"/>
      <c r="R175" s="221"/>
      <c r="S175" s="221"/>
      <c r="T175" s="221"/>
      <c r="U175" s="221"/>
      <c r="V175" s="221"/>
      <c r="W175" s="221"/>
      <c r="X175" s="221"/>
      <c r="Y175" s="221"/>
      <c r="Z175" s="221"/>
      <c r="AA175" s="221"/>
      <c r="AB175" s="221"/>
      <c r="AC175" s="221"/>
      <c r="AD175" s="221"/>
      <c r="AE175" s="221"/>
      <c r="AF175" s="221"/>
      <c r="AG175" s="221"/>
      <c r="AH175" s="221"/>
      <c r="AI175" s="221"/>
      <c r="AJ175" s="221"/>
      <c r="AK175" s="221"/>
      <c r="AL175" s="221"/>
      <c r="AM175" s="221"/>
      <c r="AN175" s="221"/>
      <c r="AO175" s="221"/>
      <c r="AP175" s="221"/>
    </row>
    <row r="176" spans="1:42" ht="12.75" hidden="1" x14ac:dyDescent="0.2">
      <c r="A176" s="266"/>
      <c r="B176" s="221"/>
      <c r="C176" s="221"/>
      <c r="D176" s="221"/>
      <c r="E176" s="221"/>
      <c r="F176" s="221"/>
      <c r="G176" s="221"/>
      <c r="H176" s="221"/>
      <c r="I176" s="221"/>
      <c r="J176" s="221"/>
      <c r="K176" s="221"/>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row>
    <row r="177" spans="1:42" ht="12.75" hidden="1" x14ac:dyDescent="0.2">
      <c r="A177" s="266"/>
      <c r="B177" s="221"/>
      <c r="C177" s="221"/>
      <c r="D177" s="221"/>
      <c r="E177" s="221"/>
      <c r="F177" s="221"/>
      <c r="G177" s="221"/>
      <c r="H177" s="221"/>
      <c r="I177" s="221"/>
      <c r="J177" s="221"/>
      <c r="K177" s="221"/>
      <c r="L177" s="221"/>
      <c r="M177" s="221"/>
      <c r="N177" s="221"/>
      <c r="O177" s="221"/>
      <c r="P177" s="221"/>
      <c r="Q177" s="221"/>
      <c r="R177" s="221"/>
      <c r="S177" s="221"/>
      <c r="T177" s="221"/>
      <c r="U177" s="221"/>
      <c r="V177" s="221"/>
      <c r="W177" s="221"/>
      <c r="X177" s="221"/>
      <c r="Y177" s="221"/>
      <c r="Z177" s="221"/>
      <c r="AA177" s="221"/>
      <c r="AB177" s="221"/>
      <c r="AC177" s="221"/>
      <c r="AD177" s="221"/>
      <c r="AE177" s="221"/>
      <c r="AF177" s="221"/>
      <c r="AG177" s="221"/>
      <c r="AH177" s="221"/>
      <c r="AI177" s="221"/>
      <c r="AJ177" s="221"/>
      <c r="AK177" s="221"/>
      <c r="AL177" s="221"/>
      <c r="AM177" s="221"/>
      <c r="AN177" s="221"/>
      <c r="AO177" s="221"/>
      <c r="AP177" s="221"/>
    </row>
    <row r="178" spans="1:42" ht="12.75" hidden="1" x14ac:dyDescent="0.2">
      <c r="A178" s="266"/>
      <c r="B178" s="221"/>
      <c r="C178" s="221"/>
      <c r="D178" s="221"/>
      <c r="E178" s="221"/>
      <c r="F178" s="221"/>
      <c r="G178" s="221"/>
      <c r="H178" s="221"/>
      <c r="I178" s="221"/>
      <c r="J178" s="221"/>
      <c r="K178" s="221"/>
      <c r="L178" s="221"/>
      <c r="M178" s="221"/>
      <c r="N178" s="221"/>
      <c r="O178" s="221"/>
      <c r="P178" s="221"/>
      <c r="Q178" s="221"/>
      <c r="R178" s="221"/>
      <c r="S178" s="221"/>
      <c r="T178" s="221"/>
      <c r="U178" s="221"/>
      <c r="V178" s="221"/>
      <c r="W178" s="221"/>
      <c r="X178" s="221"/>
      <c r="Y178" s="221"/>
      <c r="Z178" s="221"/>
      <c r="AA178" s="221"/>
      <c r="AB178" s="221"/>
      <c r="AC178" s="221"/>
      <c r="AD178" s="221"/>
      <c r="AE178" s="221"/>
      <c r="AF178" s="221"/>
      <c r="AG178" s="221"/>
      <c r="AH178" s="221"/>
      <c r="AI178" s="221"/>
      <c r="AJ178" s="221"/>
      <c r="AK178" s="221"/>
      <c r="AL178" s="221"/>
      <c r="AM178" s="221"/>
      <c r="AN178" s="221"/>
      <c r="AO178" s="221"/>
      <c r="AP178" s="221"/>
    </row>
    <row r="179" spans="1:42" ht="12.75" hidden="1" x14ac:dyDescent="0.2">
      <c r="A179" s="266"/>
      <c r="B179" s="221"/>
      <c r="C179" s="221"/>
      <c r="D179" s="221"/>
      <c r="E179" s="221"/>
      <c r="F179" s="221"/>
      <c r="G179" s="221"/>
      <c r="H179" s="221"/>
      <c r="I179" s="221"/>
      <c r="J179" s="221"/>
      <c r="K179" s="221"/>
      <c r="L179" s="221"/>
      <c r="M179" s="221"/>
      <c r="N179" s="221"/>
      <c r="O179" s="221"/>
      <c r="P179" s="221"/>
      <c r="Q179" s="221"/>
      <c r="R179" s="221"/>
      <c r="S179" s="221"/>
      <c r="T179" s="221"/>
      <c r="U179" s="221"/>
      <c r="V179" s="221"/>
      <c r="W179" s="221"/>
      <c r="X179" s="221"/>
      <c r="Y179" s="221"/>
      <c r="Z179" s="221"/>
      <c r="AA179" s="221"/>
      <c r="AB179" s="221"/>
      <c r="AC179" s="221"/>
      <c r="AD179" s="221"/>
      <c r="AE179" s="221"/>
      <c r="AF179" s="221"/>
      <c r="AG179" s="221"/>
      <c r="AH179" s="221"/>
      <c r="AI179" s="221"/>
      <c r="AJ179" s="221"/>
      <c r="AK179" s="221"/>
      <c r="AL179" s="221"/>
      <c r="AM179" s="221"/>
      <c r="AN179" s="221"/>
      <c r="AO179" s="221"/>
      <c r="AP179" s="221"/>
    </row>
    <row r="180" spans="1:42" ht="12.75" hidden="1" x14ac:dyDescent="0.2">
      <c r="A180" s="266"/>
      <c r="B180" s="221"/>
      <c r="C180" s="221"/>
      <c r="D180" s="221"/>
      <c r="E180" s="221"/>
      <c r="F180" s="221"/>
      <c r="G180" s="221"/>
      <c r="H180" s="221"/>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row>
    <row r="181" spans="1:42" ht="12.75" hidden="1" x14ac:dyDescent="0.2">
      <c r="A181" s="266"/>
      <c r="B181" s="221"/>
      <c r="C181" s="221"/>
      <c r="D181" s="221"/>
      <c r="E181" s="221"/>
      <c r="F181" s="221"/>
      <c r="G181" s="221"/>
      <c r="H181" s="221"/>
      <c r="I181" s="221"/>
      <c r="J181" s="221"/>
      <c r="K181" s="221"/>
      <c r="L181" s="221"/>
      <c r="M181" s="221"/>
      <c r="N181" s="221"/>
      <c r="O181" s="221"/>
      <c r="P181" s="221"/>
      <c r="Q181" s="221"/>
      <c r="R181" s="221"/>
      <c r="S181" s="221"/>
      <c r="T181" s="221"/>
      <c r="U181" s="221"/>
      <c r="V181" s="221"/>
      <c r="W181" s="221"/>
      <c r="X181" s="221"/>
      <c r="Y181" s="221"/>
      <c r="Z181" s="221"/>
      <c r="AA181" s="221"/>
      <c r="AB181" s="221"/>
      <c r="AC181" s="221"/>
      <c r="AD181" s="221"/>
      <c r="AE181" s="221"/>
      <c r="AF181" s="221"/>
      <c r="AG181" s="221"/>
      <c r="AH181" s="221"/>
      <c r="AI181" s="221"/>
      <c r="AJ181" s="221"/>
      <c r="AK181" s="221"/>
      <c r="AL181" s="221"/>
      <c r="AM181" s="221"/>
      <c r="AN181" s="221"/>
      <c r="AO181" s="221"/>
      <c r="AP181" s="221"/>
    </row>
    <row r="182" spans="1:42" ht="12.75" hidden="1" x14ac:dyDescent="0.2">
      <c r="A182" s="266"/>
      <c r="B182" s="221"/>
      <c r="C182" s="221"/>
      <c r="D182" s="221"/>
      <c r="E182" s="221"/>
      <c r="F182" s="221"/>
      <c r="G182" s="221"/>
      <c r="H182" s="221"/>
      <c r="I182" s="221"/>
      <c r="J182" s="221"/>
      <c r="K182" s="221"/>
      <c r="L182" s="221"/>
      <c r="M182" s="221"/>
      <c r="N182" s="221"/>
      <c r="O182" s="221"/>
      <c r="P182" s="221"/>
      <c r="Q182" s="221"/>
      <c r="R182" s="221"/>
      <c r="S182" s="221"/>
      <c r="T182" s="221"/>
      <c r="U182" s="221"/>
      <c r="V182" s="221"/>
      <c r="W182" s="221"/>
      <c r="X182" s="221"/>
      <c r="Y182" s="221"/>
      <c r="Z182" s="221"/>
      <c r="AA182" s="221"/>
      <c r="AB182" s="221"/>
      <c r="AC182" s="221"/>
      <c r="AD182" s="221"/>
      <c r="AE182" s="221"/>
      <c r="AF182" s="221"/>
      <c r="AG182" s="221"/>
      <c r="AH182" s="221"/>
      <c r="AI182" s="221"/>
      <c r="AJ182" s="221"/>
      <c r="AK182" s="221"/>
      <c r="AL182" s="221"/>
      <c r="AM182" s="221"/>
      <c r="AN182" s="221"/>
      <c r="AO182" s="221"/>
      <c r="AP182" s="221"/>
    </row>
    <row r="183" spans="1:42" ht="12.75" x14ac:dyDescent="0.2">
      <c r="A183" s="266"/>
      <c r="B183" s="221"/>
      <c r="C183" s="221"/>
      <c r="D183" s="221"/>
      <c r="E183" s="221"/>
      <c r="F183" s="221"/>
      <c r="G183" s="221"/>
      <c r="H183" s="221"/>
      <c r="I183" s="221"/>
      <c r="J183" s="221"/>
      <c r="K183" s="221"/>
      <c r="L183" s="221"/>
      <c r="M183" s="221"/>
      <c r="N183" s="221"/>
      <c r="O183" s="221"/>
      <c r="P183" s="221"/>
      <c r="Q183" s="221"/>
      <c r="R183" s="221"/>
      <c r="S183" s="221"/>
      <c r="T183" s="221"/>
      <c r="U183" s="221"/>
      <c r="V183" s="221"/>
      <c r="W183" s="221"/>
      <c r="X183" s="221"/>
      <c r="Y183" s="221"/>
      <c r="Z183" s="221"/>
      <c r="AA183" s="221"/>
      <c r="AB183" s="221"/>
      <c r="AC183" s="221"/>
      <c r="AD183" s="221"/>
      <c r="AE183" s="221"/>
      <c r="AF183" s="221"/>
      <c r="AG183" s="221"/>
      <c r="AH183" s="221"/>
      <c r="AI183" s="221"/>
      <c r="AJ183" s="221"/>
      <c r="AK183" s="221"/>
      <c r="AL183" s="221"/>
      <c r="AM183" s="221"/>
      <c r="AN183" s="221"/>
      <c r="AO183" s="221"/>
      <c r="AP183" s="221"/>
    </row>
    <row r="184" spans="1:42" ht="12.75" x14ac:dyDescent="0.2">
      <c r="A184" s="266"/>
      <c r="B184" s="221"/>
      <c r="C184" s="221"/>
      <c r="D184" s="221"/>
      <c r="E184" s="221"/>
      <c r="F184" s="221"/>
      <c r="G184" s="221"/>
      <c r="H184" s="221"/>
      <c r="I184" s="221"/>
      <c r="J184" s="221"/>
      <c r="K184" s="221"/>
      <c r="L184" s="221"/>
      <c r="M184" s="221"/>
      <c r="N184" s="221"/>
      <c r="O184" s="221"/>
      <c r="P184" s="221"/>
      <c r="Q184" s="221"/>
      <c r="R184" s="221"/>
      <c r="S184" s="221"/>
      <c r="T184" s="221"/>
      <c r="U184" s="221"/>
      <c r="V184" s="221"/>
      <c r="W184" s="221"/>
      <c r="X184" s="221"/>
      <c r="Y184" s="221"/>
      <c r="Z184" s="221"/>
      <c r="AA184" s="221"/>
      <c r="AB184" s="221"/>
      <c r="AC184" s="221"/>
      <c r="AD184" s="221"/>
      <c r="AE184" s="221"/>
      <c r="AF184" s="221"/>
      <c r="AG184" s="221"/>
      <c r="AH184" s="221"/>
      <c r="AI184" s="221"/>
      <c r="AJ184" s="221"/>
      <c r="AK184" s="221"/>
      <c r="AL184" s="221"/>
      <c r="AM184" s="221"/>
      <c r="AN184" s="221"/>
      <c r="AO184" s="221"/>
      <c r="AP184" s="221"/>
    </row>
    <row r="185" spans="1:42" ht="12.75" x14ac:dyDescent="0.2">
      <c r="A185" s="266"/>
      <c r="B185" s="221"/>
      <c r="C185" s="221"/>
      <c r="D185" s="221"/>
      <c r="E185" s="221"/>
      <c r="F185" s="221"/>
      <c r="G185" s="221"/>
      <c r="H185" s="221"/>
      <c r="I185" s="221"/>
      <c r="J185" s="221"/>
      <c r="K185" s="221"/>
      <c r="L185" s="221"/>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row>
    <row r="186" spans="1:42" ht="12.75" x14ac:dyDescent="0.2">
      <c r="A186" s="266"/>
      <c r="B186" s="221"/>
      <c r="C186" s="221"/>
      <c r="D186" s="221"/>
      <c r="E186" s="221"/>
      <c r="F186" s="221"/>
      <c r="G186" s="221"/>
      <c r="H186" s="221"/>
      <c r="I186" s="221"/>
      <c r="J186" s="221"/>
      <c r="K186" s="221"/>
      <c r="L186" s="221"/>
      <c r="M186" s="221"/>
      <c r="N186" s="221"/>
      <c r="O186" s="221"/>
      <c r="P186" s="221"/>
      <c r="Q186" s="221"/>
      <c r="R186" s="221"/>
      <c r="S186" s="221"/>
      <c r="T186" s="221"/>
      <c r="U186" s="221"/>
      <c r="V186" s="221"/>
      <c r="W186" s="221"/>
      <c r="X186" s="221"/>
      <c r="Y186" s="221"/>
      <c r="Z186" s="221"/>
      <c r="AA186" s="221"/>
      <c r="AB186" s="221"/>
      <c r="AC186" s="221"/>
      <c r="AD186" s="221"/>
      <c r="AE186" s="221"/>
      <c r="AF186" s="221"/>
      <c r="AG186" s="221"/>
      <c r="AH186" s="221"/>
      <c r="AI186" s="221"/>
      <c r="AJ186" s="221"/>
      <c r="AK186" s="221"/>
      <c r="AL186" s="221"/>
      <c r="AM186" s="221"/>
      <c r="AN186" s="221"/>
      <c r="AO186" s="221"/>
      <c r="AP186" s="221"/>
    </row>
    <row r="187" spans="1:42" ht="12.75" x14ac:dyDescent="0.2">
      <c r="A187" s="266"/>
      <c r="B187" s="221"/>
      <c r="C187" s="221"/>
      <c r="D187" s="221"/>
      <c r="E187" s="221"/>
      <c r="F187" s="221"/>
      <c r="G187" s="221"/>
      <c r="H187" s="221"/>
      <c r="I187" s="221"/>
      <c r="J187" s="221"/>
      <c r="K187" s="221"/>
      <c r="L187" s="221"/>
      <c r="M187" s="221"/>
      <c r="N187" s="221"/>
      <c r="O187" s="221"/>
      <c r="P187" s="221"/>
      <c r="Q187" s="221"/>
      <c r="R187" s="221"/>
      <c r="S187" s="221"/>
      <c r="T187" s="221"/>
      <c r="U187" s="221"/>
      <c r="V187" s="221"/>
      <c r="W187" s="221"/>
      <c r="X187" s="221"/>
      <c r="Y187" s="221"/>
      <c r="Z187" s="221"/>
      <c r="AA187" s="221"/>
      <c r="AB187" s="221"/>
      <c r="AC187" s="221"/>
      <c r="AD187" s="221"/>
      <c r="AE187" s="221"/>
      <c r="AF187" s="221"/>
      <c r="AG187" s="221"/>
      <c r="AH187" s="221"/>
      <c r="AI187" s="221"/>
      <c r="AJ187" s="221"/>
      <c r="AK187" s="221"/>
      <c r="AL187" s="221"/>
      <c r="AM187" s="221"/>
      <c r="AN187" s="221"/>
      <c r="AO187" s="221"/>
      <c r="AP187" s="221"/>
    </row>
    <row r="188" spans="1:42" ht="12.75" x14ac:dyDescent="0.2">
      <c r="A188" s="266"/>
      <c r="B188" s="221"/>
      <c r="C188" s="221"/>
      <c r="D188" s="221"/>
      <c r="E188" s="221"/>
      <c r="F188" s="221"/>
      <c r="G188" s="221"/>
      <c r="H188" s="221"/>
      <c r="I188" s="221"/>
      <c r="J188" s="221"/>
      <c r="K188" s="221"/>
      <c r="L188" s="221"/>
      <c r="M188" s="221"/>
      <c r="N188" s="221"/>
      <c r="O188" s="221"/>
      <c r="P188" s="221"/>
      <c r="Q188" s="221"/>
      <c r="R188" s="221"/>
      <c r="S188" s="221"/>
      <c r="T188" s="221"/>
      <c r="U188" s="221"/>
      <c r="V188" s="221"/>
      <c r="W188" s="221"/>
      <c r="X188" s="221"/>
      <c r="Y188" s="221"/>
      <c r="Z188" s="221"/>
      <c r="AA188" s="221"/>
      <c r="AB188" s="221"/>
      <c r="AC188" s="221"/>
      <c r="AD188" s="221"/>
      <c r="AE188" s="221"/>
      <c r="AF188" s="221"/>
      <c r="AG188" s="221"/>
      <c r="AH188" s="221"/>
      <c r="AI188" s="221"/>
      <c r="AJ188" s="221"/>
      <c r="AK188" s="221"/>
      <c r="AL188" s="221"/>
      <c r="AM188" s="221"/>
      <c r="AN188" s="221"/>
      <c r="AO188" s="221"/>
      <c r="AP188" s="221"/>
    </row>
    <row r="189" spans="1:42" ht="12.75" x14ac:dyDescent="0.2">
      <c r="A189" s="266"/>
      <c r="B189" s="221"/>
      <c r="C189" s="221"/>
      <c r="D189" s="221"/>
      <c r="E189" s="221"/>
      <c r="F189" s="221"/>
      <c r="G189" s="221"/>
      <c r="H189" s="221"/>
      <c r="I189" s="221"/>
      <c r="J189" s="221"/>
      <c r="K189" s="221"/>
      <c r="L189" s="221"/>
      <c r="M189" s="221"/>
      <c r="N189" s="221"/>
      <c r="O189" s="221"/>
      <c r="P189" s="221"/>
      <c r="Q189" s="221"/>
      <c r="R189" s="221"/>
      <c r="S189" s="221"/>
      <c r="T189" s="221"/>
      <c r="U189" s="221"/>
      <c r="V189" s="221"/>
      <c r="W189" s="221"/>
      <c r="X189" s="221"/>
      <c r="Y189" s="221"/>
      <c r="Z189" s="221"/>
      <c r="AA189" s="221"/>
      <c r="AB189" s="221"/>
      <c r="AC189" s="221"/>
      <c r="AD189" s="221"/>
      <c r="AE189" s="221"/>
      <c r="AF189" s="221"/>
      <c r="AG189" s="221"/>
      <c r="AH189" s="221"/>
      <c r="AI189" s="221"/>
      <c r="AJ189" s="221"/>
      <c r="AK189" s="221"/>
      <c r="AL189" s="221"/>
      <c r="AM189" s="221"/>
      <c r="AN189" s="221"/>
      <c r="AO189" s="221"/>
      <c r="AP189" s="221"/>
    </row>
    <row r="190" spans="1:42" ht="12.75" x14ac:dyDescent="0.2">
      <c r="A190" s="266"/>
      <c r="B190" s="221"/>
      <c r="C190" s="221"/>
      <c r="D190" s="221"/>
      <c r="E190" s="221"/>
      <c r="F190" s="221"/>
      <c r="G190" s="221"/>
      <c r="H190" s="221"/>
      <c r="I190" s="221"/>
      <c r="J190" s="221"/>
      <c r="K190" s="221"/>
      <c r="L190" s="221"/>
      <c r="M190" s="221"/>
      <c r="N190" s="221"/>
      <c r="O190" s="221"/>
      <c r="P190" s="221"/>
      <c r="Q190" s="221"/>
      <c r="R190" s="221"/>
      <c r="S190" s="221"/>
      <c r="T190" s="221"/>
      <c r="U190" s="221"/>
      <c r="V190" s="221"/>
      <c r="W190" s="221"/>
      <c r="X190" s="221"/>
      <c r="Y190" s="221"/>
      <c r="Z190" s="221"/>
      <c r="AA190" s="221"/>
      <c r="AB190" s="221"/>
      <c r="AC190" s="221"/>
      <c r="AD190" s="221"/>
      <c r="AE190" s="221"/>
      <c r="AF190" s="221"/>
      <c r="AG190" s="221"/>
      <c r="AH190" s="221"/>
      <c r="AI190" s="221"/>
      <c r="AJ190" s="221"/>
      <c r="AK190" s="221"/>
      <c r="AL190" s="221"/>
      <c r="AM190" s="221"/>
      <c r="AN190" s="221"/>
      <c r="AO190" s="221"/>
      <c r="AP190" s="221"/>
    </row>
    <row r="191" spans="1:42" ht="12.75" x14ac:dyDescent="0.2">
      <c r="A191" s="266"/>
      <c r="B191" s="221"/>
      <c r="C191" s="221"/>
      <c r="D191" s="221"/>
      <c r="E191" s="221"/>
      <c r="F191" s="221"/>
      <c r="G191" s="221"/>
      <c r="H191" s="221"/>
      <c r="I191" s="221"/>
      <c r="J191" s="221"/>
      <c r="K191" s="221"/>
      <c r="L191" s="221"/>
      <c r="M191" s="221"/>
      <c r="N191" s="221"/>
      <c r="O191" s="221"/>
      <c r="P191" s="221"/>
      <c r="Q191" s="221"/>
      <c r="R191" s="221"/>
      <c r="S191" s="221"/>
      <c r="T191" s="221"/>
      <c r="U191" s="221"/>
      <c r="V191" s="221"/>
      <c r="W191" s="221"/>
      <c r="X191" s="221"/>
      <c r="Y191" s="221"/>
      <c r="Z191" s="221"/>
      <c r="AA191" s="221"/>
      <c r="AB191" s="221"/>
      <c r="AC191" s="221"/>
      <c r="AD191" s="221"/>
      <c r="AE191" s="221"/>
      <c r="AF191" s="221"/>
      <c r="AG191" s="221"/>
      <c r="AH191" s="221"/>
      <c r="AI191" s="221"/>
      <c r="AJ191" s="221"/>
      <c r="AK191" s="221"/>
      <c r="AL191" s="221"/>
      <c r="AM191" s="221"/>
      <c r="AN191" s="221"/>
      <c r="AO191" s="221"/>
      <c r="AP191" s="221"/>
    </row>
    <row r="192" spans="1:42" ht="12.75" x14ac:dyDescent="0.2">
      <c r="A192" s="266"/>
      <c r="B192" s="221"/>
      <c r="C192" s="221"/>
      <c r="D192" s="221"/>
      <c r="E192" s="221"/>
      <c r="F192" s="221"/>
      <c r="G192" s="221"/>
      <c r="H192" s="221"/>
      <c r="I192" s="221"/>
      <c r="J192" s="221"/>
      <c r="K192" s="221"/>
      <c r="L192" s="221"/>
      <c r="M192" s="221"/>
      <c r="N192" s="221"/>
      <c r="O192" s="221"/>
      <c r="P192" s="221"/>
      <c r="Q192" s="221"/>
      <c r="R192" s="221"/>
      <c r="S192" s="221"/>
      <c r="T192" s="221"/>
      <c r="U192" s="221"/>
      <c r="V192" s="221"/>
      <c r="W192" s="221"/>
      <c r="X192" s="221"/>
      <c r="Y192" s="221"/>
      <c r="Z192" s="221"/>
      <c r="AA192" s="221"/>
      <c r="AB192" s="221"/>
      <c r="AC192" s="221"/>
      <c r="AD192" s="221"/>
      <c r="AE192" s="221"/>
      <c r="AF192" s="221"/>
      <c r="AG192" s="221"/>
      <c r="AH192" s="221"/>
      <c r="AI192" s="221"/>
      <c r="AJ192" s="221"/>
      <c r="AK192" s="221"/>
      <c r="AL192" s="221"/>
      <c r="AM192" s="221"/>
      <c r="AN192" s="221"/>
      <c r="AO192" s="221"/>
      <c r="AP192" s="221"/>
    </row>
    <row r="193" spans="1:42" ht="12.75" x14ac:dyDescent="0.2">
      <c r="A193" s="266"/>
      <c r="B193" s="221"/>
      <c r="C193" s="221"/>
      <c r="D193" s="221"/>
      <c r="E193" s="221"/>
      <c r="F193" s="221"/>
      <c r="G193" s="221"/>
      <c r="H193" s="221"/>
      <c r="I193" s="221"/>
      <c r="J193" s="221"/>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row>
    <row r="194" spans="1:42" ht="12.75" x14ac:dyDescent="0.2">
      <c r="A194" s="266"/>
      <c r="B194" s="221"/>
      <c r="C194" s="221"/>
      <c r="D194" s="221"/>
      <c r="E194" s="221"/>
      <c r="F194" s="221"/>
      <c r="G194" s="221"/>
      <c r="H194" s="221"/>
      <c r="I194" s="221"/>
      <c r="J194" s="221"/>
      <c r="K194" s="221"/>
      <c r="L194" s="221"/>
      <c r="M194" s="221"/>
      <c r="N194" s="221"/>
      <c r="O194" s="221"/>
      <c r="P194" s="221"/>
      <c r="Q194" s="221"/>
      <c r="R194" s="221"/>
      <c r="S194" s="221"/>
      <c r="T194" s="221"/>
      <c r="U194" s="221"/>
      <c r="V194" s="221"/>
      <c r="W194" s="221"/>
      <c r="X194" s="221"/>
      <c r="Y194" s="221"/>
      <c r="Z194" s="221"/>
      <c r="AA194" s="221"/>
      <c r="AB194" s="221"/>
      <c r="AC194" s="221"/>
      <c r="AD194" s="221"/>
      <c r="AE194" s="221"/>
      <c r="AF194" s="221"/>
      <c r="AG194" s="221"/>
      <c r="AH194" s="221"/>
      <c r="AI194" s="221"/>
      <c r="AJ194" s="221"/>
      <c r="AK194" s="221"/>
      <c r="AL194" s="221"/>
      <c r="AM194" s="221"/>
      <c r="AN194" s="221"/>
      <c r="AO194" s="221"/>
      <c r="AP194" s="221"/>
    </row>
    <row r="195" spans="1:42" ht="12.75" x14ac:dyDescent="0.2">
      <c r="A195" s="266"/>
      <c r="B195" s="221"/>
      <c r="C195" s="221"/>
      <c r="D195" s="221"/>
      <c r="E195" s="221"/>
      <c r="F195" s="221"/>
      <c r="G195" s="221"/>
      <c r="H195" s="221"/>
      <c r="I195" s="221"/>
      <c r="J195" s="221"/>
      <c r="K195" s="221"/>
      <c r="L195" s="221"/>
      <c r="M195" s="221"/>
      <c r="N195" s="221"/>
      <c r="O195" s="221"/>
      <c r="P195" s="221"/>
      <c r="Q195" s="221"/>
      <c r="R195" s="221"/>
      <c r="S195" s="221"/>
      <c r="T195" s="221"/>
      <c r="U195" s="221"/>
      <c r="V195" s="221"/>
      <c r="W195" s="221"/>
      <c r="X195" s="221"/>
      <c r="Y195" s="221"/>
      <c r="Z195" s="221"/>
      <c r="AA195" s="221"/>
      <c r="AB195" s="221"/>
      <c r="AC195" s="221"/>
      <c r="AD195" s="221"/>
      <c r="AE195" s="221"/>
      <c r="AF195" s="221"/>
      <c r="AG195" s="221"/>
      <c r="AH195" s="221"/>
      <c r="AI195" s="221"/>
      <c r="AJ195" s="221"/>
      <c r="AK195" s="221"/>
      <c r="AL195" s="221"/>
      <c r="AM195" s="221"/>
      <c r="AN195" s="221"/>
      <c r="AO195" s="221"/>
      <c r="AP195" s="221"/>
    </row>
    <row r="196" spans="1:42" ht="12.75" x14ac:dyDescent="0.2">
      <c r="A196" s="266"/>
      <c r="B196" s="221"/>
      <c r="C196" s="221"/>
      <c r="D196" s="221"/>
      <c r="E196" s="221"/>
      <c r="F196" s="221"/>
      <c r="G196" s="221"/>
      <c r="H196" s="221"/>
      <c r="I196" s="221"/>
      <c r="J196" s="221"/>
      <c r="K196" s="221"/>
      <c r="L196" s="221"/>
      <c r="M196" s="221"/>
      <c r="N196" s="221"/>
      <c r="O196" s="221"/>
      <c r="P196" s="221"/>
      <c r="Q196" s="221"/>
      <c r="R196" s="221"/>
      <c r="S196" s="221"/>
      <c r="T196" s="221"/>
      <c r="U196" s="221"/>
      <c r="V196" s="221"/>
      <c r="W196" s="221"/>
      <c r="X196" s="221"/>
      <c r="Y196" s="221"/>
      <c r="Z196" s="221"/>
      <c r="AA196" s="221"/>
      <c r="AB196" s="221"/>
      <c r="AC196" s="221"/>
      <c r="AD196" s="221"/>
      <c r="AE196" s="221"/>
      <c r="AF196" s="221"/>
      <c r="AG196" s="221"/>
      <c r="AH196" s="221"/>
      <c r="AI196" s="221"/>
      <c r="AJ196" s="221"/>
      <c r="AK196" s="221"/>
      <c r="AL196" s="221"/>
      <c r="AM196" s="221"/>
      <c r="AN196" s="221"/>
      <c r="AO196" s="221"/>
      <c r="AP196" s="221"/>
    </row>
    <row r="197" spans="1:42" ht="12.75" x14ac:dyDescent="0.2">
      <c r="A197" s="266"/>
      <c r="B197" s="221"/>
      <c r="C197" s="221"/>
      <c r="D197" s="221"/>
      <c r="E197" s="221"/>
      <c r="F197" s="221"/>
      <c r="G197" s="221"/>
      <c r="H197" s="221"/>
      <c r="I197" s="221"/>
      <c r="J197" s="221"/>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row>
    <row r="198" spans="1:42" ht="12.75" x14ac:dyDescent="0.2">
      <c r="A198" s="266"/>
      <c r="B198" s="221"/>
      <c r="C198" s="221"/>
      <c r="D198" s="221"/>
      <c r="E198" s="221"/>
      <c r="F198" s="221"/>
      <c r="G198" s="221"/>
      <c r="H198" s="221"/>
      <c r="I198" s="221"/>
      <c r="J198" s="221"/>
      <c r="K198" s="221"/>
      <c r="L198" s="221"/>
      <c r="M198" s="221"/>
      <c r="N198" s="221"/>
      <c r="O198" s="221"/>
      <c r="P198" s="221"/>
      <c r="Q198" s="221"/>
      <c r="R198" s="221"/>
      <c r="S198" s="221"/>
      <c r="T198" s="221"/>
      <c r="U198" s="221"/>
      <c r="V198" s="221"/>
      <c r="W198" s="221"/>
      <c r="X198" s="221"/>
      <c r="Y198" s="221"/>
      <c r="Z198" s="221"/>
      <c r="AA198" s="221"/>
      <c r="AB198" s="221"/>
      <c r="AC198" s="221"/>
      <c r="AD198" s="221"/>
      <c r="AE198" s="221"/>
      <c r="AF198" s="221"/>
      <c r="AG198" s="221"/>
      <c r="AH198" s="221"/>
      <c r="AI198" s="221"/>
      <c r="AJ198" s="221"/>
      <c r="AK198" s="221"/>
      <c r="AL198" s="221"/>
      <c r="AM198" s="221"/>
      <c r="AN198" s="221"/>
      <c r="AO198" s="221"/>
      <c r="AP198" s="221"/>
    </row>
    <row r="199" spans="1:42" ht="12.75" x14ac:dyDescent="0.2">
      <c r="A199" s="266"/>
      <c r="B199" s="221"/>
      <c r="C199" s="221"/>
      <c r="D199" s="221"/>
      <c r="E199" s="221"/>
      <c r="F199" s="221"/>
      <c r="G199" s="221"/>
      <c r="H199" s="221"/>
      <c r="I199" s="221"/>
      <c r="J199" s="221"/>
      <c r="K199" s="221"/>
      <c r="L199" s="221"/>
      <c r="M199" s="221"/>
      <c r="N199" s="221"/>
      <c r="O199" s="221"/>
      <c r="P199" s="221"/>
      <c r="Q199" s="221"/>
      <c r="R199" s="221"/>
      <c r="S199" s="221"/>
      <c r="T199" s="221"/>
      <c r="U199" s="221"/>
      <c r="V199" s="221"/>
      <c r="W199" s="221"/>
      <c r="X199" s="221"/>
      <c r="Y199" s="221"/>
      <c r="Z199" s="221"/>
      <c r="AA199" s="221"/>
      <c r="AB199" s="221"/>
      <c r="AC199" s="221"/>
      <c r="AD199" s="221"/>
      <c r="AE199" s="221"/>
      <c r="AF199" s="221"/>
      <c r="AG199" s="221"/>
      <c r="AH199" s="221"/>
      <c r="AI199" s="221"/>
      <c r="AJ199" s="221"/>
      <c r="AK199" s="221"/>
      <c r="AL199" s="221"/>
      <c r="AM199" s="221"/>
      <c r="AN199" s="221"/>
      <c r="AO199" s="221"/>
      <c r="AP199" s="221"/>
    </row>
    <row r="200" spans="1:42" ht="12.75" x14ac:dyDescent="0.2">
      <c r="A200" s="266"/>
      <c r="B200" s="221"/>
      <c r="C200" s="221"/>
      <c r="D200" s="221"/>
      <c r="E200" s="221"/>
      <c r="F200" s="221"/>
      <c r="G200" s="221"/>
      <c r="H200" s="221"/>
      <c r="I200" s="221"/>
      <c r="J200" s="221"/>
      <c r="K200" s="221"/>
      <c r="L200" s="221"/>
      <c r="M200" s="221"/>
      <c r="N200" s="221"/>
      <c r="O200" s="221"/>
      <c r="P200" s="221"/>
      <c r="Q200" s="221"/>
      <c r="R200" s="221"/>
      <c r="S200" s="221"/>
      <c r="T200" s="221"/>
      <c r="U200" s="221"/>
      <c r="V200" s="221"/>
      <c r="W200" s="221"/>
      <c r="X200" s="221"/>
      <c r="Y200" s="221"/>
      <c r="Z200" s="221"/>
      <c r="AA200" s="221"/>
      <c r="AB200" s="221"/>
      <c r="AC200" s="221"/>
      <c r="AD200" s="221"/>
      <c r="AE200" s="221"/>
      <c r="AF200" s="221"/>
      <c r="AG200" s="221"/>
      <c r="AH200" s="221"/>
      <c r="AI200" s="221"/>
      <c r="AJ200" s="221"/>
      <c r="AK200" s="221"/>
      <c r="AL200" s="221"/>
      <c r="AM200" s="221"/>
      <c r="AN200" s="221"/>
      <c r="AO200" s="221"/>
      <c r="AP200" s="221"/>
    </row>
    <row r="201" spans="1:42" ht="12.75" x14ac:dyDescent="0.2">
      <c r="A201" s="266"/>
      <c r="B201" s="221"/>
      <c r="C201" s="221"/>
      <c r="D201" s="221"/>
      <c r="E201" s="221"/>
      <c r="F201" s="221"/>
      <c r="G201" s="221"/>
      <c r="H201" s="221"/>
      <c r="I201" s="221"/>
      <c r="J201" s="221"/>
      <c r="K201" s="221"/>
      <c r="L201" s="221"/>
      <c r="M201" s="221"/>
      <c r="N201" s="221"/>
      <c r="O201" s="221"/>
      <c r="P201" s="221"/>
      <c r="Q201" s="221"/>
      <c r="R201" s="221"/>
      <c r="S201" s="221"/>
      <c r="T201" s="221"/>
      <c r="U201" s="221"/>
      <c r="V201" s="221"/>
      <c r="W201" s="221"/>
      <c r="X201" s="221"/>
      <c r="Y201" s="221"/>
      <c r="Z201" s="221"/>
      <c r="AA201" s="221"/>
      <c r="AB201" s="221"/>
      <c r="AC201" s="221"/>
      <c r="AD201" s="221"/>
      <c r="AE201" s="221"/>
      <c r="AF201" s="221"/>
      <c r="AG201" s="221"/>
      <c r="AH201" s="221"/>
      <c r="AI201" s="221"/>
      <c r="AJ201" s="221"/>
      <c r="AK201" s="221"/>
      <c r="AL201" s="221"/>
      <c r="AM201" s="221"/>
      <c r="AN201" s="221"/>
      <c r="AO201" s="221"/>
      <c r="AP201" s="221"/>
    </row>
    <row r="202" spans="1:42" ht="12.75" x14ac:dyDescent="0.2">
      <c r="A202" s="266"/>
      <c r="B202" s="221"/>
      <c r="C202" s="221"/>
      <c r="D202" s="221"/>
      <c r="E202" s="221"/>
      <c r="F202" s="221"/>
      <c r="G202" s="221"/>
      <c r="H202" s="221"/>
      <c r="I202" s="221"/>
      <c r="J202" s="221"/>
      <c r="K202" s="221"/>
      <c r="L202" s="221"/>
      <c r="M202" s="221"/>
      <c r="N202" s="221"/>
      <c r="O202" s="221"/>
      <c r="P202" s="221"/>
      <c r="Q202" s="221"/>
      <c r="R202" s="221"/>
      <c r="S202" s="221"/>
      <c r="T202" s="221"/>
      <c r="U202" s="221"/>
      <c r="V202" s="221"/>
      <c r="W202" s="221"/>
      <c r="X202" s="221"/>
      <c r="Y202" s="221"/>
      <c r="Z202" s="221"/>
      <c r="AA202" s="221"/>
      <c r="AB202" s="221"/>
      <c r="AC202" s="221"/>
      <c r="AD202" s="221"/>
      <c r="AE202" s="221"/>
      <c r="AF202" s="221"/>
      <c r="AG202" s="221"/>
      <c r="AH202" s="221"/>
      <c r="AI202" s="221"/>
      <c r="AJ202" s="221"/>
      <c r="AK202" s="221"/>
      <c r="AL202" s="221"/>
      <c r="AM202" s="221"/>
      <c r="AN202" s="221"/>
      <c r="AO202" s="221"/>
      <c r="AP202" s="221"/>
    </row>
    <row r="203" spans="1:42" ht="12.75" x14ac:dyDescent="0.2">
      <c r="A203" s="266"/>
      <c r="B203" s="221"/>
      <c r="C203" s="221"/>
      <c r="D203" s="221"/>
      <c r="E203" s="221"/>
      <c r="F203" s="221"/>
      <c r="G203" s="221"/>
      <c r="H203" s="221"/>
      <c r="I203" s="221"/>
      <c r="J203" s="221"/>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row>
    <row r="204" spans="1:42" ht="12.75" x14ac:dyDescent="0.2">
      <c r="A204" s="266"/>
      <c r="B204" s="221"/>
      <c r="C204" s="221"/>
      <c r="D204" s="221"/>
      <c r="E204" s="221"/>
      <c r="F204" s="221"/>
      <c r="G204" s="221"/>
      <c r="H204" s="221"/>
      <c r="I204" s="221"/>
      <c r="J204" s="221"/>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row>
    <row r="205" spans="1:42" ht="12.75" x14ac:dyDescent="0.2">
      <c r="A205" s="266"/>
      <c r="B205" s="221"/>
      <c r="C205" s="221"/>
      <c r="D205" s="221"/>
      <c r="E205" s="221"/>
      <c r="F205" s="221"/>
      <c r="G205" s="221"/>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row>
    <row r="206" spans="1:42" ht="12.75" x14ac:dyDescent="0.2">
      <c r="A206" s="266"/>
      <c r="B206" s="221"/>
      <c r="C206" s="221"/>
      <c r="D206" s="221"/>
      <c r="E206" s="221"/>
      <c r="F206" s="221"/>
      <c r="G206" s="221"/>
      <c r="H206" s="221"/>
      <c r="I206" s="221"/>
      <c r="J206" s="221"/>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row>
    <row r="207" spans="1:42" ht="12.75" x14ac:dyDescent="0.2">
      <c r="A207" s="266"/>
      <c r="B207" s="221"/>
      <c r="C207" s="221"/>
      <c r="D207" s="221"/>
      <c r="E207" s="221"/>
      <c r="F207" s="221"/>
      <c r="G207" s="221"/>
      <c r="H207" s="221"/>
      <c r="I207" s="221"/>
      <c r="J207" s="221"/>
      <c r="K207" s="221"/>
      <c r="L207" s="221"/>
      <c r="M207" s="221"/>
      <c r="N207" s="221"/>
      <c r="O207" s="221"/>
      <c r="P207" s="221"/>
      <c r="Q207" s="221"/>
      <c r="R207" s="221"/>
      <c r="S207" s="221"/>
      <c r="T207" s="221"/>
      <c r="U207" s="221"/>
      <c r="V207" s="221"/>
      <c r="W207" s="221"/>
      <c r="X207" s="221"/>
      <c r="Y207" s="221"/>
      <c r="Z207" s="221"/>
      <c r="AA207" s="221"/>
      <c r="AB207" s="221"/>
      <c r="AC207" s="221"/>
      <c r="AD207" s="221"/>
      <c r="AE207" s="221"/>
      <c r="AF207" s="221"/>
      <c r="AG207" s="221"/>
      <c r="AH207" s="221"/>
      <c r="AI207" s="221"/>
      <c r="AJ207" s="221"/>
      <c r="AK207" s="221"/>
      <c r="AL207" s="221"/>
      <c r="AM207" s="221"/>
      <c r="AN207" s="221"/>
      <c r="AO207" s="221"/>
      <c r="AP207" s="221"/>
    </row>
    <row r="208" spans="1:42" ht="12.75" x14ac:dyDescent="0.2">
      <c r="A208" s="266"/>
      <c r="B208" s="221"/>
      <c r="C208" s="221"/>
      <c r="D208" s="221"/>
      <c r="E208" s="221"/>
      <c r="F208" s="221"/>
      <c r="G208" s="221"/>
      <c r="H208" s="221"/>
      <c r="I208" s="221"/>
      <c r="J208" s="221"/>
      <c r="K208" s="221"/>
      <c r="L208" s="221"/>
      <c r="M208" s="221"/>
      <c r="N208" s="221"/>
      <c r="O208" s="221"/>
      <c r="P208" s="221"/>
      <c r="Q208" s="221"/>
      <c r="R208" s="221"/>
      <c r="S208" s="221"/>
      <c r="T208" s="221"/>
      <c r="U208" s="221"/>
      <c r="V208" s="221"/>
      <c r="W208" s="221"/>
      <c r="X208" s="221"/>
      <c r="Y208" s="221"/>
      <c r="Z208" s="221"/>
      <c r="AA208" s="221"/>
      <c r="AB208" s="221"/>
      <c r="AC208" s="221"/>
      <c r="AD208" s="221"/>
      <c r="AE208" s="221"/>
      <c r="AF208" s="221"/>
      <c r="AG208" s="221"/>
      <c r="AH208" s="221"/>
      <c r="AI208" s="221"/>
      <c r="AJ208" s="221"/>
      <c r="AK208" s="221"/>
      <c r="AL208" s="221"/>
      <c r="AM208" s="221"/>
      <c r="AN208" s="221"/>
      <c r="AO208" s="221"/>
      <c r="AP208" s="221"/>
    </row>
  </sheetData>
  <mergeCells count="24">
    <mergeCell ref="C143:C144"/>
    <mergeCell ref="D143:O143"/>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1" priority="1" operator="notEqual">
      <formula>0</formula>
    </cfRule>
    <cfRule type="cellIs" dxfId="10"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Normal="100" zoomScaleSheetLayoutView="80" workbookViewId="0">
      <selection activeCell="H48" sqref="H48"/>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32" t="str">
        <f>'1. паспорт местоположение'!A5:C5</f>
        <v>Год раскрытия информации: 2024 год</v>
      </c>
      <c r="B5" s="332"/>
      <c r="C5" s="332"/>
      <c r="D5" s="332"/>
      <c r="E5" s="332"/>
      <c r="F5" s="332"/>
      <c r="G5" s="332"/>
      <c r="H5" s="332"/>
      <c r="I5" s="332"/>
      <c r="J5" s="332"/>
      <c r="K5" s="332"/>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2"/>
    </row>
    <row r="7" spans="1:43" ht="18.75" x14ac:dyDescent="0.25">
      <c r="A7" s="341" t="s">
        <v>7</v>
      </c>
      <c r="B7" s="341"/>
      <c r="C7" s="341"/>
      <c r="D7" s="341"/>
      <c r="E7" s="341"/>
      <c r="F7" s="341"/>
      <c r="G7" s="341"/>
      <c r="H7" s="341"/>
      <c r="I7" s="341"/>
      <c r="J7" s="341"/>
      <c r="K7" s="341"/>
    </row>
    <row r="8" spans="1:43" ht="18.75" x14ac:dyDescent="0.25">
      <c r="A8" s="341"/>
      <c r="B8" s="341"/>
      <c r="C8" s="341"/>
      <c r="D8" s="341"/>
      <c r="E8" s="341"/>
      <c r="F8" s="341"/>
      <c r="G8" s="341"/>
      <c r="H8" s="341"/>
      <c r="I8" s="341"/>
      <c r="J8" s="341"/>
      <c r="K8" s="341"/>
    </row>
    <row r="9" spans="1:43" x14ac:dyDescent="0.25">
      <c r="A9" s="339" t="str">
        <f>'1. паспорт местоположение'!A9:C9</f>
        <v xml:space="preserve">Акционерное общество "Западная энергетическая компания" </v>
      </c>
      <c r="B9" s="339"/>
      <c r="C9" s="339"/>
      <c r="D9" s="339"/>
      <c r="E9" s="339"/>
      <c r="F9" s="339"/>
      <c r="G9" s="339"/>
      <c r="H9" s="339"/>
      <c r="I9" s="339"/>
      <c r="J9" s="339"/>
      <c r="K9" s="339"/>
    </row>
    <row r="10" spans="1:43" x14ac:dyDescent="0.25">
      <c r="A10" s="345" t="s">
        <v>6</v>
      </c>
      <c r="B10" s="345"/>
      <c r="C10" s="345"/>
      <c r="D10" s="345"/>
      <c r="E10" s="345"/>
      <c r="F10" s="345"/>
      <c r="G10" s="345"/>
      <c r="H10" s="345"/>
      <c r="I10" s="345"/>
      <c r="J10" s="345"/>
      <c r="K10" s="345"/>
    </row>
    <row r="11" spans="1:43" ht="18.75" x14ac:dyDescent="0.25">
      <c r="A11" s="341"/>
      <c r="B11" s="341"/>
      <c r="C11" s="341"/>
      <c r="D11" s="341"/>
      <c r="E11" s="341"/>
      <c r="F11" s="341"/>
      <c r="G11" s="341"/>
      <c r="H11" s="341"/>
      <c r="I11" s="341"/>
      <c r="J11" s="341"/>
      <c r="K11" s="341"/>
    </row>
    <row r="12" spans="1:43" x14ac:dyDescent="0.25">
      <c r="A12" s="339" t="str">
        <f>'1. паспорт местоположение'!A12:C12</f>
        <v>M 22-01</v>
      </c>
      <c r="B12" s="339"/>
      <c r="C12" s="339"/>
      <c r="D12" s="339"/>
      <c r="E12" s="339"/>
      <c r="F12" s="339"/>
      <c r="G12" s="339"/>
      <c r="H12" s="339"/>
      <c r="I12" s="339"/>
      <c r="J12" s="339"/>
      <c r="K12" s="339"/>
    </row>
    <row r="13" spans="1:43" x14ac:dyDescent="0.25">
      <c r="A13" s="345" t="s">
        <v>5</v>
      </c>
      <c r="B13" s="345"/>
      <c r="C13" s="345"/>
      <c r="D13" s="345"/>
      <c r="E13" s="345"/>
      <c r="F13" s="345"/>
      <c r="G13" s="345"/>
      <c r="H13" s="345"/>
      <c r="I13" s="345"/>
      <c r="J13" s="345"/>
      <c r="K13" s="345"/>
    </row>
    <row r="14" spans="1:43" ht="18.75" x14ac:dyDescent="0.25">
      <c r="A14" s="346"/>
      <c r="B14" s="346"/>
      <c r="C14" s="346"/>
      <c r="D14" s="346"/>
      <c r="E14" s="346"/>
      <c r="F14" s="346"/>
      <c r="G14" s="346"/>
      <c r="H14" s="346"/>
      <c r="I14" s="346"/>
      <c r="J14" s="346"/>
      <c r="K14" s="346"/>
    </row>
    <row r="15" spans="1:43" x14ac:dyDescent="0.25">
      <c r="A15" s="339"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9"/>
      <c r="C15" s="339"/>
      <c r="D15" s="339"/>
      <c r="E15" s="339"/>
      <c r="F15" s="339"/>
      <c r="G15" s="339"/>
      <c r="H15" s="339"/>
      <c r="I15" s="339"/>
      <c r="J15" s="339"/>
      <c r="K15" s="339"/>
    </row>
    <row r="16" spans="1:43" x14ac:dyDescent="0.25">
      <c r="A16" s="333" t="s">
        <v>4</v>
      </c>
      <c r="B16" s="333"/>
      <c r="C16" s="333"/>
      <c r="D16" s="333"/>
      <c r="E16" s="333"/>
      <c r="F16" s="333"/>
      <c r="G16" s="333"/>
      <c r="H16" s="333"/>
      <c r="I16" s="333"/>
      <c r="J16" s="333"/>
      <c r="K16" s="333"/>
    </row>
    <row r="17" spans="1:11" ht="15.75" customHeight="1" x14ac:dyDescent="0.25"/>
    <row r="18" spans="1:11" x14ac:dyDescent="0.25">
      <c r="K18" s="24"/>
    </row>
    <row r="19" spans="1:11" ht="15.75" customHeight="1" x14ac:dyDescent="0.25">
      <c r="A19" s="406" t="s">
        <v>392</v>
      </c>
      <c r="B19" s="406"/>
      <c r="C19" s="406"/>
      <c r="D19" s="406"/>
      <c r="E19" s="406"/>
      <c r="F19" s="406"/>
      <c r="G19" s="406"/>
      <c r="H19" s="406"/>
      <c r="I19" s="406"/>
      <c r="J19" s="406"/>
      <c r="K19" s="406"/>
    </row>
    <row r="20" spans="1:11" x14ac:dyDescent="0.25">
      <c r="A20" s="35"/>
      <c r="B20" s="35"/>
    </row>
    <row r="21" spans="1:11" ht="28.5" customHeight="1" x14ac:dyDescent="0.25">
      <c r="A21" s="398" t="s">
        <v>199</v>
      </c>
      <c r="B21" s="398" t="s">
        <v>487</v>
      </c>
      <c r="C21" s="189"/>
      <c r="D21" s="189"/>
      <c r="E21" s="403" t="s">
        <v>352</v>
      </c>
      <c r="F21" s="404"/>
      <c r="G21" s="404"/>
      <c r="H21" s="405"/>
      <c r="I21" s="398" t="s">
        <v>198</v>
      </c>
      <c r="J21" s="399" t="s">
        <v>353</v>
      </c>
      <c r="K21" s="398" t="s">
        <v>197</v>
      </c>
    </row>
    <row r="22" spans="1:11" ht="58.5" customHeight="1" x14ac:dyDescent="0.25">
      <c r="A22" s="398"/>
      <c r="B22" s="398"/>
      <c r="C22" s="402" t="s">
        <v>9</v>
      </c>
      <c r="D22" s="402"/>
      <c r="E22" s="402" t="s">
        <v>540</v>
      </c>
      <c r="F22" s="402"/>
      <c r="G22" s="402" t="s">
        <v>541</v>
      </c>
      <c r="H22" s="402"/>
      <c r="I22" s="398"/>
      <c r="J22" s="400"/>
      <c r="K22" s="398"/>
    </row>
    <row r="23" spans="1:11" ht="31.5" x14ac:dyDescent="0.25">
      <c r="A23" s="398"/>
      <c r="B23" s="398"/>
      <c r="C23" s="156" t="s">
        <v>196</v>
      </c>
      <c r="D23" s="156" t="s">
        <v>195</v>
      </c>
      <c r="E23" s="156" t="s">
        <v>196</v>
      </c>
      <c r="F23" s="156" t="s">
        <v>195</v>
      </c>
      <c r="G23" s="190" t="s">
        <v>196</v>
      </c>
      <c r="H23" s="190" t="s">
        <v>195</v>
      </c>
      <c r="I23" s="398"/>
      <c r="J23" s="401"/>
      <c r="K23" s="398"/>
    </row>
    <row r="24" spans="1:11" x14ac:dyDescent="0.25">
      <c r="A24" s="157">
        <v>1</v>
      </c>
      <c r="B24" s="157">
        <v>2</v>
      </c>
      <c r="C24" s="156">
        <v>5</v>
      </c>
      <c r="D24" s="156">
        <v>6</v>
      </c>
      <c r="E24" s="156">
        <v>7</v>
      </c>
      <c r="F24" s="156">
        <v>8</v>
      </c>
      <c r="G24" s="190"/>
      <c r="H24" s="190"/>
      <c r="I24" s="156">
        <v>9</v>
      </c>
      <c r="J24" s="156">
        <v>10</v>
      </c>
      <c r="K24" s="156">
        <v>11</v>
      </c>
    </row>
    <row r="25" spans="1:11" x14ac:dyDescent="0.25">
      <c r="A25" s="156">
        <v>1</v>
      </c>
      <c r="B25" s="161" t="s">
        <v>194</v>
      </c>
      <c r="C25" s="168"/>
      <c r="D25" s="168"/>
      <c r="E25" s="168"/>
      <c r="F25" s="168"/>
      <c r="G25" s="191"/>
      <c r="H25" s="191"/>
      <c r="I25" s="168"/>
      <c r="J25" s="152"/>
      <c r="K25" s="153"/>
    </row>
    <row r="26" spans="1:11" x14ac:dyDescent="0.25">
      <c r="A26" s="156" t="s">
        <v>488</v>
      </c>
      <c r="B26" s="165" t="s">
        <v>489</v>
      </c>
      <c r="C26" s="169">
        <v>42859</v>
      </c>
      <c r="D26" s="169">
        <v>42859</v>
      </c>
      <c r="E26" s="169"/>
      <c r="F26" s="169"/>
      <c r="G26" s="192"/>
      <c r="H26" s="192"/>
      <c r="I26" s="170"/>
      <c r="J26" s="152"/>
      <c r="K26" s="153"/>
    </row>
    <row r="27" spans="1:11" ht="31.5" x14ac:dyDescent="0.25">
      <c r="A27" s="156" t="s">
        <v>490</v>
      </c>
      <c r="B27" s="165" t="s">
        <v>491</v>
      </c>
      <c r="C27" s="169">
        <v>42807</v>
      </c>
      <c r="D27" s="169">
        <v>42807</v>
      </c>
      <c r="E27" s="169"/>
      <c r="F27" s="169"/>
      <c r="G27" s="192"/>
      <c r="H27" s="192"/>
      <c r="I27" s="170"/>
      <c r="J27" s="152"/>
      <c r="K27" s="153"/>
    </row>
    <row r="28" spans="1:11" ht="63" x14ac:dyDescent="0.25">
      <c r="A28" s="156" t="s">
        <v>493</v>
      </c>
      <c r="B28" s="165" t="s">
        <v>492</v>
      </c>
      <c r="C28" s="169" t="s">
        <v>436</v>
      </c>
      <c r="D28" s="169" t="s">
        <v>436</v>
      </c>
      <c r="E28" s="169" t="s">
        <v>436</v>
      </c>
      <c r="F28" s="169" t="s">
        <v>436</v>
      </c>
      <c r="G28" s="192" t="s">
        <v>436</v>
      </c>
      <c r="H28" s="192" t="s">
        <v>436</v>
      </c>
      <c r="I28" s="170"/>
      <c r="J28" s="152"/>
      <c r="K28" s="153"/>
    </row>
    <row r="29" spans="1:11" ht="31.5" x14ac:dyDescent="0.25">
      <c r="A29" s="156" t="s">
        <v>495</v>
      </c>
      <c r="B29" s="165" t="s">
        <v>494</v>
      </c>
      <c r="C29" s="169" t="s">
        <v>436</v>
      </c>
      <c r="D29" s="169" t="s">
        <v>436</v>
      </c>
      <c r="E29" s="169" t="s">
        <v>436</v>
      </c>
      <c r="F29" s="169" t="s">
        <v>436</v>
      </c>
      <c r="G29" s="192" t="s">
        <v>436</v>
      </c>
      <c r="H29" s="192" t="s">
        <v>436</v>
      </c>
      <c r="I29" s="170"/>
      <c r="J29" s="152"/>
      <c r="K29" s="153"/>
    </row>
    <row r="30" spans="1:11" ht="31.5" x14ac:dyDescent="0.25">
      <c r="A30" s="156" t="s">
        <v>497</v>
      </c>
      <c r="B30" s="165" t="s">
        <v>496</v>
      </c>
      <c r="C30" s="169" t="s">
        <v>436</v>
      </c>
      <c r="D30" s="169" t="s">
        <v>436</v>
      </c>
      <c r="E30" s="169" t="s">
        <v>436</v>
      </c>
      <c r="F30" s="169" t="s">
        <v>436</v>
      </c>
      <c r="G30" s="192" t="s">
        <v>436</v>
      </c>
      <c r="H30" s="192" t="s">
        <v>436</v>
      </c>
      <c r="I30" s="170"/>
      <c r="J30" s="152"/>
      <c r="K30" s="153"/>
    </row>
    <row r="31" spans="1:11" ht="31.5" x14ac:dyDescent="0.25">
      <c r="A31" s="156" t="s">
        <v>499</v>
      </c>
      <c r="B31" s="165" t="s">
        <v>498</v>
      </c>
      <c r="C31" s="169">
        <v>41806</v>
      </c>
      <c r="D31" s="169">
        <v>41806</v>
      </c>
      <c r="E31" s="169">
        <v>44593</v>
      </c>
      <c r="F31" s="169">
        <v>44597</v>
      </c>
      <c r="G31" s="162">
        <v>44593</v>
      </c>
      <c r="H31" s="162">
        <v>44597</v>
      </c>
      <c r="I31" s="170"/>
      <c r="J31" s="152"/>
      <c r="K31" s="153"/>
    </row>
    <row r="32" spans="1:11" ht="31.5" x14ac:dyDescent="0.25">
      <c r="A32" s="156" t="s">
        <v>501</v>
      </c>
      <c r="B32" s="165" t="s">
        <v>500</v>
      </c>
      <c r="C32" s="169">
        <v>42597</v>
      </c>
      <c r="D32" s="169">
        <v>42597</v>
      </c>
      <c r="E32" s="169">
        <v>44593</v>
      </c>
      <c r="F32" s="169">
        <v>45327</v>
      </c>
      <c r="G32" s="162">
        <v>44593</v>
      </c>
      <c r="H32" s="162">
        <v>45327</v>
      </c>
      <c r="I32" s="170"/>
      <c r="J32" s="152"/>
      <c r="K32" s="153"/>
    </row>
    <row r="33" spans="1:11" ht="47.25" x14ac:dyDescent="0.25">
      <c r="A33" s="156" t="s">
        <v>503</v>
      </c>
      <c r="B33" s="165" t="s">
        <v>502</v>
      </c>
      <c r="C33" s="169">
        <v>42720</v>
      </c>
      <c r="D33" s="169">
        <v>42720</v>
      </c>
      <c r="E33" s="169" t="s">
        <v>564</v>
      </c>
      <c r="F33" s="169" t="s">
        <v>564</v>
      </c>
      <c r="G33" s="192" t="s">
        <v>564</v>
      </c>
      <c r="H33" s="192" t="s">
        <v>564</v>
      </c>
      <c r="I33" s="170"/>
      <c r="J33" s="152"/>
      <c r="K33" s="153"/>
    </row>
    <row r="34" spans="1:11" ht="63" x14ac:dyDescent="0.25">
      <c r="A34" s="156" t="s">
        <v>505</v>
      </c>
      <c r="B34" s="165" t="s">
        <v>504</v>
      </c>
      <c r="C34" s="169" t="s">
        <v>436</v>
      </c>
      <c r="D34" s="169" t="s">
        <v>436</v>
      </c>
      <c r="E34" s="169" t="s">
        <v>565</v>
      </c>
      <c r="F34" s="169" t="s">
        <v>565</v>
      </c>
      <c r="G34" s="192" t="s">
        <v>565</v>
      </c>
      <c r="H34" s="192" t="s">
        <v>565</v>
      </c>
      <c r="I34" s="170"/>
      <c r="J34" s="154"/>
      <c r="K34" s="154"/>
    </row>
    <row r="35" spans="1:11" ht="31.5" x14ac:dyDescent="0.25">
      <c r="A35" s="156" t="s">
        <v>506</v>
      </c>
      <c r="B35" s="165" t="s">
        <v>193</v>
      </c>
      <c r="C35" s="169">
        <v>42731</v>
      </c>
      <c r="D35" s="169">
        <v>42731</v>
      </c>
      <c r="E35" s="169">
        <v>44597</v>
      </c>
      <c r="F35" s="169">
        <v>45330</v>
      </c>
      <c r="G35" s="162">
        <v>44597</v>
      </c>
      <c r="H35" s="162">
        <v>45330</v>
      </c>
      <c r="I35" s="170"/>
      <c r="J35" s="154"/>
      <c r="K35" s="154"/>
    </row>
    <row r="36" spans="1:11" ht="31.5" x14ac:dyDescent="0.25">
      <c r="A36" s="156" t="s">
        <v>508</v>
      </c>
      <c r="B36" s="165" t="s">
        <v>507</v>
      </c>
      <c r="C36" s="169">
        <v>42993</v>
      </c>
      <c r="D36" s="169">
        <v>42993</v>
      </c>
      <c r="E36" s="169" t="s">
        <v>564</v>
      </c>
      <c r="F36" s="169" t="s">
        <v>564</v>
      </c>
      <c r="G36" s="192" t="s">
        <v>564</v>
      </c>
      <c r="H36" s="192" t="s">
        <v>564</v>
      </c>
      <c r="I36" s="170"/>
      <c r="J36" s="164"/>
      <c r="K36" s="153"/>
    </row>
    <row r="37" spans="1:11" x14ac:dyDescent="0.25">
      <c r="A37" s="156" t="s">
        <v>509</v>
      </c>
      <c r="B37" s="165" t="s">
        <v>192</v>
      </c>
      <c r="C37" s="169">
        <v>43054</v>
      </c>
      <c r="D37" s="169">
        <v>43305</v>
      </c>
      <c r="E37" s="169">
        <v>44600</v>
      </c>
      <c r="F37" s="169">
        <v>45352</v>
      </c>
      <c r="G37" s="162">
        <v>44600</v>
      </c>
      <c r="H37" s="162">
        <v>45352</v>
      </c>
      <c r="I37" s="170"/>
      <c r="J37" s="155"/>
      <c r="K37" s="153"/>
    </row>
    <row r="38" spans="1:11" x14ac:dyDescent="0.25">
      <c r="A38" s="163" t="s">
        <v>510</v>
      </c>
      <c r="B38" s="166" t="s">
        <v>191</v>
      </c>
      <c r="C38" s="169"/>
      <c r="D38" s="169"/>
      <c r="E38" s="169"/>
      <c r="F38" s="169"/>
      <c r="G38" s="162"/>
      <c r="H38" s="162"/>
      <c r="I38" s="170"/>
      <c r="J38" s="153"/>
      <c r="K38" s="153"/>
    </row>
    <row r="39" spans="1:11" ht="63" x14ac:dyDescent="0.25">
      <c r="A39" s="156" t="s">
        <v>512</v>
      </c>
      <c r="B39" s="165" t="s">
        <v>511</v>
      </c>
      <c r="C39" s="169">
        <v>42843</v>
      </c>
      <c r="D39" s="169">
        <v>42843</v>
      </c>
      <c r="E39" s="169">
        <v>44652</v>
      </c>
      <c r="F39" s="169">
        <v>45385</v>
      </c>
      <c r="G39" s="162">
        <v>44652</v>
      </c>
      <c r="H39" s="162">
        <v>45385</v>
      </c>
      <c r="I39" s="170"/>
      <c r="J39" s="153"/>
      <c r="K39" s="153"/>
    </row>
    <row r="40" spans="1:11" ht="19.5" customHeight="1" x14ac:dyDescent="0.25">
      <c r="A40" s="156" t="s">
        <v>514</v>
      </c>
      <c r="B40" s="165" t="s">
        <v>513</v>
      </c>
      <c r="C40" s="169">
        <v>43038</v>
      </c>
      <c r="D40" s="169">
        <v>43038</v>
      </c>
      <c r="E40" s="169">
        <v>44621</v>
      </c>
      <c r="F40" s="169">
        <v>45442</v>
      </c>
      <c r="G40" s="162">
        <v>44621</v>
      </c>
      <c r="H40" s="162">
        <v>45442</v>
      </c>
      <c r="I40" s="170"/>
      <c r="J40" s="153"/>
      <c r="K40" s="153"/>
    </row>
    <row r="41" spans="1:11" ht="47.25" x14ac:dyDescent="0.25">
      <c r="A41" s="156" t="s">
        <v>516</v>
      </c>
      <c r="B41" s="166" t="s">
        <v>515</v>
      </c>
      <c r="C41" s="169"/>
      <c r="D41" s="169"/>
      <c r="E41" s="169"/>
      <c r="F41" s="169"/>
      <c r="G41" s="162"/>
      <c r="H41" s="162"/>
      <c r="I41" s="170"/>
      <c r="J41" s="153"/>
      <c r="K41" s="153"/>
    </row>
    <row r="42" spans="1:11" ht="31.5" x14ac:dyDescent="0.25">
      <c r="A42" s="156" t="s">
        <v>518</v>
      </c>
      <c r="B42" s="165" t="s">
        <v>517</v>
      </c>
      <c r="C42" s="169">
        <v>43070</v>
      </c>
      <c r="D42" s="169">
        <v>43097</v>
      </c>
      <c r="E42" s="169">
        <v>44697</v>
      </c>
      <c r="F42" s="169">
        <v>44727</v>
      </c>
      <c r="G42" s="162">
        <v>44697</v>
      </c>
      <c r="H42" s="162">
        <v>44727</v>
      </c>
      <c r="I42" s="170"/>
      <c r="J42" s="153"/>
      <c r="K42" s="153"/>
    </row>
    <row r="43" spans="1:11" x14ac:dyDescent="0.25">
      <c r="A43" s="156" t="s">
        <v>519</v>
      </c>
      <c r="B43" s="165" t="s">
        <v>190</v>
      </c>
      <c r="C43" s="169">
        <v>43054</v>
      </c>
      <c r="D43" s="169">
        <v>43218</v>
      </c>
      <c r="E43" s="169">
        <v>44713</v>
      </c>
      <c r="F43" s="169">
        <v>45595</v>
      </c>
      <c r="G43" s="185">
        <v>44713</v>
      </c>
      <c r="H43" s="185">
        <v>45595</v>
      </c>
      <c r="I43" s="170"/>
      <c r="J43" s="153"/>
      <c r="K43" s="153"/>
    </row>
    <row r="44" spans="1:11" x14ac:dyDescent="0.25">
      <c r="A44" s="156" t="s">
        <v>520</v>
      </c>
      <c r="B44" s="165" t="s">
        <v>189</v>
      </c>
      <c r="C44" s="169">
        <v>43084</v>
      </c>
      <c r="D44" s="169">
        <v>43266</v>
      </c>
      <c r="E44" s="169">
        <v>44713</v>
      </c>
      <c r="F44" s="169">
        <v>45595</v>
      </c>
      <c r="G44" s="185">
        <v>44713</v>
      </c>
      <c r="H44" s="185">
        <v>45595</v>
      </c>
      <c r="I44" s="170"/>
      <c r="J44" s="153"/>
      <c r="K44" s="153"/>
    </row>
    <row r="45" spans="1:11" ht="78.75" x14ac:dyDescent="0.25">
      <c r="A45" s="156" t="s">
        <v>522</v>
      </c>
      <c r="B45" s="165" t="s">
        <v>521</v>
      </c>
      <c r="C45" s="169">
        <v>43343</v>
      </c>
      <c r="D45" s="169">
        <v>43343</v>
      </c>
      <c r="E45" s="169">
        <v>44866</v>
      </c>
      <c r="F45" s="169">
        <v>45636</v>
      </c>
      <c r="G45" s="185">
        <v>44866</v>
      </c>
      <c r="H45" s="185">
        <v>45636</v>
      </c>
      <c r="I45" s="170"/>
      <c r="J45" s="153"/>
      <c r="K45" s="153"/>
    </row>
    <row r="46" spans="1:11" ht="157.5" x14ac:dyDescent="0.25">
      <c r="A46" s="156" t="s">
        <v>524</v>
      </c>
      <c r="B46" s="165" t="s">
        <v>523</v>
      </c>
      <c r="C46" s="169">
        <v>43319</v>
      </c>
      <c r="D46" s="169">
        <v>43319</v>
      </c>
      <c r="E46" s="169" t="s">
        <v>436</v>
      </c>
      <c r="F46" s="169" t="s">
        <v>436</v>
      </c>
      <c r="G46" s="185" t="s">
        <v>436</v>
      </c>
      <c r="H46" s="185" t="s">
        <v>436</v>
      </c>
      <c r="I46" s="170"/>
      <c r="J46" s="153"/>
      <c r="K46" s="153"/>
    </row>
    <row r="47" spans="1:11" x14ac:dyDescent="0.25">
      <c r="A47" s="156" t="s">
        <v>535</v>
      </c>
      <c r="B47" s="165" t="s">
        <v>188</v>
      </c>
      <c r="C47" s="169">
        <v>43220</v>
      </c>
      <c r="D47" s="169">
        <v>43318</v>
      </c>
      <c r="E47" s="169">
        <v>44805</v>
      </c>
      <c r="F47" s="169">
        <v>45636</v>
      </c>
      <c r="G47" s="186">
        <v>44805</v>
      </c>
      <c r="H47" s="162">
        <v>45636</v>
      </c>
      <c r="I47" s="170"/>
      <c r="J47" s="153"/>
      <c r="K47" s="153"/>
    </row>
    <row r="48" spans="1:11" ht="31.5" x14ac:dyDescent="0.25">
      <c r="A48" s="156" t="s">
        <v>525</v>
      </c>
      <c r="B48" s="166" t="s">
        <v>187</v>
      </c>
      <c r="C48" s="169"/>
      <c r="D48" s="169"/>
      <c r="E48" s="169"/>
      <c r="F48" s="169"/>
      <c r="G48" s="162"/>
      <c r="H48" s="162"/>
      <c r="I48" s="170"/>
      <c r="J48" s="153"/>
      <c r="K48" s="153"/>
    </row>
    <row r="49" spans="1:11" ht="31.5" x14ac:dyDescent="0.25">
      <c r="A49" s="156" t="s">
        <v>536</v>
      </c>
      <c r="B49" s="165" t="s">
        <v>186</v>
      </c>
      <c r="C49" s="169">
        <v>43318</v>
      </c>
      <c r="D49" s="169">
        <v>43320</v>
      </c>
      <c r="E49" s="169">
        <v>45270</v>
      </c>
      <c r="F49" s="169">
        <v>45636</v>
      </c>
      <c r="G49" s="162">
        <v>45270</v>
      </c>
      <c r="H49" s="162">
        <v>45636</v>
      </c>
      <c r="I49" s="170"/>
      <c r="J49" s="153"/>
      <c r="K49" s="153"/>
    </row>
    <row r="50" spans="1:11" ht="78.75" x14ac:dyDescent="0.25">
      <c r="A50" s="163" t="s">
        <v>527</v>
      </c>
      <c r="B50" s="165" t="s">
        <v>526</v>
      </c>
      <c r="C50" s="169">
        <v>43343</v>
      </c>
      <c r="D50" s="169">
        <v>43343</v>
      </c>
      <c r="E50" s="169"/>
      <c r="F50" s="169"/>
      <c r="G50" s="162"/>
      <c r="H50" s="162"/>
      <c r="I50" s="170"/>
      <c r="J50" s="153"/>
      <c r="K50" s="153"/>
    </row>
    <row r="51" spans="1:11" ht="63" x14ac:dyDescent="0.25">
      <c r="A51" s="156" t="s">
        <v>529</v>
      </c>
      <c r="B51" s="165" t="s">
        <v>528</v>
      </c>
      <c r="C51" s="169">
        <v>43343</v>
      </c>
      <c r="D51" s="169">
        <v>43343</v>
      </c>
      <c r="E51" s="169">
        <v>45270</v>
      </c>
      <c r="F51" s="169">
        <v>45636</v>
      </c>
      <c r="G51" s="162">
        <v>45270</v>
      </c>
      <c r="H51" s="162">
        <v>45636</v>
      </c>
      <c r="I51" s="170"/>
      <c r="J51" s="153"/>
      <c r="K51" s="153"/>
    </row>
    <row r="52" spans="1:11" ht="63" x14ac:dyDescent="0.25">
      <c r="A52" s="156" t="s">
        <v>530</v>
      </c>
      <c r="B52" s="165" t="s">
        <v>185</v>
      </c>
      <c r="C52" s="169"/>
      <c r="D52" s="169"/>
      <c r="E52" s="169" t="s">
        <v>436</v>
      </c>
      <c r="F52" s="169" t="s">
        <v>436</v>
      </c>
      <c r="G52" s="162" t="s">
        <v>436</v>
      </c>
      <c r="H52" s="162" t="s">
        <v>436</v>
      </c>
      <c r="I52" s="170"/>
      <c r="J52" s="153"/>
      <c r="K52" s="153"/>
    </row>
    <row r="53" spans="1:11" ht="31.5" x14ac:dyDescent="0.25">
      <c r="A53" s="156" t="s">
        <v>532</v>
      </c>
      <c r="B53" s="165" t="s">
        <v>531</v>
      </c>
      <c r="C53" s="169">
        <v>43343</v>
      </c>
      <c r="D53" s="169">
        <v>43343</v>
      </c>
      <c r="E53" s="169">
        <v>45290</v>
      </c>
      <c r="F53" s="169">
        <v>45656</v>
      </c>
      <c r="G53" s="187">
        <v>45290</v>
      </c>
      <c r="H53" s="162">
        <v>45656</v>
      </c>
      <c r="I53" s="170"/>
      <c r="J53" s="153"/>
      <c r="K53" s="153"/>
    </row>
    <row r="54" spans="1:11" ht="31.5" x14ac:dyDescent="0.25">
      <c r="A54" s="156" t="s">
        <v>537</v>
      </c>
      <c r="B54" s="165" t="s">
        <v>184</v>
      </c>
      <c r="C54" s="169">
        <v>43353</v>
      </c>
      <c r="D54" s="169">
        <v>43353</v>
      </c>
      <c r="E54" s="169">
        <v>45260</v>
      </c>
      <c r="F54" s="169">
        <v>45636</v>
      </c>
      <c r="G54" s="187">
        <v>45260</v>
      </c>
      <c r="H54" s="162">
        <v>45636</v>
      </c>
      <c r="I54" s="170"/>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2024-04-20T09:19:15Z</dcterms:modified>
</cp:coreProperties>
</file>