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L  21-08\L 21-08_паспорт_карта\"/>
    </mc:Choice>
  </mc:AlternateContent>
  <xr:revisionPtr revIDLastSave="0" documentId="13_ncr:1_{EACE6624-10D2-4110-AF15-857EF6D30305}" xr6:coauthVersionLast="47" xr6:coauthVersionMax="47" xr10:uidLastSave="{00000000-0000-0000-0000-000000000000}"/>
  <bookViews>
    <workbookView xWindow="390" yWindow="39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41" i="29" l="1"/>
  <c r="F48" i="30"/>
  <c r="C48" i="30"/>
  <c r="D48" i="30"/>
  <c r="E48" i="30"/>
  <c r="B48" i="30"/>
  <c r="C81" i="30"/>
  <c r="B81" i="30"/>
  <c r="F33" i="29"/>
  <c r="F35" i="29"/>
  <c r="F36" i="29"/>
  <c r="F37" i="29"/>
  <c r="F38" i="29"/>
  <c r="F39" i="29"/>
  <c r="F40" i="29"/>
  <c r="F42" i="29"/>
  <c r="F44" i="29"/>
  <c r="F45" i="29"/>
  <c r="F46" i="29"/>
  <c r="F47" i="29"/>
  <c r="F48" i="29"/>
  <c r="F50" i="29"/>
  <c r="F51" i="29"/>
  <c r="F53" i="29"/>
  <c r="F54" i="29"/>
  <c r="F55" i="29"/>
  <c r="F57" i="29"/>
  <c r="F59" i="29"/>
  <c r="F60" i="29"/>
  <c r="F61" i="29"/>
  <c r="F62" i="29"/>
  <c r="F63" i="29"/>
  <c r="F64" i="29"/>
  <c r="R42" i="29"/>
  <c r="R44" i="29"/>
  <c r="R45" i="29"/>
  <c r="R46" i="29"/>
  <c r="R47" i="29"/>
  <c r="R48" i="29"/>
  <c r="R50" i="29"/>
  <c r="R51" i="29"/>
  <c r="R53" i="29"/>
  <c r="R54" i="29"/>
  <c r="R55" i="29"/>
  <c r="R57" i="29"/>
  <c r="R59" i="29"/>
  <c r="R60" i="29"/>
  <c r="R61" i="29"/>
  <c r="R62" i="29"/>
  <c r="R63" i="29"/>
  <c r="R64" i="29"/>
  <c r="B22" i="26"/>
  <c r="D34" i="29"/>
  <c r="D31" i="29"/>
  <c r="D32" i="29" s="1"/>
  <c r="F41" i="29" l="1"/>
  <c r="D49" i="29"/>
  <c r="R41" i="29"/>
  <c r="D30" i="29"/>
  <c r="D24" i="29" s="1"/>
  <c r="D45" i="29"/>
  <c r="E45" i="29" s="1"/>
  <c r="E25" i="29"/>
  <c r="E26" i="29"/>
  <c r="E27" i="29"/>
  <c r="E29" i="29"/>
  <c r="E31" i="29"/>
  <c r="E32" i="29"/>
  <c r="E33" i="29"/>
  <c r="E34" i="29"/>
  <c r="E35" i="29"/>
  <c r="E36" i="29"/>
  <c r="E37" i="29"/>
  <c r="E38" i="29"/>
  <c r="E39" i="29"/>
  <c r="E40" i="29"/>
  <c r="E41" i="29"/>
  <c r="E42" i="29"/>
  <c r="E44" i="29"/>
  <c r="E46" i="29"/>
  <c r="E47" i="29"/>
  <c r="E48" i="29"/>
  <c r="E50" i="29"/>
  <c r="E51" i="29"/>
  <c r="E53" i="29"/>
  <c r="E55" i="29"/>
  <c r="E57" i="29"/>
  <c r="E59" i="29"/>
  <c r="E60" i="29"/>
  <c r="E61" i="29"/>
  <c r="E62" i="29"/>
  <c r="E63" i="29"/>
  <c r="E64" i="29"/>
  <c r="D56" i="29"/>
  <c r="D54" i="29"/>
  <c r="R49" i="29" l="1"/>
  <c r="F49" i="29" s="1"/>
  <c r="E56" i="29"/>
  <c r="R56" i="29"/>
  <c r="F56" i="29" s="1"/>
  <c r="E30" i="29"/>
  <c r="D28" i="29"/>
  <c r="F28" i="29" s="1"/>
  <c r="F24" i="29"/>
  <c r="D43" i="29"/>
  <c r="D52" i="29"/>
  <c r="F30" i="29"/>
  <c r="D58" i="29"/>
  <c r="E24" i="29"/>
  <c r="E54" i="29"/>
  <c r="B24" i="26"/>
  <c r="E49" i="29"/>
  <c r="C92" i="30"/>
  <c r="D92" i="30" s="1"/>
  <c r="E92" i="30" s="1"/>
  <c r="F92" i="30" s="1"/>
  <c r="G92" i="30" s="1"/>
  <c r="H92" i="30" s="1"/>
  <c r="I92" i="30" s="1"/>
  <c r="J92" i="30" s="1"/>
  <c r="K92" i="30" s="1"/>
  <c r="L92" i="30" s="1"/>
  <c r="E28" i="29" l="1"/>
  <c r="R52" i="29"/>
  <c r="F52" i="29" s="1"/>
  <c r="E52" i="29"/>
  <c r="R43" i="29"/>
  <c r="F43" i="29" s="1"/>
  <c r="E43" i="29"/>
  <c r="R58" i="29"/>
  <c r="F58" i="29" s="1"/>
  <c r="E58" i="29"/>
  <c r="C51" i="7"/>
  <c r="B25" i="26"/>
  <c r="H140" i="30"/>
  <c r="H141" i="30" s="1"/>
  <c r="C73" i="30" s="1"/>
  <c r="I118" i="30"/>
  <c r="B27" i="26"/>
  <c r="C50" i="7" l="1"/>
  <c r="C126" i="30"/>
  <c r="A15" i="6" l="1"/>
  <c r="C22" i="6" s="1"/>
  <c r="AC64" i="29" l="1"/>
  <c r="AC61" i="29"/>
  <c r="AC57" i="29"/>
  <c r="AC54" i="29"/>
  <c r="AC52" i="29"/>
  <c r="AC50" i="29"/>
  <c r="AC45" i="29"/>
  <c r="AC42" i="29"/>
  <c r="AC37" i="29"/>
  <c r="AC28" i="29"/>
  <c r="Z27" i="29"/>
  <c r="AA24" i="29"/>
  <c r="V27" i="29"/>
  <c r="W24" i="29"/>
  <c r="O24" i="29"/>
  <c r="K24" i="29"/>
  <c r="D81" i="30" l="1"/>
  <c r="AC59" i="29" l="1"/>
  <c r="AC60" i="29"/>
  <c r="AC62" i="29"/>
  <c r="AC63" i="29"/>
  <c r="I24" i="29"/>
  <c r="D26" i="5" l="1"/>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B126" i="30" l="1"/>
  <c r="B25" i="30" s="1"/>
  <c r="C67" i="30" s="1"/>
  <c r="A12" i="26"/>
  <c r="D67" i="30" l="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F65" i="30" l="1"/>
  <c r="C65" i="30"/>
  <c r="C60" i="30" s="1"/>
  <c r="C66" i="30" s="1"/>
  <c r="C68" i="30" s="1"/>
  <c r="C75" i="30" s="1"/>
  <c r="J65" i="30"/>
  <c r="G65" i="30"/>
  <c r="D65" i="30"/>
  <c r="D60" i="30" s="1"/>
  <c r="D66" i="30" s="1"/>
  <c r="K65" i="30"/>
  <c r="H65" i="30"/>
  <c r="E65" i="30"/>
  <c r="L65" i="30"/>
  <c r="I65" i="30"/>
  <c r="C76" i="30"/>
  <c r="F76" i="30"/>
  <c r="B66" i="30"/>
  <c r="B68" i="30" s="1"/>
  <c r="B80" i="30"/>
  <c r="C80" i="30"/>
  <c r="B54" i="30"/>
  <c r="E61" i="30"/>
  <c r="F61" i="30"/>
  <c r="G61" i="30"/>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G60" i="30" l="1"/>
  <c r="G66" i="30" s="1"/>
  <c r="F60" i="30"/>
  <c r="F66" i="30" s="1"/>
  <c r="F68" i="30" s="1"/>
  <c r="H60" i="30"/>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AC58" i="29"/>
  <c r="F25" i="29"/>
  <c r="AC25" i="29"/>
  <c r="F32" i="29"/>
  <c r="AC32" i="29"/>
  <c r="F31" i="29"/>
  <c r="AC31" i="29"/>
  <c r="F29" i="29"/>
  <c r="AC29" i="29"/>
  <c r="F27" i="29"/>
  <c r="B122" i="30" s="1"/>
  <c r="AC27" i="29"/>
  <c r="AC33" i="29"/>
  <c r="AC30" i="29"/>
  <c r="F26" i="29"/>
  <c r="AC26" i="29"/>
  <c r="F34" i="29"/>
  <c r="AC34" i="29"/>
  <c r="B79" i="30"/>
  <c r="B83" i="30"/>
  <c r="B88" i="30" l="1"/>
  <c r="B86" i="30"/>
  <c r="B84" i="30"/>
  <c r="B89" i="30" s="1"/>
  <c r="C79" i="30"/>
  <c r="C83" i="30" l="1"/>
  <c r="B87" i="30"/>
  <c r="B90" i="30" s="1"/>
  <c r="D79" i="30"/>
  <c r="E79" i="30"/>
  <c r="E83" i="30" s="1"/>
  <c r="E86" i="30" s="1"/>
  <c r="F79" i="30" l="1"/>
  <c r="D83" i="30"/>
  <c r="D86" i="30" s="1"/>
  <c r="C86" i="30"/>
  <c r="C88" i="30"/>
  <c r="C84" i="30"/>
  <c r="C89" i="30" s="1"/>
  <c r="E84" i="30" l="1"/>
  <c r="D84" i="30"/>
  <c r="D89" i="30" s="1"/>
  <c r="E88" i="30"/>
  <c r="D88" i="30"/>
  <c r="F83" i="30"/>
  <c r="G79" i="30"/>
  <c r="E87" i="30"/>
  <c r="D87" i="30"/>
  <c r="D90" i="30" s="1"/>
  <c r="C87" i="30"/>
  <c r="C90" i="30" s="1"/>
  <c r="H79" i="30"/>
  <c r="H83" i="30" s="1"/>
  <c r="H86" i="30" s="1"/>
  <c r="I79" i="30" l="1"/>
  <c r="I83" i="30" s="1"/>
  <c r="I86" i="30" s="1"/>
  <c r="E89" i="30"/>
  <c r="F86" i="30"/>
  <c r="F84" i="30"/>
  <c r="F89" i="30" s="1"/>
  <c r="F88" i="30"/>
  <c r="J79" i="30"/>
  <c r="J83" i="30" s="1"/>
  <c r="J86" i="30" s="1"/>
  <c r="E90" i="30"/>
  <c r="G83" i="30"/>
  <c r="G86" i="30" s="1"/>
  <c r="K79" i="30" l="1"/>
  <c r="K83" i="30" s="1"/>
  <c r="K86" i="30" s="1"/>
  <c r="G84" i="30"/>
  <c r="G89" i="30" s="1"/>
  <c r="J84" i="30"/>
  <c r="H88" i="30"/>
  <c r="K88" i="30"/>
  <c r="I88" i="30"/>
  <c r="G88" i="30"/>
  <c r="K84" i="30"/>
  <c r="K89" i="30" s="1"/>
  <c r="I84" i="30"/>
  <c r="L79" i="30"/>
  <c r="H84" i="30"/>
  <c r="H89" i="30" s="1"/>
  <c r="J88" i="30"/>
  <c r="H87" i="30"/>
  <c r="K87" i="30"/>
  <c r="I87" i="30"/>
  <c r="G87" i="30"/>
  <c r="F87" i="30"/>
  <c r="F90" i="30" s="1"/>
  <c r="J87" i="30"/>
  <c r="H90" i="30" l="1"/>
  <c r="J90" i="30"/>
  <c r="L83" i="30"/>
  <c r="M79" i="30"/>
  <c r="G90" i="30"/>
  <c r="I90" i="30"/>
  <c r="K90" i="30"/>
  <c r="I89" i="30"/>
  <c r="J89" i="30"/>
  <c r="M83" i="30" l="1"/>
  <c r="M86" i="30" s="1"/>
  <c r="N79" i="30"/>
  <c r="L86" i="30"/>
  <c r="L84" i="30"/>
  <c r="L89" i="30" s="1"/>
  <c r="G28" i="30" s="1"/>
  <c r="C105" i="30" s="1"/>
  <c r="M88" i="30"/>
  <c r="L88" i="30"/>
  <c r="B105" i="30" s="1"/>
  <c r="M84" i="30" l="1"/>
  <c r="M89" i="30"/>
  <c r="N83" i="30"/>
  <c r="O79" i="30"/>
  <c r="M87" i="30"/>
  <c r="L87" i="30"/>
  <c r="M90" i="30" l="1"/>
  <c r="G30" i="30"/>
  <c r="A105" i="30" s="1"/>
  <c r="L90" i="30"/>
  <c r="G29" i="30" s="1"/>
  <c r="D105" i="30" s="1"/>
  <c r="O83" i="30"/>
  <c r="P79" i="30"/>
  <c r="N86" i="30"/>
  <c r="N88" i="30"/>
  <c r="N84" i="30"/>
  <c r="N89" i="30" s="1"/>
  <c r="O86" i="30" l="1"/>
  <c r="O87" i="30" s="1"/>
  <c r="O84" i="30"/>
  <c r="O89" i="30" s="1"/>
  <c r="O88" i="30"/>
  <c r="P83" i="30"/>
  <c r="Q79" i="30"/>
  <c r="N87" i="30"/>
  <c r="N90" i="30" s="1"/>
  <c r="O90" i="30" l="1"/>
  <c r="P86" i="30"/>
  <c r="P87" i="30" s="1"/>
  <c r="P90" i="30" s="1"/>
  <c r="P84" i="30"/>
  <c r="P89" i="30" s="1"/>
  <c r="P88" i="30"/>
  <c r="Q83" i="30"/>
  <c r="R79" i="30"/>
  <c r="R83" i="30" l="1"/>
  <c r="S79" i="30"/>
  <c r="Q86" i="30"/>
  <c r="Q87" i="30" s="1"/>
  <c r="Q90" i="30" s="1"/>
  <c r="Q88" i="30"/>
  <c r="Q84" i="30"/>
  <c r="Q89" i="30" s="1"/>
  <c r="R86" i="30" l="1"/>
  <c r="R87" i="30" s="1"/>
  <c r="R90" i="30" s="1"/>
  <c r="R84" i="30"/>
  <c r="R89" i="30" s="1"/>
  <c r="R88" i="30"/>
  <c r="S83" i="30"/>
  <c r="T79" i="30"/>
  <c r="S86" i="30" l="1"/>
  <c r="S87" i="30" s="1"/>
  <c r="S90" i="30" s="1"/>
  <c r="S84" i="30"/>
  <c r="S89" i="30" s="1"/>
  <c r="S88" i="30"/>
  <c r="T83" i="30"/>
  <c r="U79" i="30"/>
  <c r="T86" i="30" l="1"/>
  <c r="T87" i="30" s="1"/>
  <c r="T90" i="30" s="1"/>
  <c r="T84" i="30"/>
  <c r="T89" i="30" s="1"/>
  <c r="T88" i="30"/>
  <c r="U83" i="30"/>
  <c r="V79" i="30"/>
  <c r="U86" i="30" l="1"/>
  <c r="U87" i="30" s="1"/>
  <c r="U90" i="30" s="1"/>
  <c r="U84" i="30"/>
  <c r="U89" i="30" s="1"/>
  <c r="U88" i="30"/>
  <c r="V83" i="30"/>
  <c r="W79" i="30"/>
  <c r="W83" i="30" l="1"/>
  <c r="X79" i="30"/>
  <c r="V86" i="30"/>
  <c r="V87" i="30" s="1"/>
  <c r="V90" i="30" s="1"/>
  <c r="V84" i="30"/>
  <c r="V89" i="30" s="1"/>
  <c r="V88" i="30"/>
  <c r="W86" i="30" l="1"/>
  <c r="W87" i="30" s="1"/>
  <c r="W90" i="30" s="1"/>
  <c r="W84" i="30"/>
  <c r="W89" i="30" s="1"/>
  <c r="W88" i="30"/>
  <c r="X83" i="30"/>
  <c r="Y79" i="30"/>
  <c r="Y83" i="30" l="1"/>
  <c r="Z79" i="30"/>
  <c r="X86" i="30"/>
  <c r="X87" i="30" s="1"/>
  <c r="X90" i="30" s="1"/>
  <c r="X84" i="30"/>
  <c r="X89" i="30" s="1"/>
  <c r="X88" i="30"/>
  <c r="Y86" i="30" l="1"/>
  <c r="Y87" i="30" s="1"/>
  <c r="Y90" i="30" s="1"/>
  <c r="Y88" i="30"/>
  <c r="Y84" i="30"/>
  <c r="Y89" i="30" s="1"/>
  <c r="Z83" i="30"/>
  <c r="AA79" i="30"/>
  <c r="AA83" i="30" l="1"/>
  <c r="AB79" i="30"/>
  <c r="Z86" i="30"/>
  <c r="Z87" i="30" s="1"/>
  <c r="Z90" i="30" s="1"/>
  <c r="Z84" i="30"/>
  <c r="Z89" i="30" s="1"/>
  <c r="Z88" i="30"/>
  <c r="AB83" i="30" l="1"/>
  <c r="AC79" i="30"/>
  <c r="AA86" i="30"/>
  <c r="AA87" i="30" s="1"/>
  <c r="AA90" i="30" s="1"/>
  <c r="AA88" i="30"/>
  <c r="AA84" i="30"/>
  <c r="AA89" i="30" s="1"/>
  <c r="AC83" i="30" l="1"/>
  <c r="AD79" i="30"/>
  <c r="AB86" i="30"/>
  <c r="AB87" i="30" s="1"/>
  <c r="AB90" i="30" s="1"/>
  <c r="AB88" i="30"/>
  <c r="AB84" i="30"/>
  <c r="AB89" i="30" s="1"/>
  <c r="AD83" i="30" l="1"/>
  <c r="AE79" i="30"/>
  <c r="AC86" i="30"/>
  <c r="AC87" i="30" s="1"/>
  <c r="AC90" i="30" s="1"/>
  <c r="AC88" i="30"/>
  <c r="AC84" i="30"/>
  <c r="AC89" i="30" s="1"/>
  <c r="AD86" i="30" l="1"/>
  <c r="AD87" i="30" s="1"/>
  <c r="AD90" i="30" s="1"/>
  <c r="AD84" i="30"/>
  <c r="AD89" i="30" s="1"/>
  <c r="AD88" i="30"/>
  <c r="AE83" i="30"/>
  <c r="AF79" i="30"/>
  <c r="AF83" i="30" l="1"/>
  <c r="AG79" i="30"/>
  <c r="AE86" i="30"/>
  <c r="AE87" i="30" s="1"/>
  <c r="AE90" i="30" s="1"/>
  <c r="AE84" i="30"/>
  <c r="AE89" i="30" s="1"/>
  <c r="AE88" i="30"/>
  <c r="AG83" i="30" l="1"/>
  <c r="AH79" i="30"/>
  <c r="AF86" i="30"/>
  <c r="AF87" i="30" s="1"/>
  <c r="AF90" i="30" s="1"/>
  <c r="AF88" i="30"/>
  <c r="AF84" i="30"/>
  <c r="AF89" i="30" s="1"/>
  <c r="AH83" i="30" l="1"/>
  <c r="AI79" i="30"/>
  <c r="AG86" i="30"/>
  <c r="AG87" i="30" s="1"/>
  <c r="AG90" i="30" s="1"/>
  <c r="AG84" i="30"/>
  <c r="AG89" i="30" s="1"/>
  <c r="AG88" i="30"/>
  <c r="AI83" i="30" l="1"/>
  <c r="AJ79" i="30"/>
  <c r="AH86" i="30"/>
  <c r="AH87" i="30" s="1"/>
  <c r="AH90" i="30" s="1"/>
  <c r="AH88" i="30"/>
  <c r="AH84" i="30"/>
  <c r="AH89" i="30" s="1"/>
  <c r="AJ83" i="30" l="1"/>
  <c r="AK79" i="30"/>
  <c r="AI86" i="30"/>
  <c r="AI87" i="30" s="1"/>
  <c r="AI90" i="30" s="1"/>
  <c r="AI88" i="30"/>
  <c r="AI84" i="30"/>
  <c r="AI89" i="30" s="1"/>
  <c r="AK83" i="30" l="1"/>
  <c r="AL79" i="30"/>
  <c r="AJ86" i="30"/>
  <c r="AJ87" i="30" s="1"/>
  <c r="AJ90" i="30" s="1"/>
  <c r="AJ84" i="30"/>
  <c r="AJ89" i="30" s="1"/>
  <c r="AJ88" i="30"/>
  <c r="AL83" i="30" l="1"/>
  <c r="AM79" i="30"/>
  <c r="AK86" i="30"/>
  <c r="AK87" i="30" s="1"/>
  <c r="AK90" i="30" s="1"/>
  <c r="AK88" i="30"/>
  <c r="AK84" i="30"/>
  <c r="AK89" i="30" s="1"/>
  <c r="AM83" i="30" l="1"/>
  <c r="AN79" i="30"/>
  <c r="AL86" i="30"/>
  <c r="AL87" i="30" s="1"/>
  <c r="AL90" i="30" s="1"/>
  <c r="AL84" i="30"/>
  <c r="AL89" i="30" s="1"/>
  <c r="AL88" i="30"/>
  <c r="AN83" i="30" l="1"/>
  <c r="AO79" i="30"/>
  <c r="AM86" i="30"/>
  <c r="AM87" i="30" s="1"/>
  <c r="AM90" i="30" s="1"/>
  <c r="AM84" i="30"/>
  <c r="AM89" i="30" s="1"/>
  <c r="AM88" i="30"/>
  <c r="AO83" i="30" l="1"/>
  <c r="AP79" i="30"/>
  <c r="AP83" i="30" s="1"/>
  <c r="AN86" i="30"/>
  <c r="AN87" i="30" s="1"/>
  <c r="AN90" i="30" s="1"/>
  <c r="AN88" i="30"/>
  <c r="AN84" i="30"/>
  <c r="AN89" i="30" s="1"/>
  <c r="AP86" i="30" l="1"/>
  <c r="AP84" i="30"/>
  <c r="AP88" i="30"/>
  <c r="AO86" i="30"/>
  <c r="AO87" i="30" s="1"/>
  <c r="AO90" i="30" s="1"/>
  <c r="AO84" i="30"/>
  <c r="AO89" i="30" s="1"/>
  <c r="AO88" i="30"/>
  <c r="AP89" i="30" l="1"/>
  <c r="AP87" i="30"/>
  <c r="A101" i="30" l="1"/>
  <c r="B102" i="30" s="1"/>
  <c r="AP90" i="30"/>
</calcChain>
</file>

<file path=xl/sharedStrings.xml><?xml version="1.0" encoding="utf-8"?>
<sst xmlns="http://schemas.openxmlformats.org/spreadsheetml/2006/main" count="1429" uniqueCount="659">
  <si>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</si>
  <si>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</si>
  <si>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</si>
  <si>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</si>
  <si>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</si>
  <si>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</si>
  <si>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</si>
  <si>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</si>
  <si>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</si>
  <si>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</si>
  <si>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</si>
  <si>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</si>
  <si>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</si>
  <si>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</si>
  <si>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</si>
  <si>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</si>
  <si>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</si>
  <si>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</si>
  <si>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</si>
  <si>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</si>
  <si>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</si>
  <si>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</si>
  <si>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</si>
  <si>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</si>
  <si>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</si>
  <si>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</si>
  <si>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</si>
  <si>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</si>
  <si>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</si>
  <si>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</si>
  <si>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</si>
  <si>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</si>
  <si>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</si>
  <si>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</si>
  <si>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</si>
  <si>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</si>
  <si>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</si>
  <si>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</si>
  <si>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</si>
  <si>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</si>
  <si>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</si>
  <si>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</si>
  <si>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</si>
  <si>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</si>
  <si>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</si>
  <si>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</si>
  <si>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</si>
  <si>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</si>
  <si>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</si>
  <si>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</si>
  <si>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</si>
  <si>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</si>
  <si>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</si>
  <si>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</si>
  <si>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</si>
  <si>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</si>
  <si>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</si>
  <si>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</si>
  <si>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</si>
  <si>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</si>
  <si>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</si>
  <si>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</si>
  <si>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</si>
  <si>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</si>
  <si>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</si>
  <si>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</si>
  <si>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</si>
  <si>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</si>
  <si>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</si>
  <si>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</si>
  <si>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</si>
  <si>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</si>
  <si>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</si>
  <si>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</si>
  <si>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</si>
  <si>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</si>
  <si>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</si>
  <si>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</si>
  <si>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</si>
  <si>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</si>
  <si>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</si>
  <si>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</si>
  <si>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</si>
  <si>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</si>
  <si>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</si>
  <si>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</si>
  <si>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</si>
  <si>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</si>
  <si>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</si>
  <si>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</si>
  <si>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</si>
  <si>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</si>
  <si>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</si>
  <si>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</si>
  <si>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</si>
  <si>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</si>
  <si>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</si>
  <si>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</si>
  <si>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</si>
  <si>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</si>
  <si>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</si>
  <si>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</si>
  <si>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</si>
  <si>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</si>
  <si>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</si>
  <si>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</si>
  <si>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</si>
  <si>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</si>
  <si>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</si>
  <si>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</si>
  <si>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</si>
  <si>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</si>
  <si>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</si>
  <si>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</si>
  <si>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</si>
  <si>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</si>
  <si>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</si>
  <si>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</si>
  <si>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</si>
  <si>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</si>
  <si>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</si>
  <si>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</si>
  <si>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</si>
  <si>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</si>
  <si>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</si>
  <si>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</si>
  <si>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</si>
  <si>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</si>
  <si>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</si>
  <si>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</si>
  <si>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</si>
  <si>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</si>
  <si>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</si>
  <si>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</si>
  <si>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</si>
  <si>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</si>
  <si>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</si>
  <si>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</si>
  <si>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</si>
  <si>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</si>
  <si>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</si>
  <si>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</si>
  <si>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</si>
  <si>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</si>
  <si>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</si>
  <si>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</si>
  <si>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</si>
  <si>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</si>
  <si>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</si>
  <si>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</si>
  <si>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</si>
  <si>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</si>
  <si>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</si>
  <si>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</si>
  <si>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</si>
  <si>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</si>
  <si>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</si>
  <si>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</si>
  <si>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</si>
  <si>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</si>
  <si>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</si>
  <si>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</si>
  <si>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</si>
  <si>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</si>
  <si>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</si>
  <si>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</si>
  <si>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</si>
  <si>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</si>
  <si>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</si>
  <si>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</si>
  <si>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</si>
  <si>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</si>
  <si>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</si>
  <si>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</si>
  <si>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</si>
  <si>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</si>
  <si>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</si>
  <si>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</si>
  <si>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</si>
  <si>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</si>
  <si>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</si>
  <si>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</si>
  <si>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</si>
  <si>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</si>
  <si>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</si>
  <si>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</si>
  <si>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</si>
  <si>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</si>
  <si>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</si>
  <si>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</si>
  <si>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</si>
  <si>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</si>
  <si>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</si>
  <si>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</si>
  <si>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</si>
  <si>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</si>
  <si>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</si>
  <si>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</si>
  <si>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</si>
  <si>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</si>
  <si>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</si>
  <si>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</si>
  <si>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</si>
  <si>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</si>
  <si>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</si>
  <si>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</si>
  <si>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</si>
  <si>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</si>
  <si>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</si>
  <si>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</si>
  <si>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</si>
  <si>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</si>
  <si>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</si>
  <si>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</si>
  <si>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</si>
  <si>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</si>
  <si>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</si>
  <si>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</si>
  <si>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</si>
  <si>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</si>
  <si>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</si>
  <si>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</si>
  <si>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</si>
  <si>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</si>
  <si>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</si>
  <si>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</si>
  <si>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</si>
  <si>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</si>
  <si>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</si>
  <si>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</si>
  <si>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</si>
  <si>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</si>
  <si>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</si>
  <si>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</si>
  <si>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</si>
  <si>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</si>
  <si>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</si>
  <si>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</si>
  <si>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</si>
  <si>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</si>
  <si>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</si>
  <si>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</si>
  <si>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</si>
  <si>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</si>
  <si>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</si>
  <si>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</si>
  <si>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</si>
  <si>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</si>
  <si>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</si>
  <si>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</si>
  <si>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</si>
  <si>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</si>
  <si>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</si>
  <si>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</si>
  <si>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</si>
  <si>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</si>
  <si>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</si>
  <si>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</si>
  <si>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</si>
  <si>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</si>
  <si>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</si>
  <si>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</si>
  <si>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</si>
  <si>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</si>
  <si>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</si>
  <si>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</si>
  <si>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</si>
  <si>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</si>
  <si>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</si>
  <si>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</si>
  <si>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</si>
  <si>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</si>
  <si>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</si>
  <si>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</si>
  <si>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</si>
  <si>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</si>
  <si>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</si>
  <si>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</si>
  <si>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</si>
  <si>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</si>
  <si>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</si>
  <si>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</si>
  <si>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</si>
  <si>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</si>
  <si>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</si>
  <si>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</si>
  <si>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</si>
  <si>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</si>
  <si>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</si>
  <si>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</si>
  <si>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</si>
  <si>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</si>
  <si>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</si>
  <si>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</si>
  <si>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</si>
  <si>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</si>
  <si>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</si>
  <si>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</si>
  <si>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</si>
  <si>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</si>
  <si>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</si>
  <si>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</si>
  <si>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</si>
  <si>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</si>
  <si>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</si>
  <si>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</si>
  <si>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</si>
  <si>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</si>
  <si>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</si>
  <si>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</si>
  <si>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</si>
  <si>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</si>
  <si>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</si>
  <si>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</si>
  <si>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</si>
  <si>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</si>
  <si>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</si>
  <si>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</si>
  <si>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</si>
  <si>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</si>
  <si>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</si>
  <si>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</si>
  <si>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</si>
  <si>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</si>
  <si>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</si>
  <si>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</si>
  <si>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</si>
  <si>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</si>
  <si>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</si>
  <si>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</si>
  <si>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</si>
  <si>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</si>
  <si>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</si>
  <si>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</si>
  <si>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</si>
  <si>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</si>
  <si>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</si>
  <si>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</si>
  <si>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</si>
  <si>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</si>
  <si>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</si>
  <si>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</si>
  <si>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</si>
  <si>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</si>
  <si>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</si>
  <si>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</si>
  <si>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</si>
  <si>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</si>
  <si>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</si>
  <si>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</si>
  <si>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</si>
  <si>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</si>
  <si>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</si>
  <si>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</si>
  <si>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</si>
  <si>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</si>
  <si>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</si>
  <si>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</si>
  <si>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</si>
  <si>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</si>
  <si>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</si>
  <si>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</si>
  <si>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</si>
  <si>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</si>
  <si>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</si>
  <si>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</si>
  <si>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</si>
  <si>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</si>
  <si>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</si>
  <si>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</si>
  <si>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</si>
  <si>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</si>
  <si>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</si>
  <si>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</si>
  <si>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</si>
  <si>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</si>
  <si>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</si>
  <si>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</si>
  <si>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</si>
  <si>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</si>
  <si>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</si>
  <si>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</si>
  <si>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</si>
  <si>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</si>
  <si>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</si>
  <si>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</si>
  <si>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</si>
  <si>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</si>
  <si>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</si>
  <si>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</si>
  <si>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</si>
  <si>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</si>
  <si>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</si>
  <si>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</si>
  <si>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</si>
  <si>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</si>
  <si>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</si>
  <si>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</si>
  <si>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</si>
  <si>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</si>
  <si>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</si>
  <si>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</si>
  <si>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</si>
  <si>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</si>
  <si>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</si>
  <si>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</si>
  <si>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</si>
  <si>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</si>
  <si>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</si>
  <si>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</si>
  <si>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</si>
  <si>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</si>
  <si>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</si>
  <si>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</si>
  <si>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</si>
  <si>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</si>
  <si>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</si>
  <si>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</si>
  <si>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</si>
  <si>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</si>
  <si>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</si>
  <si>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</si>
  <si>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</si>
  <si>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</si>
  <si>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</si>
  <si>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</si>
  <si>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</si>
  <si>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</si>
  <si>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</si>
  <si>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</si>
  <si>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</si>
  <si>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</si>
  <si>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</si>
  <si>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</si>
  <si>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</si>
  <si>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</si>
  <si>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</si>
  <si>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</si>
  <si>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</si>
  <si>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</si>
  <si>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</si>
  <si>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</si>
  <si>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</si>
  <si>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</si>
  <si>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</si>
  <si>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</si>
  <si>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</si>
  <si>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</si>
  <si>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</si>
  <si>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</si>
  <si>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</si>
  <si>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</si>
  <si>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</si>
  <si>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</si>
  <si>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</si>
  <si>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</si>
  <si>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</si>
  <si>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</si>
  <si>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</si>
  <si>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</si>
  <si>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</si>
  <si>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</si>
  <si>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</si>
  <si>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</si>
  <si>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</si>
  <si>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</si>
  <si>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</si>
  <si>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</si>
  <si>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</si>
  <si>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</si>
  <si>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</si>
  <si>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</si>
  <si>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</si>
  <si>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</si>
  <si>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</si>
  <si>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</si>
  <si>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</si>
  <si>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</si>
  <si>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</si>
  <si>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</si>
  <si>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</si>
  <si>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</si>
  <si>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</si>
  <si>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</si>
  <si>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</si>
  <si>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</si>
  <si>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</si>
  <si>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</si>
  <si>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</si>
  <si>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</si>
  <si>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</si>
  <si>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</si>
  <si>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</si>
  <si>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</si>
  <si>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</si>
  <si>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</si>
  <si>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</si>
  <si>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</si>
  <si>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</si>
  <si>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</si>
  <si>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</si>
  <si>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</si>
  <si>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</si>
  <si>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</si>
  <si>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</si>
  <si>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</si>
  <si>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</si>
  <si>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</si>
  <si>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</si>
  <si>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</si>
  <si>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</si>
  <si>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</si>
  <si>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</si>
  <si>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</si>
  <si>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</si>
  <si>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</si>
  <si>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</si>
  <si>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</si>
  <si>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</si>
  <si>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</si>
  <si>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</si>
  <si>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</si>
  <si>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</si>
  <si>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</si>
  <si>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</si>
  <si>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</si>
  <si>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</si>
  <si>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</si>
  <si>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</si>
  <si>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</si>
  <si>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</si>
  <si>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</si>
  <si>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</si>
  <si>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</si>
  <si>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</si>
  <si>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</si>
  <si>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</si>
  <si>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</si>
  <si>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</si>
  <si>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</si>
  <si>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</si>
  <si>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</si>
  <si>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</si>
  <si>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</si>
  <si>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</si>
  <si>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</si>
  <si>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</si>
  <si>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</si>
  <si>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</si>
  <si>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</si>
  <si>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</si>
  <si>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</si>
  <si>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</si>
  <si>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</si>
  <si>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</si>
  <si>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</si>
  <si>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</si>
  <si>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</si>
  <si>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</si>
  <si>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</si>
  <si>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</si>
  <si>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</si>
  <si>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</si>
  <si>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</si>
  <si>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</si>
  <si>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</si>
  <si>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</si>
  <si>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</si>
  <si>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</si>
  <si>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</si>
  <si>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</si>
  <si>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</si>
  <si>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</si>
  <si>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</si>
  <si>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</si>
  <si>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</si>
  <si>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</si>
  <si>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</si>
  <si>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</si>
  <si>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</si>
  <si>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</si>
  <si>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</si>
  <si>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</si>
  <si>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</si>
  <si>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</si>
  <si>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</si>
  <si>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</si>
  <si>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</si>
  <si>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</si>
  <si>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</si>
  <si>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</si>
  <si>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</si>
  <si>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</si>
  <si>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</si>
  <si>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</si>
  <si>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</si>
  <si>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</si>
  <si>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</si>
  <si>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</si>
  <si>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</si>
  <si>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</si>
  <si>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</si>
  <si>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</si>
  <si>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</si>
  <si>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</si>
  <si>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</si>
  <si>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</si>
  <si>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</si>
  <si>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</si>
  <si>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</si>
  <si>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</si>
  <si>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</si>
  <si>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</si>
  <si>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</si>
  <si>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</si>
  <si>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</si>
  <si>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</si>
  <si>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</si>
  <si>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</si>
  <si>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</si>
  <si>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</si>
  <si>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</si>
  <si>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</si>
  <si>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</si>
  <si>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</si>
  <si>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</si>
  <si>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</si>
  <si>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</si>
  <si>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</si>
  <si>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</si>
  <si>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</si>
  <si>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</si>
  <si>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</si>
  <si>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КЛ1</t>
  </si>
  <si>
    <t>З</t>
  </si>
  <si>
    <t>завершен</t>
  </si>
  <si>
    <t>введен</t>
  </si>
  <si>
    <t>09-02/21тп от 15.03.2021</t>
  </si>
  <si>
    <t>Калининград ул. Флагманская</t>
  </si>
  <si>
    <t>дошкольное учреждение</t>
  </si>
  <si>
    <t>Строительство   2 КЛ 15 кВ сеч 3х120 мм2 протяженностью 2х750 м, ТП с трансформаторами 2х400 кВА, установка 2 ячеек ВВ 15 кВ в РП 15 кВ</t>
  </si>
  <si>
    <t>ТМГ-15/0,4кВ  400кВА</t>
  </si>
  <si>
    <t xml:space="preserve">РП 15 кВ </t>
  </si>
  <si>
    <t xml:space="preserve">2. </t>
  </si>
  <si>
    <t>ячейки РУ-15кВ 2шт</t>
  </si>
  <si>
    <t>ВВ1</t>
  </si>
  <si>
    <t>ВВ2</t>
  </si>
  <si>
    <t>КЛ2</t>
  </si>
  <si>
    <t>3х120</t>
  </si>
  <si>
    <t>СтроительствоТП 15/0,4 кВ, 2-х КЛ 15 кВ , протяженностью 2х750 м</t>
  </si>
  <si>
    <t>Строительство сетей электроснабжения дошкольного учереждения в г. Калининграде , ул. Флагманская, создание 2-й категории надёжности электроснабжения.</t>
  </si>
  <si>
    <t>L_21-08</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</si>
  <si>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2х400 кВА,  показатель увеличения протяженности линий электропередачи в рамках осуществления технологического приоединения к электрическим сетям,   КЛ 15 кВ  протяженностью2х750м</t>
  </si>
  <si>
    <t xml:space="preserve">Строительство </t>
  </si>
  <si>
    <t>г.Калининград</t>
  </si>
  <si>
    <t>Строительство сетей электроснабжения дошкольного учреждения в г. Калининграде , ул. Флагманская</t>
  </si>
  <si>
    <t>2 КЛ 15 кВ сеч 3х120 мм2, протяженностью 2х0,75 км,  ТП 2х400 кВА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</si>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</sst>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24" sqref="A24:C24"/>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7" t="s">
        <v>657</v>
      </c>
      <c r="B5" s="347"/>
      <c r="C5" s="347"/>
      <c r="D5" s="84"/>
      <c r="E5" s="84"/>
      <c r="F5" s="84"/>
      <c r="G5" s="84"/>
      <c r="H5" s="84"/>
      <c r="I5" s="84"/>
      <c r="J5" s="84"/>
    </row>
    <row r="6" spans="1:22" s="8" customFormat="1" ht="18.75" x14ac:dyDescent="0.3">
      <c r="A6" s="13"/>
      <c r="H6" s="12"/>
    </row>
    <row r="7" spans="1:22" s="8" customFormat="1" ht="18.75" x14ac:dyDescent="0.2">
      <c r="A7" s="351" t="s">
        <v>7</v>
      </c>
      <c r="B7" s="351"/>
      <c r="C7" s="35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2" t="s">
        <v>542</v>
      </c>
      <c r="B9" s="352"/>
      <c r="C9" s="352"/>
      <c r="D9" s="7"/>
      <c r="E9" s="7"/>
      <c r="F9" s="7"/>
      <c r="G9" s="7"/>
      <c r="H9" s="7"/>
      <c r="I9" s="10"/>
      <c r="J9" s="10"/>
      <c r="K9" s="10"/>
      <c r="L9" s="10"/>
      <c r="M9" s="10"/>
      <c r="N9" s="10"/>
      <c r="O9" s="10"/>
      <c r="P9" s="10"/>
      <c r="Q9" s="10"/>
      <c r="R9" s="10"/>
      <c r="S9" s="10"/>
      <c r="T9" s="10"/>
      <c r="U9" s="10"/>
      <c r="V9" s="10"/>
    </row>
    <row r="10" spans="1:22" s="8" customFormat="1" ht="18.75" x14ac:dyDescent="0.2">
      <c r="A10" s="348" t="s">
        <v>6</v>
      </c>
      <c r="B10" s="348"/>
      <c r="C10" s="34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651</v>
      </c>
      <c r="B12" s="352"/>
      <c r="C12" s="352"/>
      <c r="D12" s="7"/>
      <c r="E12" s="7"/>
      <c r="F12" s="7"/>
      <c r="G12" s="7"/>
      <c r="H12" s="7"/>
      <c r="I12" s="10"/>
      <c r="J12" s="10"/>
      <c r="K12" s="10"/>
      <c r="L12" s="10"/>
      <c r="M12" s="10"/>
      <c r="N12" s="10"/>
      <c r="O12" s="10"/>
      <c r="P12" s="10"/>
      <c r="Q12" s="10"/>
      <c r="R12" s="10"/>
      <c r="S12" s="10"/>
      <c r="T12" s="10"/>
      <c r="U12" s="10"/>
      <c r="V12" s="10"/>
    </row>
    <row r="13" spans="1:22" s="8" customFormat="1" ht="18.75" x14ac:dyDescent="0.2">
      <c r="A13" s="348" t="s">
        <v>5</v>
      </c>
      <c r="B13" s="348"/>
      <c r="C13" s="34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9" t="s">
        <v>655</v>
      </c>
      <c r="B15" s="349"/>
      <c r="C15" s="349"/>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408</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628</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629</v>
      </c>
      <c r="D23" s="5"/>
      <c r="E23" s="5"/>
      <c r="F23" s="5"/>
      <c r="G23" s="5"/>
      <c r="H23" s="5"/>
      <c r="I23" s="4"/>
      <c r="J23" s="4"/>
      <c r="K23" s="4"/>
      <c r="L23" s="4"/>
      <c r="M23" s="4"/>
      <c r="N23" s="4"/>
      <c r="O23" s="4"/>
      <c r="P23" s="4"/>
      <c r="Q23" s="4"/>
      <c r="R23" s="4"/>
      <c r="S23" s="4"/>
    </row>
    <row r="24" spans="1:22" s="3" customFormat="1" ht="22.5" customHeight="1" x14ac:dyDescent="0.2">
      <c r="A24" s="344"/>
      <c r="B24" s="345"/>
      <c r="C24" s="34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654</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604</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606</v>
      </c>
      <c r="D33" s="5"/>
      <c r="E33" s="5"/>
      <c r="F33" s="5"/>
      <c r="G33" s="5"/>
      <c r="H33" s="4"/>
      <c r="I33" s="4"/>
      <c r="J33" s="4"/>
      <c r="K33" s="4"/>
      <c r="L33" s="4"/>
      <c r="M33" s="4"/>
      <c r="N33" s="4"/>
      <c r="O33" s="4"/>
      <c r="P33" s="4"/>
      <c r="Q33" s="4"/>
      <c r="R33" s="4"/>
    </row>
    <row r="34" spans="1:18" ht="111" customHeight="1" x14ac:dyDescent="0.25">
      <c r="A34" s="15" t="s">
        <v>377</v>
      </c>
      <c r="B34" s="22" t="s">
        <v>364</v>
      </c>
      <c r="C34" s="16" t="s">
        <v>535</v>
      </c>
    </row>
    <row r="35" spans="1:18" ht="58.5" customHeight="1" x14ac:dyDescent="0.25">
      <c r="A35" s="15" t="s">
        <v>367</v>
      </c>
      <c r="B35" s="22" t="s">
        <v>69</v>
      </c>
      <c r="C35" s="16" t="s">
        <v>435</v>
      </c>
    </row>
    <row r="36" spans="1:18" ht="51.75" customHeight="1" x14ac:dyDescent="0.25">
      <c r="A36" s="15" t="s">
        <v>378</v>
      </c>
      <c r="B36" s="22" t="s">
        <v>365</v>
      </c>
      <c r="C36" s="16" t="s">
        <v>607</v>
      </c>
    </row>
    <row r="37" spans="1:18" ht="43.5" customHeight="1" x14ac:dyDescent="0.25">
      <c r="A37" s="15" t="s">
        <v>368</v>
      </c>
      <c r="B37" s="22" t="s">
        <v>366</v>
      </c>
      <c r="C37" s="16" t="s">
        <v>540</v>
      </c>
    </row>
    <row r="38" spans="1:18" ht="43.5" customHeight="1" x14ac:dyDescent="0.25">
      <c r="A38" s="15" t="s">
        <v>379</v>
      </c>
      <c r="B38" s="22" t="s">
        <v>209</v>
      </c>
      <c r="C38" s="16" t="s">
        <v>607</v>
      </c>
    </row>
    <row r="39" spans="1:18" ht="23.25" customHeight="1" x14ac:dyDescent="0.25">
      <c r="A39" s="344"/>
      <c r="B39" s="345"/>
      <c r="C39" s="346"/>
    </row>
    <row r="40" spans="1:18" ht="78.75" x14ac:dyDescent="0.25">
      <c r="A40" s="15" t="s">
        <v>369</v>
      </c>
      <c r="B40" s="22" t="s">
        <v>420</v>
      </c>
      <c r="C40" s="16" t="s">
        <v>652</v>
      </c>
    </row>
    <row r="41" spans="1:18" ht="169.5" customHeight="1" x14ac:dyDescent="0.25">
      <c r="A41" s="15" t="s">
        <v>380</v>
      </c>
      <c r="B41" s="22" t="s">
        <v>403</v>
      </c>
      <c r="C41" s="122" t="s">
        <v>535</v>
      </c>
    </row>
    <row r="42" spans="1:18" ht="162.75" customHeight="1" x14ac:dyDescent="0.25">
      <c r="A42" s="15" t="s">
        <v>370</v>
      </c>
      <c r="B42" s="22" t="s">
        <v>417</v>
      </c>
      <c r="C42" s="22" t="s">
        <v>535</v>
      </c>
    </row>
    <row r="43" spans="1:18" ht="186" customHeight="1" x14ac:dyDescent="0.25">
      <c r="A43" s="15" t="s">
        <v>383</v>
      </c>
      <c r="B43" s="22" t="s">
        <v>384</v>
      </c>
      <c r="C43" s="87" t="s">
        <v>539</v>
      </c>
    </row>
    <row r="44" spans="1:18" ht="111" customHeight="1" x14ac:dyDescent="0.25">
      <c r="A44" s="15" t="s">
        <v>371</v>
      </c>
      <c r="B44" s="22" t="s">
        <v>409</v>
      </c>
      <c r="C44" s="2" t="s">
        <v>540</v>
      </c>
    </row>
    <row r="45" spans="1:18" ht="120" customHeight="1" x14ac:dyDescent="0.25">
      <c r="A45" s="15" t="s">
        <v>404</v>
      </c>
      <c r="B45" s="22" t="s">
        <v>410</v>
      </c>
      <c r="C45" s="95" t="s">
        <v>535</v>
      </c>
    </row>
    <row r="46" spans="1:18" ht="101.25" customHeight="1" x14ac:dyDescent="0.25">
      <c r="A46" s="15" t="s">
        <v>372</v>
      </c>
      <c r="B46" s="22" t="s">
        <v>411</v>
      </c>
      <c r="C46" s="95" t="s">
        <v>535</v>
      </c>
    </row>
    <row r="47" spans="1:18" ht="18.75" customHeight="1" x14ac:dyDescent="0.25">
      <c r="A47" s="344"/>
      <c r="B47" s="345"/>
      <c r="C47" s="346"/>
    </row>
    <row r="48" spans="1:18" ht="75.75" hidden="1" customHeight="1" x14ac:dyDescent="0.25">
      <c r="A48" s="15" t="s">
        <v>405</v>
      </c>
      <c r="B48" s="22" t="s">
        <v>418</v>
      </c>
      <c r="C48" s="171" t="str">
        <f>CONCATENATE(ROUND('6.2. Паспорт фин осв ввод факт'!AB24,2)," млн.руб.")</f>
        <v>294,53 млн.руб.</v>
      </c>
      <c r="D48" s="1" t="s">
        <v>537</v>
      </c>
    </row>
    <row r="49" spans="1:4" ht="71.25" hidden="1" customHeight="1" x14ac:dyDescent="0.25">
      <c r="A49" s="15" t="s">
        <v>373</v>
      </c>
      <c r="B49" s="22" t="s">
        <v>419</v>
      </c>
      <c r="C49" s="171" t="str">
        <f>CONCATENATE(ROUND('6.2. Паспорт фин осв ввод факт'!AB30,2)," млн.руб.")</f>
        <v>249,6 млн.руб.</v>
      </c>
      <c r="D49" s="1" t="s">
        <v>537</v>
      </c>
    </row>
    <row r="50" spans="1:4" ht="75.75" customHeight="1" x14ac:dyDescent="0.25">
      <c r="A50" s="15" t="s">
        <v>405</v>
      </c>
      <c r="B50" s="22" t="s">
        <v>418</v>
      </c>
      <c r="C50" s="336">
        <f>'6.2. Паспорт фин осв ввод'!D24</f>
        <v>29.033139599999998</v>
      </c>
      <c r="D50" s="1" t="s">
        <v>538</v>
      </c>
    </row>
    <row r="51" spans="1:4" ht="71.25" customHeight="1" x14ac:dyDescent="0.25">
      <c r="A51" s="15" t="s">
        <v>373</v>
      </c>
      <c r="B51" s="22" t="s">
        <v>419</v>
      </c>
      <c r="C51" s="336">
        <f>'6.2. Паспорт фин осв ввод'!D30</f>
        <v>24.194282999999999</v>
      </c>
      <c r="D51" s="1" t="s">
        <v>538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7" t="str">
        <f>'1. паспорт местоположение'!A5:C5</f>
        <v>Год раскрытия информации: 2023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12"/>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8" t="str">
        <f>'1. паспорт местоположение'!A12:C12</f>
        <v>L_21-08</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9" t="str">
        <f>'1. паспорт местоположение'!A15:C15</f>
        <v>Строительство сетей электроснабжения дошкольного учреждения в г. Калининграде , ул. Флагманская</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20" spans="1:32" ht="33" customHeight="1" x14ac:dyDescent="0.25">
      <c r="A20" s="421" t="s">
        <v>183</v>
      </c>
      <c r="B20" s="421" t="s">
        <v>182</v>
      </c>
      <c r="C20" s="416" t="s">
        <v>181</v>
      </c>
      <c r="D20" s="416"/>
      <c r="E20" s="424" t="s">
        <v>180</v>
      </c>
      <c r="F20" s="424"/>
      <c r="G20" s="421" t="s">
        <v>423</v>
      </c>
      <c r="H20" s="427" t="s">
        <v>424</v>
      </c>
      <c r="I20" s="428"/>
      <c r="J20" s="428"/>
      <c r="K20" s="428"/>
      <c r="L20" s="427" t="s">
        <v>425</v>
      </c>
      <c r="M20" s="428"/>
      <c r="N20" s="428"/>
      <c r="O20" s="428"/>
      <c r="P20" s="427" t="s">
        <v>426</v>
      </c>
      <c r="Q20" s="428"/>
      <c r="R20" s="428"/>
      <c r="S20" s="428"/>
      <c r="T20" s="427" t="s">
        <v>438</v>
      </c>
      <c r="U20" s="428"/>
      <c r="V20" s="428"/>
      <c r="W20" s="428"/>
      <c r="X20" s="427" t="s">
        <v>439</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437</v>
      </c>
      <c r="F22" s="48" t="s">
        <v>482</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29"/>
      <c r="C75" s="429"/>
      <c r="D75" s="429"/>
      <c r="E75" s="429"/>
      <c r="F75" s="429"/>
      <c r="G75" s="429"/>
      <c r="H75" s="429"/>
      <c r="I75" s="429"/>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J64">
    <cfRule type="cellIs" dxfId="8" priority="6" operator="notEqual">
      <formula>0</formula>
    </cfRule>
  </conditionalFormatting>
  <conditionalFormatting sqref="E31:I44 K58:M64 O58:Q64">
    <cfRule type="cellIs" dxfId="7" priority="24" operator="notEqual">
      <formula>0</formula>
    </cfRule>
  </conditionalFormatting>
  <conditionalFormatting sqref="K24:M51">
    <cfRule type="cellIs" dxfId="6" priority="17" operator="notEqual">
      <formula>0</formula>
    </cfRule>
  </conditionalFormatting>
  <conditionalFormatting sqref="K52:Q57">
    <cfRule type="cellIs" dxfId="5" priority="13" operator="notEqual">
      <formula>0</formula>
    </cfRule>
  </conditionalFormatting>
  <conditionalFormatting sqref="N24:N64">
    <cfRule type="cellIs" dxfId="4" priority="2" operator="notEqual">
      <formula>0</formula>
    </cfRule>
  </conditionalFormatting>
  <conditionalFormatting sqref="O31:Q51">
    <cfRule type="cellIs" dxfId="3" priority="1" operator="notEqual">
      <formula>0</formula>
    </cfRule>
  </conditionalFormatting>
  <conditionalFormatting sqref="O24:Y30">
    <cfRule type="cellIs" dxfId="2" priority="23" operator="notEqual">
      <formula>0</formula>
    </cfRule>
  </conditionalFormatting>
  <conditionalFormatting sqref="R31:Y64">
    <cfRule type="cellIs" dxfId="1" priority="26" operator="notEqual">
      <formula>0</formula>
    </cfRule>
  </conditionalFormatting>
  <conditionalFormatting sqref="Z24:AC6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4" zoomScale="70" zoomScaleNormal="70" zoomScaleSheetLayoutView="70" workbookViewId="0">
      <selection activeCell="D41" sqref="D4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7" t="str">
        <f>'6.1. Паспорт сетевой график'!A5:K5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2" t="str">
        <f>'6.1. Паспорт сетевой график'!A9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2" t="str">
        <f>'6.1. Паспорт сетевой график'!A12</f>
        <v>L_21-08</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9" t="str">
        <f>'6.1. Паспорт сетевой график'!A15</f>
        <v>Строительство сетей электроснабжения дошкольного учреждения в г. Калининграде , ул. Флагманская</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ht="18.75" x14ac:dyDescent="0.3">
      <c r="U17" s="50"/>
      <c r="V17" s="50"/>
      <c r="W17" s="50"/>
      <c r="X17" s="50"/>
      <c r="Y17" s="167"/>
      <c r="Z17" s="167"/>
      <c r="AA17" s="167"/>
      <c r="AB17" s="167"/>
      <c r="AC17" s="167"/>
      <c r="AF17" s="167"/>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ht="49.5" hidden="1" customHeight="1" x14ac:dyDescent="0.25">
      <c r="E19" s="48" t="s">
        <v>596</v>
      </c>
      <c r="F19" s="48" t="s">
        <v>597</v>
      </c>
      <c r="G19" s="48" t="s">
        <v>598</v>
      </c>
      <c r="H19" s="32" t="s">
        <v>599</v>
      </c>
      <c r="L19" s="32" t="s">
        <v>600</v>
      </c>
      <c r="P19" s="32" t="s">
        <v>601</v>
      </c>
    </row>
    <row r="20" spans="1:32" ht="33" customHeight="1" x14ac:dyDescent="0.25">
      <c r="A20" s="421" t="s">
        <v>183</v>
      </c>
      <c r="B20" s="421" t="s">
        <v>182</v>
      </c>
      <c r="C20" s="416" t="s">
        <v>181</v>
      </c>
      <c r="D20" s="416"/>
      <c r="E20" s="424" t="s">
        <v>180</v>
      </c>
      <c r="F20" s="424"/>
      <c r="G20" s="421" t="s">
        <v>623</v>
      </c>
      <c r="H20" s="427">
        <v>2020</v>
      </c>
      <c r="I20" s="428"/>
      <c r="J20" s="428"/>
      <c r="K20" s="432"/>
      <c r="L20" s="427">
        <v>2021</v>
      </c>
      <c r="M20" s="428"/>
      <c r="N20" s="428"/>
      <c r="O20" s="432"/>
      <c r="P20" s="427">
        <v>2022</v>
      </c>
      <c r="Q20" s="428"/>
      <c r="R20" s="428"/>
      <c r="S20" s="432"/>
      <c r="T20" s="427">
        <v>2023</v>
      </c>
      <c r="U20" s="428"/>
      <c r="V20" s="428"/>
      <c r="W20" s="432"/>
      <c r="X20" s="427">
        <v>2024</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627</v>
      </c>
      <c r="K21" s="416"/>
      <c r="L21" s="416" t="s">
        <v>2</v>
      </c>
      <c r="M21" s="416"/>
      <c r="N21" s="416" t="s">
        <v>627</v>
      </c>
      <c r="O21" s="416"/>
      <c r="P21" s="416" t="s">
        <v>2</v>
      </c>
      <c r="Q21" s="416"/>
      <c r="R21" s="416" t="s">
        <v>9</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9</v>
      </c>
      <c r="E22" s="48" t="s">
        <v>543</v>
      </c>
      <c r="F22" s="48" t="s">
        <v>658</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608</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535</v>
      </c>
      <c r="D24" s="96">
        <f>D30*1.2</f>
        <v>29.033139599999998</v>
      </c>
      <c r="E24" s="96">
        <f>D24</f>
        <v>29.033139599999998</v>
      </c>
      <c r="F24" s="98">
        <f>D24-G24-J24-N24-R24</f>
        <v>3.8405999999984175E-3</v>
      </c>
      <c r="G24" s="98">
        <v>0</v>
      </c>
      <c r="H24" s="96" t="s">
        <v>535</v>
      </c>
      <c r="I24" s="96">
        <f>SUM(I25:I29)</f>
        <v>0</v>
      </c>
      <c r="J24" s="98">
        <v>0</v>
      </c>
      <c r="K24" s="96">
        <f>SUM(K25:K29)</f>
        <v>0</v>
      </c>
      <c r="L24" s="96" t="s">
        <v>535</v>
      </c>
      <c r="M24" s="96">
        <f t="shared" ref="M24:Y24" si="0">SUM(M25:M29)</f>
        <v>0</v>
      </c>
      <c r="N24" s="96">
        <v>15</v>
      </c>
      <c r="O24" s="96">
        <f t="shared" ref="O24" si="1">SUM(O25:O29)</f>
        <v>0</v>
      </c>
      <c r="P24" s="98">
        <v>0</v>
      </c>
      <c r="Q24" s="96">
        <f t="shared" si="0"/>
        <v>0</v>
      </c>
      <c r="R24" s="96">
        <v>14.029299</v>
      </c>
      <c r="S24" s="96">
        <v>3</v>
      </c>
      <c r="T24" s="98">
        <v>0</v>
      </c>
      <c r="U24" s="96">
        <f t="shared" si="0"/>
        <v>0</v>
      </c>
      <c r="V24" s="96">
        <v>0</v>
      </c>
      <c r="W24" s="96">
        <f t="shared" ref="W24" si="2">SUM(W25:W29)</f>
        <v>0</v>
      </c>
      <c r="X24" s="98">
        <v>0</v>
      </c>
      <c r="Y24" s="96">
        <f t="shared" si="0"/>
        <v>0</v>
      </c>
      <c r="Z24" s="96">
        <v>0</v>
      </c>
      <c r="AA24" s="96">
        <f t="shared" ref="AA24" si="3">SUM(AA25:AA29)</f>
        <v>0</v>
      </c>
      <c r="AB24" s="96" t="s">
        <v>535</v>
      </c>
      <c r="AC24" s="96">
        <f>SUM(J24,N24,R24,V24,Z24)</f>
        <v>29.029299000000002</v>
      </c>
    </row>
    <row r="25" spans="1:32" ht="24" customHeight="1" x14ac:dyDescent="0.25">
      <c r="A25" s="41" t="s">
        <v>176</v>
      </c>
      <c r="B25" s="25" t="s">
        <v>175</v>
      </c>
      <c r="C25" s="96" t="s">
        <v>535</v>
      </c>
      <c r="D25" s="96">
        <v>0</v>
      </c>
      <c r="E25" s="96">
        <f t="shared" ref="E25:E64" si="4">D25</f>
        <v>0</v>
      </c>
      <c r="F25" s="98">
        <f t="shared" ref="F25:F64" si="5">D25-G25-J25-N25-R25</f>
        <v>0</v>
      </c>
      <c r="G25" s="98">
        <v>0</v>
      </c>
      <c r="H25" s="96" t="s">
        <v>535</v>
      </c>
      <c r="I25" s="98">
        <v>0</v>
      </c>
      <c r="J25" s="98">
        <v>0</v>
      </c>
      <c r="K25" s="98">
        <v>0</v>
      </c>
      <c r="L25" s="96" t="s">
        <v>535</v>
      </c>
      <c r="M25" s="98">
        <v>0</v>
      </c>
      <c r="N25" s="96">
        <v>0</v>
      </c>
      <c r="O25" s="98">
        <v>0</v>
      </c>
      <c r="P25" s="98">
        <v>0</v>
      </c>
      <c r="Q25" s="98">
        <v>0</v>
      </c>
      <c r="R25" s="96">
        <v>0</v>
      </c>
      <c r="S25" s="98">
        <v>0</v>
      </c>
      <c r="T25" s="98">
        <v>0</v>
      </c>
      <c r="U25" s="98">
        <v>0</v>
      </c>
      <c r="V25" s="98">
        <v>0</v>
      </c>
      <c r="W25" s="98">
        <v>0</v>
      </c>
      <c r="X25" s="98">
        <v>0</v>
      </c>
      <c r="Y25" s="98">
        <v>0</v>
      </c>
      <c r="Z25" s="98">
        <v>0</v>
      </c>
      <c r="AA25" s="98">
        <v>0</v>
      </c>
      <c r="AB25" s="96" t="s">
        <v>535</v>
      </c>
      <c r="AC25" s="96">
        <f t="shared" ref="AC25:AC64" si="6">SUM(J25,N25,R25,V25,Z25)</f>
        <v>0</v>
      </c>
    </row>
    <row r="26" spans="1:32" x14ac:dyDescent="0.25">
      <c r="A26" s="41" t="s">
        <v>174</v>
      </c>
      <c r="B26" s="25" t="s">
        <v>173</v>
      </c>
      <c r="C26" s="96" t="s">
        <v>535</v>
      </c>
      <c r="D26" s="96">
        <v>0</v>
      </c>
      <c r="E26" s="96">
        <f t="shared" si="4"/>
        <v>0</v>
      </c>
      <c r="F26" s="98">
        <f t="shared" si="5"/>
        <v>0</v>
      </c>
      <c r="G26" s="98">
        <v>0</v>
      </c>
      <c r="H26" s="96" t="s">
        <v>535</v>
      </c>
      <c r="I26" s="98">
        <v>0</v>
      </c>
      <c r="J26" s="98">
        <v>0</v>
      </c>
      <c r="K26" s="98">
        <v>0</v>
      </c>
      <c r="L26" s="96" t="s">
        <v>535</v>
      </c>
      <c r="M26" s="98">
        <v>0</v>
      </c>
      <c r="N26" s="96">
        <v>0</v>
      </c>
      <c r="O26" s="98">
        <v>0</v>
      </c>
      <c r="P26" s="98">
        <v>0</v>
      </c>
      <c r="Q26" s="98">
        <v>0</v>
      </c>
      <c r="R26" s="96">
        <v>0</v>
      </c>
      <c r="S26" s="98">
        <v>0</v>
      </c>
      <c r="T26" s="98">
        <v>0</v>
      </c>
      <c r="U26" s="98">
        <v>0</v>
      </c>
      <c r="V26" s="98">
        <v>0</v>
      </c>
      <c r="W26" s="98">
        <v>0</v>
      </c>
      <c r="X26" s="98">
        <v>0</v>
      </c>
      <c r="Y26" s="98">
        <v>0</v>
      </c>
      <c r="Z26" s="98">
        <v>0</v>
      </c>
      <c r="AA26" s="98">
        <v>0</v>
      </c>
      <c r="AB26" s="96" t="s">
        <v>535</v>
      </c>
      <c r="AC26" s="96">
        <f t="shared" si="6"/>
        <v>0</v>
      </c>
    </row>
    <row r="27" spans="1:32" ht="31.5" x14ac:dyDescent="0.25">
      <c r="A27" s="41" t="s">
        <v>172</v>
      </c>
      <c r="B27" s="25" t="s">
        <v>356</v>
      </c>
      <c r="C27" s="96" t="s">
        <v>535</v>
      </c>
      <c r="D27" s="96">
        <v>0</v>
      </c>
      <c r="E27" s="96">
        <f t="shared" si="4"/>
        <v>0</v>
      </c>
      <c r="F27" s="98">
        <f t="shared" si="5"/>
        <v>0</v>
      </c>
      <c r="G27" s="98">
        <v>0</v>
      </c>
      <c r="H27" s="96" t="s">
        <v>535</v>
      </c>
      <c r="I27" s="98">
        <v>0</v>
      </c>
      <c r="J27" s="98">
        <v>0</v>
      </c>
      <c r="K27" s="98">
        <v>0</v>
      </c>
      <c r="L27" s="96" t="s">
        <v>535</v>
      </c>
      <c r="M27" s="98">
        <v>0</v>
      </c>
      <c r="N27" s="96">
        <v>0</v>
      </c>
      <c r="O27" s="98">
        <v>0</v>
      </c>
      <c r="P27" s="98">
        <v>0</v>
      </c>
      <c r="Q27" s="98">
        <v>0</v>
      </c>
      <c r="R27" s="96">
        <v>0</v>
      </c>
      <c r="S27" s="98">
        <v>0</v>
      </c>
      <c r="T27" s="98">
        <v>0</v>
      </c>
      <c r="U27" s="98">
        <v>0</v>
      </c>
      <c r="V27" s="98">
        <f>V24</f>
        <v>0</v>
      </c>
      <c r="W27" s="98">
        <v>0</v>
      </c>
      <c r="X27" s="98">
        <v>0</v>
      </c>
      <c r="Y27" s="98">
        <v>0</v>
      </c>
      <c r="Z27" s="98">
        <f>Z24</f>
        <v>0</v>
      </c>
      <c r="AA27" s="98">
        <v>0</v>
      </c>
      <c r="AB27" s="96" t="s">
        <v>535</v>
      </c>
      <c r="AC27" s="96">
        <f t="shared" si="6"/>
        <v>0</v>
      </c>
    </row>
    <row r="28" spans="1:32" x14ac:dyDescent="0.25">
      <c r="A28" s="41" t="s">
        <v>171</v>
      </c>
      <c r="B28" s="25" t="s">
        <v>536</v>
      </c>
      <c r="C28" s="96" t="s">
        <v>535</v>
      </c>
      <c r="D28" s="96">
        <f>D24</f>
        <v>29.033139599999998</v>
      </c>
      <c r="E28" s="96">
        <f t="shared" si="4"/>
        <v>29.033139599999998</v>
      </c>
      <c r="F28" s="98">
        <f t="shared" si="5"/>
        <v>3.8405999999984175E-3</v>
      </c>
      <c r="G28" s="98">
        <v>0</v>
      </c>
      <c r="H28" s="96" t="s">
        <v>535</v>
      </c>
      <c r="I28" s="98">
        <v>0</v>
      </c>
      <c r="J28" s="98">
        <v>0</v>
      </c>
      <c r="K28" s="98">
        <v>0</v>
      </c>
      <c r="L28" s="96" t="s">
        <v>535</v>
      </c>
      <c r="M28" s="98">
        <v>0</v>
      </c>
      <c r="N28" s="96">
        <v>15</v>
      </c>
      <c r="O28" s="98">
        <v>0</v>
      </c>
      <c r="P28" s="98">
        <v>0</v>
      </c>
      <c r="Q28" s="98">
        <v>0</v>
      </c>
      <c r="R28" s="96">
        <v>14.029299</v>
      </c>
      <c r="S28" s="98">
        <v>0</v>
      </c>
      <c r="T28" s="98">
        <v>0</v>
      </c>
      <c r="U28" s="98">
        <v>0</v>
      </c>
      <c r="V28" s="98">
        <v>0</v>
      </c>
      <c r="W28" s="98">
        <v>0</v>
      </c>
      <c r="X28" s="98">
        <v>0</v>
      </c>
      <c r="Y28" s="98">
        <v>0</v>
      </c>
      <c r="Z28" s="98">
        <v>0</v>
      </c>
      <c r="AA28" s="98">
        <v>0</v>
      </c>
      <c r="AB28" s="96" t="s">
        <v>535</v>
      </c>
      <c r="AC28" s="96">
        <f t="shared" si="6"/>
        <v>29.029299000000002</v>
      </c>
    </row>
    <row r="29" spans="1:32" x14ac:dyDescent="0.25">
      <c r="A29" s="41" t="s">
        <v>169</v>
      </c>
      <c r="B29" s="45" t="s">
        <v>168</v>
      </c>
      <c r="C29" s="96" t="s">
        <v>535</v>
      </c>
      <c r="D29" s="96">
        <v>0</v>
      </c>
      <c r="E29" s="96">
        <f t="shared" si="4"/>
        <v>0</v>
      </c>
      <c r="F29" s="98">
        <f t="shared" si="5"/>
        <v>0</v>
      </c>
      <c r="G29" s="98">
        <v>0</v>
      </c>
      <c r="H29" s="96" t="s">
        <v>535</v>
      </c>
      <c r="I29" s="98">
        <v>0</v>
      </c>
      <c r="J29" s="98">
        <v>0</v>
      </c>
      <c r="K29" s="98">
        <v>0</v>
      </c>
      <c r="L29" s="96" t="s">
        <v>535</v>
      </c>
      <c r="M29" s="98">
        <v>0</v>
      </c>
      <c r="N29" s="96">
        <v>0</v>
      </c>
      <c r="O29" s="98">
        <v>0</v>
      </c>
      <c r="P29" s="98">
        <v>0</v>
      </c>
      <c r="Q29" s="98">
        <v>0</v>
      </c>
      <c r="R29" s="96">
        <v>0</v>
      </c>
      <c r="S29" s="98">
        <v>0</v>
      </c>
      <c r="T29" s="98">
        <v>0</v>
      </c>
      <c r="U29" s="98">
        <v>0</v>
      </c>
      <c r="V29" s="98">
        <v>0</v>
      </c>
      <c r="W29" s="98">
        <v>0</v>
      </c>
      <c r="X29" s="98">
        <v>0</v>
      </c>
      <c r="Y29" s="98">
        <v>0</v>
      </c>
      <c r="Z29" s="98">
        <v>0</v>
      </c>
      <c r="AA29" s="98">
        <v>0</v>
      </c>
      <c r="AB29" s="96" t="s">
        <v>535</v>
      </c>
      <c r="AC29" s="96">
        <f t="shared" si="6"/>
        <v>0</v>
      </c>
    </row>
    <row r="30" spans="1:32" s="338" customFormat="1" ht="47.25" x14ac:dyDescent="0.25">
      <c r="A30" s="44" t="s">
        <v>61</v>
      </c>
      <c r="B30" s="43" t="s">
        <v>167</v>
      </c>
      <c r="C30" s="96" t="s">
        <v>535</v>
      </c>
      <c r="D30" s="96">
        <f>SUM(D31:D34)</f>
        <v>24.194282999999999</v>
      </c>
      <c r="E30" s="96">
        <f t="shared" si="4"/>
        <v>24.194282999999999</v>
      </c>
      <c r="F30" s="98">
        <f>D30-G30-J30-N30-R30</f>
        <v>0</v>
      </c>
      <c r="G30" s="98">
        <v>0</v>
      </c>
      <c r="H30" s="96" t="s">
        <v>535</v>
      </c>
      <c r="I30" s="96">
        <v>0</v>
      </c>
      <c r="J30" s="98">
        <v>0</v>
      </c>
      <c r="K30" s="96">
        <v>0</v>
      </c>
      <c r="L30" s="96" t="s">
        <v>535</v>
      </c>
      <c r="M30" s="96">
        <v>0</v>
      </c>
      <c r="N30" s="96">
        <v>12.5</v>
      </c>
      <c r="O30" s="96">
        <v>0</v>
      </c>
      <c r="P30" s="98">
        <v>0</v>
      </c>
      <c r="Q30" s="96">
        <v>0</v>
      </c>
      <c r="R30" s="96">
        <v>11.694282999999999</v>
      </c>
      <c r="S30" s="96">
        <v>0</v>
      </c>
      <c r="T30" s="98">
        <v>0</v>
      </c>
      <c r="U30" s="96">
        <v>0</v>
      </c>
      <c r="V30" s="96">
        <v>0</v>
      </c>
      <c r="W30" s="96">
        <v>0</v>
      </c>
      <c r="X30" s="98">
        <v>0</v>
      </c>
      <c r="Y30" s="96">
        <v>0</v>
      </c>
      <c r="Z30" s="96">
        <v>0</v>
      </c>
      <c r="AA30" s="96">
        <v>0</v>
      </c>
      <c r="AB30" s="96" t="s">
        <v>535</v>
      </c>
      <c r="AC30" s="96">
        <f t="shared" si="6"/>
        <v>24.194282999999999</v>
      </c>
      <c r="AD30" s="32"/>
      <c r="AE30" s="32"/>
      <c r="AF30" s="32"/>
    </row>
    <row r="31" spans="1:32" x14ac:dyDescent="0.25">
      <c r="A31" s="44" t="s">
        <v>166</v>
      </c>
      <c r="B31" s="25" t="s">
        <v>165</v>
      </c>
      <c r="C31" s="96" t="s">
        <v>535</v>
      </c>
      <c r="D31" s="96">
        <f>N31</f>
        <v>2.1</v>
      </c>
      <c r="E31" s="96">
        <f t="shared" si="4"/>
        <v>2.1</v>
      </c>
      <c r="F31" s="98">
        <f t="shared" si="5"/>
        <v>0</v>
      </c>
      <c r="G31" s="98">
        <v>0</v>
      </c>
      <c r="H31" s="96" t="s">
        <v>535</v>
      </c>
      <c r="I31" s="98">
        <v>0</v>
      </c>
      <c r="J31" s="98">
        <v>0</v>
      </c>
      <c r="K31" s="98">
        <v>0</v>
      </c>
      <c r="L31" s="96" t="s">
        <v>535</v>
      </c>
      <c r="M31" s="98">
        <v>0</v>
      </c>
      <c r="N31" s="96">
        <v>2.1</v>
      </c>
      <c r="O31" s="98">
        <v>0</v>
      </c>
      <c r="P31" s="98">
        <v>0</v>
      </c>
      <c r="Q31" s="98">
        <v>0</v>
      </c>
      <c r="R31" s="96">
        <v>0</v>
      </c>
      <c r="S31" s="98">
        <v>0</v>
      </c>
      <c r="T31" s="98">
        <v>0</v>
      </c>
      <c r="U31" s="98">
        <v>0</v>
      </c>
      <c r="V31" s="98">
        <v>0</v>
      </c>
      <c r="W31" s="98">
        <v>0</v>
      </c>
      <c r="X31" s="98">
        <v>0</v>
      </c>
      <c r="Y31" s="98">
        <v>0</v>
      </c>
      <c r="Z31" s="98">
        <v>0</v>
      </c>
      <c r="AA31" s="98">
        <v>0</v>
      </c>
      <c r="AB31" s="96" t="s">
        <v>535</v>
      </c>
      <c r="AC31" s="96">
        <f t="shared" si="6"/>
        <v>2.1</v>
      </c>
    </row>
    <row r="32" spans="1:32" ht="31.5" x14ac:dyDescent="0.25">
      <c r="A32" s="44" t="s">
        <v>164</v>
      </c>
      <c r="B32" s="25" t="s">
        <v>163</v>
      </c>
      <c r="C32" s="96" t="s">
        <v>535</v>
      </c>
      <c r="D32" s="96">
        <f>13.341293-D31</f>
        <v>11.241293000000001</v>
      </c>
      <c r="E32" s="96">
        <f t="shared" si="4"/>
        <v>11.241293000000001</v>
      </c>
      <c r="F32" s="98">
        <f t="shared" si="5"/>
        <v>0</v>
      </c>
      <c r="G32" s="98">
        <v>0</v>
      </c>
      <c r="H32" s="96" t="s">
        <v>535</v>
      </c>
      <c r="I32" s="98">
        <v>0</v>
      </c>
      <c r="J32" s="98">
        <v>0</v>
      </c>
      <c r="K32" s="98">
        <v>0</v>
      </c>
      <c r="L32" s="96" t="s">
        <v>535</v>
      </c>
      <c r="M32" s="98">
        <v>0</v>
      </c>
      <c r="N32" s="96">
        <v>0</v>
      </c>
      <c r="O32" s="98">
        <v>0</v>
      </c>
      <c r="P32" s="98">
        <v>0</v>
      </c>
      <c r="Q32" s="98">
        <v>0</v>
      </c>
      <c r="R32" s="96">
        <v>11.241293000000001</v>
      </c>
      <c r="S32" s="98">
        <v>0</v>
      </c>
      <c r="T32" s="98">
        <v>0</v>
      </c>
      <c r="U32" s="98">
        <v>0</v>
      </c>
      <c r="V32" s="98">
        <v>0</v>
      </c>
      <c r="W32" s="98">
        <v>0</v>
      </c>
      <c r="X32" s="98">
        <v>0</v>
      </c>
      <c r="Y32" s="98">
        <v>0</v>
      </c>
      <c r="Z32" s="98">
        <v>0</v>
      </c>
      <c r="AA32" s="98">
        <v>0</v>
      </c>
      <c r="AB32" s="96" t="s">
        <v>535</v>
      </c>
      <c r="AC32" s="96">
        <f t="shared" si="6"/>
        <v>11.241293000000001</v>
      </c>
    </row>
    <row r="33" spans="1:29" x14ac:dyDescent="0.25">
      <c r="A33" s="44" t="s">
        <v>162</v>
      </c>
      <c r="B33" s="25" t="s">
        <v>161</v>
      </c>
      <c r="C33" s="96" t="s">
        <v>535</v>
      </c>
      <c r="D33" s="96">
        <v>10.85299</v>
      </c>
      <c r="E33" s="96">
        <f t="shared" si="4"/>
        <v>10.85299</v>
      </c>
      <c r="F33" s="98">
        <f>D33-G33-J33-N33-R33</f>
        <v>0</v>
      </c>
      <c r="G33" s="98">
        <v>0</v>
      </c>
      <c r="H33" s="96" t="s">
        <v>535</v>
      </c>
      <c r="I33" s="98">
        <v>0</v>
      </c>
      <c r="J33" s="98">
        <v>0</v>
      </c>
      <c r="K33" s="98">
        <v>0</v>
      </c>
      <c r="L33" s="96" t="s">
        <v>535</v>
      </c>
      <c r="M33" s="98">
        <v>0</v>
      </c>
      <c r="N33" s="96">
        <v>10.4</v>
      </c>
      <c r="O33" s="98">
        <v>0</v>
      </c>
      <c r="P33" s="98">
        <v>0</v>
      </c>
      <c r="Q33" s="98">
        <v>0</v>
      </c>
      <c r="R33" s="96">
        <v>0.45298999999999978</v>
      </c>
      <c r="S33" s="98">
        <v>0</v>
      </c>
      <c r="T33" s="98">
        <v>0</v>
      </c>
      <c r="U33" s="98">
        <v>0</v>
      </c>
      <c r="V33" s="98">
        <v>0</v>
      </c>
      <c r="W33" s="98">
        <v>0</v>
      </c>
      <c r="X33" s="98">
        <v>0</v>
      </c>
      <c r="Y33" s="98">
        <v>0</v>
      </c>
      <c r="Z33" s="98">
        <v>0</v>
      </c>
      <c r="AA33" s="98">
        <v>0</v>
      </c>
      <c r="AB33" s="96" t="s">
        <v>535</v>
      </c>
      <c r="AC33" s="96">
        <f t="shared" si="6"/>
        <v>10.85299</v>
      </c>
    </row>
    <row r="34" spans="1:29" x14ac:dyDescent="0.25">
      <c r="A34" s="44" t="s">
        <v>160</v>
      </c>
      <c r="B34" s="25" t="s">
        <v>159</v>
      </c>
      <c r="C34" s="96" t="s">
        <v>535</v>
      </c>
      <c r="D34" s="96">
        <f t="shared" ref="D34" si="7">N34</f>
        <v>0</v>
      </c>
      <c r="E34" s="96">
        <f t="shared" si="4"/>
        <v>0</v>
      </c>
      <c r="F34" s="98">
        <f t="shared" si="5"/>
        <v>0</v>
      </c>
      <c r="G34" s="98">
        <v>0</v>
      </c>
      <c r="H34" s="96" t="s">
        <v>535</v>
      </c>
      <c r="I34" s="98">
        <v>0</v>
      </c>
      <c r="J34" s="98">
        <v>0</v>
      </c>
      <c r="K34" s="98">
        <v>0</v>
      </c>
      <c r="L34" s="96" t="s">
        <v>535</v>
      </c>
      <c r="M34" s="98">
        <v>0</v>
      </c>
      <c r="N34" s="96">
        <v>0</v>
      </c>
      <c r="O34" s="98">
        <v>0</v>
      </c>
      <c r="P34" s="98">
        <v>0</v>
      </c>
      <c r="Q34" s="98">
        <v>0</v>
      </c>
      <c r="R34" s="96">
        <v>0</v>
      </c>
      <c r="S34" s="98">
        <v>0</v>
      </c>
      <c r="T34" s="98">
        <v>0</v>
      </c>
      <c r="U34" s="98">
        <v>0</v>
      </c>
      <c r="V34" s="98">
        <v>0</v>
      </c>
      <c r="W34" s="98">
        <v>0</v>
      </c>
      <c r="X34" s="98">
        <v>0</v>
      </c>
      <c r="Y34" s="98">
        <v>0</v>
      </c>
      <c r="Z34" s="98">
        <v>0</v>
      </c>
      <c r="AA34" s="98">
        <v>0</v>
      </c>
      <c r="AB34" s="96" t="s">
        <v>535</v>
      </c>
      <c r="AC34" s="96">
        <f t="shared" si="6"/>
        <v>0</v>
      </c>
    </row>
    <row r="35" spans="1:29" s="338" customFormat="1" ht="31.5" x14ac:dyDescent="0.25">
      <c r="A35" s="44" t="s">
        <v>60</v>
      </c>
      <c r="B35" s="43" t="s">
        <v>158</v>
      </c>
      <c r="C35" s="96" t="s">
        <v>535</v>
      </c>
      <c r="D35" s="96">
        <v>0</v>
      </c>
      <c r="E35" s="96">
        <f t="shared" si="4"/>
        <v>0</v>
      </c>
      <c r="F35" s="98">
        <f t="shared" si="5"/>
        <v>0</v>
      </c>
      <c r="G35" s="98">
        <v>0</v>
      </c>
      <c r="H35" s="96" t="s">
        <v>535</v>
      </c>
      <c r="I35" s="96">
        <v>0</v>
      </c>
      <c r="J35" s="98">
        <v>0</v>
      </c>
      <c r="K35" s="96">
        <v>0</v>
      </c>
      <c r="L35" s="96" t="s">
        <v>535</v>
      </c>
      <c r="M35" s="96">
        <v>0</v>
      </c>
      <c r="N35" s="96">
        <v>0</v>
      </c>
      <c r="O35" s="96">
        <v>0</v>
      </c>
      <c r="P35" s="98">
        <v>0</v>
      </c>
      <c r="Q35" s="96">
        <v>0</v>
      </c>
      <c r="R35" s="98">
        <v>0</v>
      </c>
      <c r="S35" s="96">
        <v>0</v>
      </c>
      <c r="T35" s="98">
        <v>0</v>
      </c>
      <c r="U35" s="96">
        <v>0</v>
      </c>
      <c r="V35" s="96">
        <v>0</v>
      </c>
      <c r="W35" s="96">
        <v>0</v>
      </c>
      <c r="X35" s="98">
        <v>0</v>
      </c>
      <c r="Y35" s="96">
        <v>0</v>
      </c>
      <c r="Z35" s="96">
        <v>0</v>
      </c>
      <c r="AA35" s="96">
        <v>0</v>
      </c>
      <c r="AB35" s="96" t="s">
        <v>535</v>
      </c>
      <c r="AC35" s="96">
        <f t="shared" si="6"/>
        <v>0</v>
      </c>
    </row>
    <row r="36" spans="1:29" ht="31.5" x14ac:dyDescent="0.25">
      <c r="A36" s="41" t="s">
        <v>157</v>
      </c>
      <c r="B36" s="168" t="s">
        <v>156</v>
      </c>
      <c r="C36" s="96" t="s">
        <v>535</v>
      </c>
      <c r="D36" s="96">
        <v>0</v>
      </c>
      <c r="E36" s="96">
        <f t="shared" si="4"/>
        <v>0</v>
      </c>
      <c r="F36" s="98">
        <f t="shared" si="5"/>
        <v>0</v>
      </c>
      <c r="G36" s="98">
        <v>0</v>
      </c>
      <c r="H36" s="96" t="s">
        <v>535</v>
      </c>
      <c r="I36" s="98">
        <v>0</v>
      </c>
      <c r="J36" s="98">
        <v>0</v>
      </c>
      <c r="K36" s="98">
        <v>0</v>
      </c>
      <c r="L36" s="96" t="s">
        <v>535</v>
      </c>
      <c r="M36" s="98">
        <v>0</v>
      </c>
      <c r="N36" s="96">
        <v>0</v>
      </c>
      <c r="O36" s="98">
        <v>0</v>
      </c>
      <c r="P36" s="98">
        <v>0</v>
      </c>
      <c r="Q36" s="98">
        <v>0</v>
      </c>
      <c r="R36" s="98">
        <v>0</v>
      </c>
      <c r="S36" s="98">
        <v>0</v>
      </c>
      <c r="T36" s="98">
        <v>0</v>
      </c>
      <c r="U36" s="98">
        <v>0</v>
      </c>
      <c r="V36" s="98">
        <v>0</v>
      </c>
      <c r="W36" s="98">
        <v>0</v>
      </c>
      <c r="X36" s="98">
        <v>0</v>
      </c>
      <c r="Y36" s="98">
        <v>0</v>
      </c>
      <c r="Z36" s="98">
        <v>0</v>
      </c>
      <c r="AA36" s="98">
        <v>0</v>
      </c>
      <c r="AB36" s="96" t="s">
        <v>535</v>
      </c>
      <c r="AC36" s="96">
        <f t="shared" si="6"/>
        <v>0</v>
      </c>
    </row>
    <row r="37" spans="1:29" x14ac:dyDescent="0.25">
      <c r="A37" s="41" t="s">
        <v>155</v>
      </c>
      <c r="B37" s="168" t="s">
        <v>145</v>
      </c>
      <c r="C37" s="96" t="s">
        <v>535</v>
      </c>
      <c r="D37" s="96">
        <v>0.8</v>
      </c>
      <c r="E37" s="96">
        <f t="shared" si="4"/>
        <v>0.8</v>
      </c>
      <c r="F37" s="98">
        <f t="shared" si="5"/>
        <v>0</v>
      </c>
      <c r="G37" s="98">
        <v>0</v>
      </c>
      <c r="H37" s="96" t="s">
        <v>535</v>
      </c>
      <c r="I37" s="98">
        <v>0</v>
      </c>
      <c r="J37" s="98">
        <v>0</v>
      </c>
      <c r="K37" s="98">
        <v>0</v>
      </c>
      <c r="L37" s="96" t="s">
        <v>535</v>
      </c>
      <c r="M37" s="98">
        <v>0</v>
      </c>
      <c r="N37" s="96">
        <v>0</v>
      </c>
      <c r="O37" s="98">
        <v>0</v>
      </c>
      <c r="P37" s="98">
        <v>0</v>
      </c>
      <c r="Q37" s="98">
        <v>0</v>
      </c>
      <c r="R37" s="98">
        <v>0.8</v>
      </c>
      <c r="S37" s="98">
        <v>3</v>
      </c>
      <c r="T37" s="98">
        <v>0</v>
      </c>
      <c r="U37" s="98">
        <v>0</v>
      </c>
      <c r="V37" s="98">
        <v>0</v>
      </c>
      <c r="W37" s="98">
        <v>0</v>
      </c>
      <c r="X37" s="98">
        <v>0</v>
      </c>
      <c r="Y37" s="98">
        <v>0</v>
      </c>
      <c r="Z37" s="98">
        <v>0</v>
      </c>
      <c r="AA37" s="98">
        <v>0</v>
      </c>
      <c r="AB37" s="96" t="s">
        <v>535</v>
      </c>
      <c r="AC37" s="96">
        <f t="shared" si="6"/>
        <v>0.8</v>
      </c>
    </row>
    <row r="38" spans="1:29" x14ac:dyDescent="0.25">
      <c r="A38" s="41" t="s">
        <v>154</v>
      </c>
      <c r="B38" s="168" t="s">
        <v>143</v>
      </c>
      <c r="C38" s="96" t="s">
        <v>535</v>
      </c>
      <c r="D38" s="96">
        <v>0</v>
      </c>
      <c r="E38" s="96">
        <f t="shared" si="4"/>
        <v>0</v>
      </c>
      <c r="F38" s="98">
        <f t="shared" si="5"/>
        <v>0</v>
      </c>
      <c r="G38" s="98">
        <v>0</v>
      </c>
      <c r="H38" s="96" t="s">
        <v>535</v>
      </c>
      <c r="I38" s="98">
        <v>0</v>
      </c>
      <c r="J38" s="98">
        <v>0</v>
      </c>
      <c r="K38" s="98">
        <v>0</v>
      </c>
      <c r="L38" s="96" t="s">
        <v>535</v>
      </c>
      <c r="M38" s="98">
        <v>0</v>
      </c>
      <c r="N38" s="96">
        <v>0</v>
      </c>
      <c r="O38" s="98">
        <v>0</v>
      </c>
      <c r="P38" s="98">
        <v>0</v>
      </c>
      <c r="Q38" s="98">
        <v>0</v>
      </c>
      <c r="R38" s="98">
        <v>0</v>
      </c>
      <c r="S38" s="98">
        <v>0</v>
      </c>
      <c r="T38" s="98">
        <v>0</v>
      </c>
      <c r="U38" s="98">
        <v>0</v>
      </c>
      <c r="V38" s="98">
        <v>0</v>
      </c>
      <c r="W38" s="98">
        <v>0</v>
      </c>
      <c r="X38" s="98">
        <v>0</v>
      </c>
      <c r="Y38" s="98">
        <v>0</v>
      </c>
      <c r="Z38" s="98">
        <v>0</v>
      </c>
      <c r="AA38" s="98">
        <v>0</v>
      </c>
      <c r="AB38" s="96" t="s">
        <v>535</v>
      </c>
      <c r="AC38" s="96">
        <f t="shared" si="6"/>
        <v>0</v>
      </c>
    </row>
    <row r="39" spans="1:29" ht="31.5" x14ac:dyDescent="0.25">
      <c r="A39" s="41" t="s">
        <v>153</v>
      </c>
      <c r="B39" s="25" t="s">
        <v>141</v>
      </c>
      <c r="C39" s="96" t="s">
        <v>535</v>
      </c>
      <c r="D39" s="96">
        <v>0</v>
      </c>
      <c r="E39" s="96">
        <f t="shared" si="4"/>
        <v>0</v>
      </c>
      <c r="F39" s="98">
        <f t="shared" si="5"/>
        <v>0</v>
      </c>
      <c r="G39" s="98">
        <v>0</v>
      </c>
      <c r="H39" s="96" t="s">
        <v>535</v>
      </c>
      <c r="I39" s="98">
        <v>0</v>
      </c>
      <c r="J39" s="98">
        <v>0</v>
      </c>
      <c r="K39" s="98">
        <v>0</v>
      </c>
      <c r="L39" s="96" t="s">
        <v>535</v>
      </c>
      <c r="M39" s="98">
        <v>0</v>
      </c>
      <c r="N39" s="96">
        <v>0</v>
      </c>
      <c r="O39" s="98">
        <v>0</v>
      </c>
      <c r="P39" s="98">
        <v>0</v>
      </c>
      <c r="Q39" s="98">
        <v>0</v>
      </c>
      <c r="R39" s="98">
        <v>0</v>
      </c>
      <c r="S39" s="98">
        <v>0</v>
      </c>
      <c r="T39" s="98">
        <v>0</v>
      </c>
      <c r="U39" s="98">
        <v>0</v>
      </c>
      <c r="V39" s="98">
        <v>0</v>
      </c>
      <c r="W39" s="98">
        <v>0</v>
      </c>
      <c r="X39" s="98">
        <v>0</v>
      </c>
      <c r="Y39" s="98">
        <v>0</v>
      </c>
      <c r="Z39" s="98">
        <v>0</v>
      </c>
      <c r="AA39" s="98">
        <v>0</v>
      </c>
      <c r="AB39" s="96" t="s">
        <v>535</v>
      </c>
      <c r="AC39" s="96">
        <f t="shared" si="6"/>
        <v>0</v>
      </c>
    </row>
    <row r="40" spans="1:29" ht="31.5" x14ac:dyDescent="0.25">
      <c r="A40" s="41" t="s">
        <v>152</v>
      </c>
      <c r="B40" s="25" t="s">
        <v>139</v>
      </c>
      <c r="C40" s="96" t="s">
        <v>535</v>
      </c>
      <c r="D40" s="96">
        <v>0</v>
      </c>
      <c r="E40" s="96">
        <f t="shared" si="4"/>
        <v>0</v>
      </c>
      <c r="F40" s="98">
        <f t="shared" si="5"/>
        <v>0</v>
      </c>
      <c r="G40" s="98">
        <v>0</v>
      </c>
      <c r="H40" s="96" t="s">
        <v>535</v>
      </c>
      <c r="I40" s="98">
        <v>0</v>
      </c>
      <c r="J40" s="98">
        <v>0</v>
      </c>
      <c r="K40" s="98">
        <v>0</v>
      </c>
      <c r="L40" s="96" t="s">
        <v>535</v>
      </c>
      <c r="M40" s="98">
        <v>0</v>
      </c>
      <c r="N40" s="96">
        <v>0</v>
      </c>
      <c r="O40" s="98">
        <v>0</v>
      </c>
      <c r="P40" s="98">
        <v>0</v>
      </c>
      <c r="Q40" s="98">
        <v>0</v>
      </c>
      <c r="R40" s="98">
        <v>0</v>
      </c>
      <c r="S40" s="98">
        <v>0</v>
      </c>
      <c r="T40" s="98">
        <v>0</v>
      </c>
      <c r="U40" s="98">
        <v>0</v>
      </c>
      <c r="V40" s="98">
        <v>0</v>
      </c>
      <c r="W40" s="98">
        <v>0</v>
      </c>
      <c r="X40" s="98">
        <v>0</v>
      </c>
      <c r="Y40" s="98">
        <v>0</v>
      </c>
      <c r="Z40" s="98">
        <v>0</v>
      </c>
      <c r="AA40" s="98">
        <v>0</v>
      </c>
      <c r="AB40" s="96" t="s">
        <v>535</v>
      </c>
      <c r="AC40" s="96">
        <f t="shared" si="6"/>
        <v>0</v>
      </c>
    </row>
    <row r="41" spans="1:29" x14ac:dyDescent="0.25">
      <c r="A41" s="41" t="s">
        <v>151</v>
      </c>
      <c r="B41" s="25" t="s">
        <v>137</v>
      </c>
      <c r="C41" s="96" t="s">
        <v>535</v>
      </c>
      <c r="D41" s="96">
        <f>0.705*4</f>
        <v>2.82</v>
      </c>
      <c r="E41" s="96">
        <f t="shared" si="4"/>
        <v>2.82</v>
      </c>
      <c r="F41" s="98">
        <f t="shared" si="5"/>
        <v>0</v>
      </c>
      <c r="G41" s="98">
        <v>0</v>
      </c>
      <c r="H41" s="96" t="s">
        <v>535</v>
      </c>
      <c r="I41" s="98">
        <v>0</v>
      </c>
      <c r="J41" s="98">
        <v>0</v>
      </c>
      <c r="K41" s="98">
        <v>0</v>
      </c>
      <c r="L41" s="96" t="s">
        <v>535</v>
      </c>
      <c r="M41" s="98">
        <v>0</v>
      </c>
      <c r="N41" s="96">
        <v>0</v>
      </c>
      <c r="O41" s="98">
        <v>0</v>
      </c>
      <c r="P41" s="98">
        <v>0</v>
      </c>
      <c r="Q41" s="98">
        <v>0</v>
      </c>
      <c r="R41" s="98">
        <f>D41</f>
        <v>2.82</v>
      </c>
      <c r="S41" s="98">
        <v>3</v>
      </c>
      <c r="T41" s="98">
        <v>0</v>
      </c>
      <c r="U41" s="98">
        <v>0</v>
      </c>
      <c r="V41" s="98">
        <v>0</v>
      </c>
      <c r="W41" s="98">
        <v>0</v>
      </c>
      <c r="X41" s="98">
        <v>0</v>
      </c>
      <c r="Y41" s="98">
        <v>0</v>
      </c>
      <c r="Z41" s="98">
        <v>0</v>
      </c>
      <c r="AA41" s="98">
        <v>0</v>
      </c>
      <c r="AB41" s="96" t="s">
        <v>535</v>
      </c>
      <c r="AC41" s="96">
        <f t="shared" si="6"/>
        <v>2.82</v>
      </c>
    </row>
    <row r="42" spans="1:29" ht="18.75" x14ac:dyDescent="0.25">
      <c r="A42" s="41" t="s">
        <v>150</v>
      </c>
      <c r="B42" s="168" t="s">
        <v>541</v>
      </c>
      <c r="C42" s="96" t="s">
        <v>535</v>
      </c>
      <c r="D42" s="96">
        <v>0</v>
      </c>
      <c r="E42" s="96">
        <f t="shared" si="4"/>
        <v>0</v>
      </c>
      <c r="F42" s="98">
        <f t="shared" si="5"/>
        <v>0</v>
      </c>
      <c r="G42" s="98">
        <v>0</v>
      </c>
      <c r="H42" s="96" t="s">
        <v>535</v>
      </c>
      <c r="I42" s="98">
        <v>0</v>
      </c>
      <c r="J42" s="98">
        <v>0</v>
      </c>
      <c r="K42" s="98">
        <v>0</v>
      </c>
      <c r="L42" s="96" t="s">
        <v>535</v>
      </c>
      <c r="M42" s="98">
        <v>0</v>
      </c>
      <c r="N42" s="96">
        <v>0</v>
      </c>
      <c r="O42" s="98">
        <v>0</v>
      </c>
      <c r="P42" s="98">
        <v>0</v>
      </c>
      <c r="Q42" s="98">
        <v>0</v>
      </c>
      <c r="R42" s="98">
        <f t="shared" ref="R42:R64" si="8">D42</f>
        <v>0</v>
      </c>
      <c r="S42" s="98">
        <v>0</v>
      </c>
      <c r="T42" s="98">
        <v>0</v>
      </c>
      <c r="U42" s="98">
        <v>0</v>
      </c>
      <c r="V42" s="98">
        <v>0</v>
      </c>
      <c r="W42" s="98">
        <v>0</v>
      </c>
      <c r="X42" s="98">
        <v>0</v>
      </c>
      <c r="Y42" s="98">
        <v>0</v>
      </c>
      <c r="Z42" s="98">
        <v>0</v>
      </c>
      <c r="AA42" s="98">
        <v>0</v>
      </c>
      <c r="AB42" s="96" t="s">
        <v>535</v>
      </c>
      <c r="AC42" s="96">
        <f t="shared" si="6"/>
        <v>0</v>
      </c>
    </row>
    <row r="43" spans="1:29" s="338" customFormat="1" x14ac:dyDescent="0.25">
      <c r="A43" s="44" t="s">
        <v>59</v>
      </c>
      <c r="B43" s="43" t="s">
        <v>149</v>
      </c>
      <c r="C43" s="96" t="s">
        <v>535</v>
      </c>
      <c r="D43" s="96">
        <f>D30</f>
        <v>24.194282999999999</v>
      </c>
      <c r="E43" s="96">
        <f t="shared" si="4"/>
        <v>24.194282999999999</v>
      </c>
      <c r="F43" s="98">
        <f t="shared" si="5"/>
        <v>0</v>
      </c>
      <c r="G43" s="98">
        <v>0</v>
      </c>
      <c r="H43" s="96" t="s">
        <v>535</v>
      </c>
      <c r="I43" s="96">
        <v>0</v>
      </c>
      <c r="J43" s="98">
        <v>0</v>
      </c>
      <c r="K43" s="96">
        <v>0</v>
      </c>
      <c r="L43" s="96" t="s">
        <v>535</v>
      </c>
      <c r="M43" s="96">
        <v>0</v>
      </c>
      <c r="N43" s="342">
        <v>0</v>
      </c>
      <c r="O43" s="96">
        <v>0</v>
      </c>
      <c r="P43" s="98">
        <v>0</v>
      </c>
      <c r="Q43" s="96">
        <v>0</v>
      </c>
      <c r="R43" s="98">
        <f t="shared" si="8"/>
        <v>24.194282999999999</v>
      </c>
      <c r="S43" s="96">
        <v>3</v>
      </c>
      <c r="T43" s="98">
        <v>0</v>
      </c>
      <c r="U43" s="96">
        <v>0</v>
      </c>
      <c r="V43" s="96">
        <v>0</v>
      </c>
      <c r="W43" s="96">
        <v>0</v>
      </c>
      <c r="X43" s="98">
        <v>0</v>
      </c>
      <c r="Y43" s="96">
        <v>0</v>
      </c>
      <c r="Z43" s="96">
        <v>0</v>
      </c>
      <c r="AA43" s="96">
        <v>0</v>
      </c>
      <c r="AB43" s="96" t="s">
        <v>535</v>
      </c>
      <c r="AC43" s="96">
        <f t="shared" si="6"/>
        <v>24.194282999999999</v>
      </c>
    </row>
    <row r="44" spans="1:29" x14ac:dyDescent="0.25">
      <c r="A44" s="41" t="s">
        <v>148</v>
      </c>
      <c r="B44" s="25" t="s">
        <v>147</v>
      </c>
      <c r="C44" s="96" t="s">
        <v>535</v>
      </c>
      <c r="D44" s="96">
        <v>0</v>
      </c>
      <c r="E44" s="96">
        <f t="shared" si="4"/>
        <v>0</v>
      </c>
      <c r="F44" s="98">
        <f t="shared" si="5"/>
        <v>0</v>
      </c>
      <c r="G44" s="98">
        <v>0</v>
      </c>
      <c r="H44" s="96" t="s">
        <v>535</v>
      </c>
      <c r="I44" s="98">
        <v>0</v>
      </c>
      <c r="J44" s="98">
        <v>0</v>
      </c>
      <c r="K44" s="98">
        <v>0</v>
      </c>
      <c r="L44" s="96" t="s">
        <v>535</v>
      </c>
      <c r="M44" s="98">
        <v>0</v>
      </c>
      <c r="N44" s="96">
        <v>0</v>
      </c>
      <c r="O44" s="98">
        <v>0</v>
      </c>
      <c r="P44" s="98">
        <v>0</v>
      </c>
      <c r="Q44" s="98">
        <v>0</v>
      </c>
      <c r="R44" s="98">
        <f t="shared" si="8"/>
        <v>0</v>
      </c>
      <c r="S44" s="98">
        <v>0</v>
      </c>
      <c r="T44" s="98">
        <v>0</v>
      </c>
      <c r="U44" s="98">
        <v>0</v>
      </c>
      <c r="V44" s="98">
        <v>0</v>
      </c>
      <c r="W44" s="98">
        <v>0</v>
      </c>
      <c r="X44" s="98">
        <v>0</v>
      </c>
      <c r="Y44" s="98">
        <v>0</v>
      </c>
      <c r="Z44" s="98">
        <v>0</v>
      </c>
      <c r="AA44" s="98">
        <v>0</v>
      </c>
      <c r="AB44" s="96" t="s">
        <v>535</v>
      </c>
      <c r="AC44" s="96">
        <f t="shared" si="6"/>
        <v>0</v>
      </c>
    </row>
    <row r="45" spans="1:29" x14ac:dyDescent="0.25">
      <c r="A45" s="41" t="s">
        <v>146</v>
      </c>
      <c r="B45" s="25" t="s">
        <v>145</v>
      </c>
      <c r="C45" s="96" t="s">
        <v>535</v>
      </c>
      <c r="D45" s="96">
        <f>D37</f>
        <v>0.8</v>
      </c>
      <c r="E45" s="96">
        <f t="shared" si="4"/>
        <v>0.8</v>
      </c>
      <c r="F45" s="98">
        <f t="shared" si="5"/>
        <v>0</v>
      </c>
      <c r="G45" s="98">
        <v>0</v>
      </c>
      <c r="H45" s="96" t="s">
        <v>535</v>
      </c>
      <c r="I45" s="98">
        <v>0</v>
      </c>
      <c r="J45" s="98">
        <v>0</v>
      </c>
      <c r="K45" s="98">
        <v>0</v>
      </c>
      <c r="L45" s="96" t="s">
        <v>535</v>
      </c>
      <c r="M45" s="98">
        <v>0</v>
      </c>
      <c r="N45" s="96">
        <v>0</v>
      </c>
      <c r="O45" s="98">
        <v>0</v>
      </c>
      <c r="P45" s="98">
        <v>0</v>
      </c>
      <c r="Q45" s="98">
        <v>0</v>
      </c>
      <c r="R45" s="98">
        <f t="shared" si="8"/>
        <v>0.8</v>
      </c>
      <c r="S45" s="98">
        <v>0</v>
      </c>
      <c r="T45" s="98">
        <v>0</v>
      </c>
      <c r="U45" s="98">
        <v>0</v>
      </c>
      <c r="V45" s="98">
        <v>0</v>
      </c>
      <c r="W45" s="98">
        <v>0</v>
      </c>
      <c r="X45" s="98">
        <v>0</v>
      </c>
      <c r="Y45" s="98">
        <v>0</v>
      </c>
      <c r="Z45" s="98">
        <v>0</v>
      </c>
      <c r="AA45" s="98">
        <v>0</v>
      </c>
      <c r="AB45" s="96" t="s">
        <v>535</v>
      </c>
      <c r="AC45" s="96">
        <f t="shared" si="6"/>
        <v>0.8</v>
      </c>
    </row>
    <row r="46" spans="1:29" x14ac:dyDescent="0.25">
      <c r="A46" s="41" t="s">
        <v>144</v>
      </c>
      <c r="B46" s="25" t="s">
        <v>143</v>
      </c>
      <c r="C46" s="96" t="s">
        <v>535</v>
      </c>
      <c r="D46" s="96">
        <v>0</v>
      </c>
      <c r="E46" s="96">
        <f t="shared" si="4"/>
        <v>0</v>
      </c>
      <c r="F46" s="98">
        <f t="shared" si="5"/>
        <v>0</v>
      </c>
      <c r="G46" s="98">
        <v>0</v>
      </c>
      <c r="H46" s="96" t="s">
        <v>535</v>
      </c>
      <c r="I46" s="98">
        <v>0</v>
      </c>
      <c r="J46" s="98">
        <v>0</v>
      </c>
      <c r="K46" s="98">
        <v>0</v>
      </c>
      <c r="L46" s="96" t="s">
        <v>535</v>
      </c>
      <c r="M46" s="98">
        <v>0</v>
      </c>
      <c r="N46" s="96">
        <v>0</v>
      </c>
      <c r="O46" s="98">
        <v>0</v>
      </c>
      <c r="P46" s="98">
        <v>0</v>
      </c>
      <c r="Q46" s="98">
        <v>0</v>
      </c>
      <c r="R46" s="98">
        <f t="shared" si="8"/>
        <v>0</v>
      </c>
      <c r="S46" s="98">
        <v>0</v>
      </c>
      <c r="T46" s="98">
        <v>0</v>
      </c>
      <c r="U46" s="98">
        <v>0</v>
      </c>
      <c r="V46" s="98">
        <v>0</v>
      </c>
      <c r="W46" s="98">
        <v>0</v>
      </c>
      <c r="X46" s="98">
        <v>0</v>
      </c>
      <c r="Y46" s="98">
        <v>0</v>
      </c>
      <c r="Z46" s="98">
        <v>0</v>
      </c>
      <c r="AA46" s="98">
        <v>0</v>
      </c>
      <c r="AB46" s="96" t="s">
        <v>535</v>
      </c>
      <c r="AC46" s="96">
        <f t="shared" si="6"/>
        <v>0</v>
      </c>
    </row>
    <row r="47" spans="1:29" ht="31.5" x14ac:dyDescent="0.25">
      <c r="A47" s="41" t="s">
        <v>142</v>
      </c>
      <c r="B47" s="25" t="s">
        <v>141</v>
      </c>
      <c r="C47" s="96" t="s">
        <v>535</v>
      </c>
      <c r="D47" s="96">
        <v>0</v>
      </c>
      <c r="E47" s="96">
        <f t="shared" si="4"/>
        <v>0</v>
      </c>
      <c r="F47" s="98">
        <f t="shared" si="5"/>
        <v>0</v>
      </c>
      <c r="G47" s="98">
        <v>0</v>
      </c>
      <c r="H47" s="96" t="s">
        <v>535</v>
      </c>
      <c r="I47" s="98">
        <v>0</v>
      </c>
      <c r="J47" s="98">
        <v>0</v>
      </c>
      <c r="K47" s="98">
        <v>0</v>
      </c>
      <c r="L47" s="96" t="s">
        <v>535</v>
      </c>
      <c r="M47" s="98">
        <v>0</v>
      </c>
      <c r="N47" s="96">
        <v>0</v>
      </c>
      <c r="O47" s="98">
        <v>0</v>
      </c>
      <c r="P47" s="98">
        <v>0</v>
      </c>
      <c r="Q47" s="98">
        <v>0</v>
      </c>
      <c r="R47" s="98">
        <f t="shared" si="8"/>
        <v>0</v>
      </c>
      <c r="S47" s="98">
        <v>0</v>
      </c>
      <c r="T47" s="98">
        <v>0</v>
      </c>
      <c r="U47" s="98">
        <v>0</v>
      </c>
      <c r="V47" s="98">
        <v>0</v>
      </c>
      <c r="W47" s="98">
        <v>0</v>
      </c>
      <c r="X47" s="98">
        <v>0</v>
      </c>
      <c r="Y47" s="98">
        <v>0</v>
      </c>
      <c r="Z47" s="98">
        <v>0</v>
      </c>
      <c r="AA47" s="98">
        <v>0</v>
      </c>
      <c r="AB47" s="96" t="s">
        <v>535</v>
      </c>
      <c r="AC47" s="96">
        <f t="shared" si="6"/>
        <v>0</v>
      </c>
    </row>
    <row r="48" spans="1:29" ht="31.5" x14ac:dyDescent="0.25">
      <c r="A48" s="41" t="s">
        <v>140</v>
      </c>
      <c r="B48" s="25" t="s">
        <v>139</v>
      </c>
      <c r="C48" s="96" t="s">
        <v>535</v>
      </c>
      <c r="D48" s="96">
        <v>0</v>
      </c>
      <c r="E48" s="96">
        <f t="shared" si="4"/>
        <v>0</v>
      </c>
      <c r="F48" s="98">
        <f t="shared" si="5"/>
        <v>0</v>
      </c>
      <c r="G48" s="98">
        <v>0</v>
      </c>
      <c r="H48" s="96" t="s">
        <v>535</v>
      </c>
      <c r="I48" s="98">
        <v>0</v>
      </c>
      <c r="J48" s="98">
        <v>0</v>
      </c>
      <c r="K48" s="98">
        <v>0</v>
      </c>
      <c r="L48" s="96" t="s">
        <v>535</v>
      </c>
      <c r="M48" s="98">
        <v>0</v>
      </c>
      <c r="N48" s="96">
        <v>0</v>
      </c>
      <c r="O48" s="98">
        <v>0</v>
      </c>
      <c r="P48" s="98">
        <v>0</v>
      </c>
      <c r="Q48" s="98">
        <v>0</v>
      </c>
      <c r="R48" s="98">
        <f t="shared" si="8"/>
        <v>0</v>
      </c>
      <c r="S48" s="98">
        <v>0</v>
      </c>
      <c r="T48" s="98">
        <v>0</v>
      </c>
      <c r="U48" s="98">
        <v>0</v>
      </c>
      <c r="V48" s="98">
        <v>0</v>
      </c>
      <c r="W48" s="98">
        <v>0</v>
      </c>
      <c r="X48" s="98">
        <v>0</v>
      </c>
      <c r="Y48" s="98">
        <v>0</v>
      </c>
      <c r="Z48" s="98">
        <v>0</v>
      </c>
      <c r="AA48" s="98">
        <v>0</v>
      </c>
      <c r="AB48" s="96" t="s">
        <v>535</v>
      </c>
      <c r="AC48" s="96">
        <f t="shared" si="6"/>
        <v>0</v>
      </c>
    </row>
    <row r="49" spans="1:29" x14ac:dyDescent="0.25">
      <c r="A49" s="41" t="s">
        <v>138</v>
      </c>
      <c r="B49" s="25" t="s">
        <v>137</v>
      </c>
      <c r="C49" s="96" t="s">
        <v>535</v>
      </c>
      <c r="D49" s="96">
        <f>D41</f>
        <v>2.82</v>
      </c>
      <c r="E49" s="96">
        <f t="shared" si="4"/>
        <v>2.82</v>
      </c>
      <c r="F49" s="98">
        <f t="shared" si="5"/>
        <v>0</v>
      </c>
      <c r="G49" s="98">
        <v>0</v>
      </c>
      <c r="H49" s="96" t="s">
        <v>535</v>
      </c>
      <c r="I49" s="98">
        <v>0</v>
      </c>
      <c r="J49" s="98">
        <v>0</v>
      </c>
      <c r="K49" s="98">
        <v>0</v>
      </c>
      <c r="L49" s="96" t="s">
        <v>535</v>
      </c>
      <c r="M49" s="98">
        <v>0</v>
      </c>
      <c r="N49" s="96">
        <v>0</v>
      </c>
      <c r="O49" s="98">
        <v>0</v>
      </c>
      <c r="P49" s="98">
        <v>0</v>
      </c>
      <c r="Q49" s="98">
        <v>0</v>
      </c>
      <c r="R49" s="98">
        <f t="shared" si="8"/>
        <v>2.82</v>
      </c>
      <c r="S49" s="98">
        <v>0</v>
      </c>
      <c r="T49" s="98">
        <v>0</v>
      </c>
      <c r="U49" s="98">
        <v>0</v>
      </c>
      <c r="V49" s="98">
        <v>0</v>
      </c>
      <c r="W49" s="98">
        <v>0</v>
      </c>
      <c r="X49" s="98">
        <v>0</v>
      </c>
      <c r="Y49" s="98">
        <v>0</v>
      </c>
      <c r="Z49" s="98">
        <v>0</v>
      </c>
      <c r="AA49" s="98">
        <v>0</v>
      </c>
      <c r="AB49" s="96" t="s">
        <v>535</v>
      </c>
      <c r="AC49" s="96">
        <f t="shared" si="6"/>
        <v>2.82</v>
      </c>
    </row>
    <row r="50" spans="1:29" ht="18.75" x14ac:dyDescent="0.25">
      <c r="A50" s="41" t="s">
        <v>136</v>
      </c>
      <c r="B50" s="168" t="s">
        <v>541</v>
      </c>
      <c r="C50" s="96" t="s">
        <v>535</v>
      </c>
      <c r="D50" s="96">
        <v>0</v>
      </c>
      <c r="E50" s="96">
        <f t="shared" si="4"/>
        <v>0</v>
      </c>
      <c r="F50" s="98">
        <f t="shared" si="5"/>
        <v>0</v>
      </c>
      <c r="G50" s="98">
        <v>0</v>
      </c>
      <c r="H50" s="96" t="s">
        <v>535</v>
      </c>
      <c r="I50" s="98">
        <v>0</v>
      </c>
      <c r="J50" s="98">
        <v>0</v>
      </c>
      <c r="K50" s="98">
        <v>0</v>
      </c>
      <c r="L50" s="96" t="s">
        <v>535</v>
      </c>
      <c r="M50" s="98">
        <v>0</v>
      </c>
      <c r="N50" s="96">
        <v>0</v>
      </c>
      <c r="O50" s="98">
        <v>0</v>
      </c>
      <c r="P50" s="98">
        <v>0</v>
      </c>
      <c r="Q50" s="98">
        <v>0</v>
      </c>
      <c r="R50" s="98">
        <f t="shared" si="8"/>
        <v>0</v>
      </c>
      <c r="S50" s="98">
        <v>0</v>
      </c>
      <c r="T50" s="98">
        <v>0</v>
      </c>
      <c r="U50" s="98">
        <v>0</v>
      </c>
      <c r="V50" s="98">
        <v>0</v>
      </c>
      <c r="W50" s="98">
        <v>0</v>
      </c>
      <c r="X50" s="98">
        <v>0</v>
      </c>
      <c r="Y50" s="98">
        <v>0</v>
      </c>
      <c r="Z50" s="98">
        <v>0</v>
      </c>
      <c r="AA50" s="98">
        <v>0</v>
      </c>
      <c r="AB50" s="96" t="s">
        <v>535</v>
      </c>
      <c r="AC50" s="96">
        <f t="shared" si="6"/>
        <v>0</v>
      </c>
    </row>
    <row r="51" spans="1:29" s="338" customFormat="1" ht="35.25" customHeight="1" x14ac:dyDescent="0.25">
      <c r="A51" s="44" t="s">
        <v>57</v>
      </c>
      <c r="B51" s="43" t="s">
        <v>135</v>
      </c>
      <c r="C51" s="96" t="s">
        <v>535</v>
      </c>
      <c r="D51" s="96">
        <v>0</v>
      </c>
      <c r="E51" s="96">
        <f t="shared" si="4"/>
        <v>0</v>
      </c>
      <c r="F51" s="98">
        <f t="shared" si="5"/>
        <v>0</v>
      </c>
      <c r="G51" s="98">
        <v>0</v>
      </c>
      <c r="H51" s="96" t="s">
        <v>535</v>
      </c>
      <c r="I51" s="96">
        <v>0</v>
      </c>
      <c r="J51" s="98">
        <v>0</v>
      </c>
      <c r="K51" s="96">
        <v>0</v>
      </c>
      <c r="L51" s="96" t="s">
        <v>535</v>
      </c>
      <c r="M51" s="96">
        <v>0</v>
      </c>
      <c r="N51" s="96">
        <v>0</v>
      </c>
      <c r="O51" s="96">
        <v>0</v>
      </c>
      <c r="P51" s="98">
        <v>0</v>
      </c>
      <c r="Q51" s="96">
        <v>0</v>
      </c>
      <c r="R51" s="98">
        <f t="shared" si="8"/>
        <v>0</v>
      </c>
      <c r="S51" s="96">
        <v>0</v>
      </c>
      <c r="T51" s="98">
        <v>0</v>
      </c>
      <c r="U51" s="96">
        <v>0</v>
      </c>
      <c r="V51" s="96">
        <v>0</v>
      </c>
      <c r="W51" s="96">
        <v>0</v>
      </c>
      <c r="X51" s="98">
        <v>0</v>
      </c>
      <c r="Y51" s="96">
        <v>0</v>
      </c>
      <c r="Z51" s="96">
        <v>0</v>
      </c>
      <c r="AA51" s="96">
        <v>0</v>
      </c>
      <c r="AB51" s="96" t="s">
        <v>535</v>
      </c>
      <c r="AC51" s="96">
        <f t="shared" si="6"/>
        <v>0</v>
      </c>
    </row>
    <row r="52" spans="1:29" x14ac:dyDescent="0.25">
      <c r="A52" s="41" t="s">
        <v>134</v>
      </c>
      <c r="B52" s="25" t="s">
        <v>133</v>
      </c>
      <c r="C52" s="96" t="s">
        <v>535</v>
      </c>
      <c r="D52" s="96">
        <f>D30</f>
        <v>24.194282999999999</v>
      </c>
      <c r="E52" s="96">
        <f t="shared" si="4"/>
        <v>24.194282999999999</v>
      </c>
      <c r="F52" s="98">
        <f t="shared" si="5"/>
        <v>0</v>
      </c>
      <c r="G52" s="98">
        <v>0</v>
      </c>
      <c r="H52" s="96" t="s">
        <v>535</v>
      </c>
      <c r="I52" s="98">
        <v>0</v>
      </c>
      <c r="J52" s="98">
        <v>0</v>
      </c>
      <c r="K52" s="98">
        <v>0</v>
      </c>
      <c r="L52" s="96" t="s">
        <v>535</v>
      </c>
      <c r="M52" s="98">
        <v>0</v>
      </c>
      <c r="N52" s="96">
        <v>0</v>
      </c>
      <c r="O52" s="98">
        <v>0</v>
      </c>
      <c r="P52" s="98">
        <v>0</v>
      </c>
      <c r="Q52" s="98">
        <v>0</v>
      </c>
      <c r="R52" s="98">
        <f t="shared" si="8"/>
        <v>24.194282999999999</v>
      </c>
      <c r="S52" s="98">
        <v>0</v>
      </c>
      <c r="T52" s="98">
        <v>0</v>
      </c>
      <c r="U52" s="98">
        <v>0</v>
      </c>
      <c r="V52" s="98">
        <v>0</v>
      </c>
      <c r="W52" s="98">
        <v>0</v>
      </c>
      <c r="X52" s="98">
        <v>0</v>
      </c>
      <c r="Y52" s="98">
        <v>0</v>
      </c>
      <c r="Z52" s="98">
        <v>0</v>
      </c>
      <c r="AA52" s="98">
        <v>0</v>
      </c>
      <c r="AB52" s="96" t="s">
        <v>535</v>
      </c>
      <c r="AC52" s="96">
        <f t="shared" si="6"/>
        <v>24.194282999999999</v>
      </c>
    </row>
    <row r="53" spans="1:29" x14ac:dyDescent="0.25">
      <c r="A53" s="41" t="s">
        <v>132</v>
      </c>
      <c r="B53" s="25" t="s">
        <v>126</v>
      </c>
      <c r="C53" s="96" t="s">
        <v>535</v>
      </c>
      <c r="D53" s="96">
        <v>0</v>
      </c>
      <c r="E53" s="96">
        <f t="shared" si="4"/>
        <v>0</v>
      </c>
      <c r="F53" s="98">
        <f t="shared" si="5"/>
        <v>0</v>
      </c>
      <c r="G53" s="98">
        <v>0</v>
      </c>
      <c r="H53" s="96" t="s">
        <v>535</v>
      </c>
      <c r="I53" s="98">
        <v>0</v>
      </c>
      <c r="J53" s="98">
        <v>0</v>
      </c>
      <c r="K53" s="98">
        <v>0</v>
      </c>
      <c r="L53" s="96" t="s">
        <v>535</v>
      </c>
      <c r="M53" s="98">
        <v>0</v>
      </c>
      <c r="N53" s="96">
        <v>0</v>
      </c>
      <c r="O53" s="98">
        <v>0</v>
      </c>
      <c r="P53" s="98">
        <v>0</v>
      </c>
      <c r="Q53" s="98">
        <v>0</v>
      </c>
      <c r="R53" s="98">
        <f t="shared" si="8"/>
        <v>0</v>
      </c>
      <c r="S53" s="98">
        <v>0</v>
      </c>
      <c r="T53" s="98">
        <v>0</v>
      </c>
      <c r="U53" s="98">
        <v>0</v>
      </c>
      <c r="V53" s="98">
        <v>0</v>
      </c>
      <c r="W53" s="98">
        <v>0</v>
      </c>
      <c r="X53" s="98">
        <v>0</v>
      </c>
      <c r="Y53" s="98">
        <v>0</v>
      </c>
      <c r="Z53" s="98">
        <v>0</v>
      </c>
      <c r="AA53" s="98">
        <v>0</v>
      </c>
      <c r="AB53" s="96" t="s">
        <v>535</v>
      </c>
      <c r="AC53" s="96">
        <f t="shared" si="6"/>
        <v>0</v>
      </c>
    </row>
    <row r="54" spans="1:29" x14ac:dyDescent="0.25">
      <c r="A54" s="41" t="s">
        <v>131</v>
      </c>
      <c r="B54" s="168" t="s">
        <v>125</v>
      </c>
      <c r="C54" s="96" t="s">
        <v>535</v>
      </c>
      <c r="D54" s="96">
        <f>D37</f>
        <v>0.8</v>
      </c>
      <c r="E54" s="96">
        <f t="shared" si="4"/>
        <v>0.8</v>
      </c>
      <c r="F54" s="98">
        <f t="shared" si="5"/>
        <v>0</v>
      </c>
      <c r="G54" s="98">
        <v>0</v>
      </c>
      <c r="H54" s="96" t="s">
        <v>535</v>
      </c>
      <c r="I54" s="98">
        <v>0</v>
      </c>
      <c r="J54" s="98">
        <v>0</v>
      </c>
      <c r="K54" s="98">
        <v>0</v>
      </c>
      <c r="L54" s="96" t="s">
        <v>535</v>
      </c>
      <c r="M54" s="98">
        <v>0</v>
      </c>
      <c r="N54" s="96">
        <v>0</v>
      </c>
      <c r="O54" s="98">
        <v>0</v>
      </c>
      <c r="P54" s="98">
        <v>0</v>
      </c>
      <c r="Q54" s="98">
        <v>0</v>
      </c>
      <c r="R54" s="98">
        <f t="shared" si="8"/>
        <v>0.8</v>
      </c>
      <c r="S54" s="98">
        <v>0</v>
      </c>
      <c r="T54" s="98">
        <v>0</v>
      </c>
      <c r="U54" s="98">
        <v>0</v>
      </c>
      <c r="V54" s="98">
        <v>0</v>
      </c>
      <c r="W54" s="98">
        <v>0</v>
      </c>
      <c r="X54" s="98">
        <v>0</v>
      </c>
      <c r="Y54" s="98">
        <v>0</v>
      </c>
      <c r="Z54" s="98">
        <v>0</v>
      </c>
      <c r="AA54" s="98">
        <v>0</v>
      </c>
      <c r="AB54" s="96" t="s">
        <v>535</v>
      </c>
      <c r="AC54" s="96">
        <f t="shared" si="6"/>
        <v>0.8</v>
      </c>
    </row>
    <row r="55" spans="1:29" x14ac:dyDescent="0.25">
      <c r="A55" s="41" t="s">
        <v>130</v>
      </c>
      <c r="B55" s="168" t="s">
        <v>124</v>
      </c>
      <c r="C55" s="96" t="s">
        <v>535</v>
      </c>
      <c r="D55" s="96">
        <v>0</v>
      </c>
      <c r="E55" s="96">
        <f t="shared" si="4"/>
        <v>0</v>
      </c>
      <c r="F55" s="98">
        <f t="shared" si="5"/>
        <v>0</v>
      </c>
      <c r="G55" s="98">
        <v>0</v>
      </c>
      <c r="H55" s="96" t="s">
        <v>535</v>
      </c>
      <c r="I55" s="98">
        <v>0</v>
      </c>
      <c r="J55" s="98">
        <v>0</v>
      </c>
      <c r="K55" s="98">
        <v>0</v>
      </c>
      <c r="L55" s="96" t="s">
        <v>535</v>
      </c>
      <c r="M55" s="98">
        <v>0</v>
      </c>
      <c r="N55" s="96">
        <v>0</v>
      </c>
      <c r="O55" s="98">
        <v>0</v>
      </c>
      <c r="P55" s="98">
        <v>0</v>
      </c>
      <c r="Q55" s="98">
        <v>0</v>
      </c>
      <c r="R55" s="98">
        <f t="shared" si="8"/>
        <v>0</v>
      </c>
      <c r="S55" s="98">
        <v>0</v>
      </c>
      <c r="T55" s="98">
        <v>0</v>
      </c>
      <c r="U55" s="98">
        <v>0</v>
      </c>
      <c r="V55" s="98">
        <v>0</v>
      </c>
      <c r="W55" s="98">
        <v>0</v>
      </c>
      <c r="X55" s="98">
        <v>0</v>
      </c>
      <c r="Y55" s="98">
        <v>0</v>
      </c>
      <c r="Z55" s="98">
        <v>0</v>
      </c>
      <c r="AA55" s="98">
        <v>0</v>
      </c>
      <c r="AB55" s="96" t="s">
        <v>535</v>
      </c>
      <c r="AC55" s="96">
        <f t="shared" si="6"/>
        <v>0</v>
      </c>
    </row>
    <row r="56" spans="1:29" x14ac:dyDescent="0.25">
      <c r="A56" s="41" t="s">
        <v>129</v>
      </c>
      <c r="B56" s="168" t="s">
        <v>123</v>
      </c>
      <c r="C56" s="96" t="s">
        <v>535</v>
      </c>
      <c r="D56" s="96">
        <f>D41</f>
        <v>2.82</v>
      </c>
      <c r="E56" s="96">
        <f t="shared" si="4"/>
        <v>2.82</v>
      </c>
      <c r="F56" s="98">
        <f t="shared" si="5"/>
        <v>0</v>
      </c>
      <c r="G56" s="98">
        <v>0</v>
      </c>
      <c r="H56" s="96" t="s">
        <v>535</v>
      </c>
      <c r="I56" s="98">
        <v>0</v>
      </c>
      <c r="J56" s="98">
        <v>0</v>
      </c>
      <c r="K56" s="98">
        <v>0</v>
      </c>
      <c r="L56" s="96" t="s">
        <v>535</v>
      </c>
      <c r="M56" s="98">
        <v>0</v>
      </c>
      <c r="N56" s="96">
        <v>0</v>
      </c>
      <c r="O56" s="98">
        <v>0</v>
      </c>
      <c r="P56" s="98">
        <v>0</v>
      </c>
      <c r="Q56" s="98">
        <v>0</v>
      </c>
      <c r="R56" s="98">
        <f t="shared" si="8"/>
        <v>2.82</v>
      </c>
      <c r="S56" s="98">
        <v>0</v>
      </c>
      <c r="T56" s="98">
        <v>0</v>
      </c>
      <c r="U56" s="98">
        <v>0</v>
      </c>
      <c r="V56" s="98">
        <v>0</v>
      </c>
      <c r="W56" s="98">
        <v>0</v>
      </c>
      <c r="X56" s="98">
        <v>0</v>
      </c>
      <c r="Y56" s="98">
        <v>0</v>
      </c>
      <c r="Z56" s="98">
        <v>0</v>
      </c>
      <c r="AA56" s="98">
        <v>0</v>
      </c>
      <c r="AB56" s="96" t="s">
        <v>535</v>
      </c>
      <c r="AC56" s="96">
        <f t="shared" si="6"/>
        <v>2.82</v>
      </c>
    </row>
    <row r="57" spans="1:29" ht="18.75" x14ac:dyDescent="0.25">
      <c r="A57" s="41" t="s">
        <v>128</v>
      </c>
      <c r="B57" s="168" t="s">
        <v>541</v>
      </c>
      <c r="C57" s="96" t="s">
        <v>535</v>
      </c>
      <c r="D57" s="96">
        <v>0</v>
      </c>
      <c r="E57" s="96">
        <f t="shared" si="4"/>
        <v>0</v>
      </c>
      <c r="F57" s="98">
        <f t="shared" si="5"/>
        <v>0</v>
      </c>
      <c r="G57" s="98">
        <v>0</v>
      </c>
      <c r="H57" s="96" t="s">
        <v>535</v>
      </c>
      <c r="I57" s="98">
        <v>0</v>
      </c>
      <c r="J57" s="98">
        <v>0</v>
      </c>
      <c r="K57" s="98">
        <v>0</v>
      </c>
      <c r="L57" s="96" t="s">
        <v>535</v>
      </c>
      <c r="M57" s="98">
        <v>0</v>
      </c>
      <c r="N57" s="96">
        <v>0</v>
      </c>
      <c r="O57" s="98">
        <v>0</v>
      </c>
      <c r="P57" s="98">
        <v>0</v>
      </c>
      <c r="Q57" s="98">
        <v>0</v>
      </c>
      <c r="R57" s="98">
        <f t="shared" si="8"/>
        <v>0</v>
      </c>
      <c r="S57" s="98">
        <v>0</v>
      </c>
      <c r="T57" s="98">
        <v>0</v>
      </c>
      <c r="U57" s="98">
        <v>0</v>
      </c>
      <c r="V57" s="98">
        <v>0</v>
      </c>
      <c r="W57" s="98">
        <v>0</v>
      </c>
      <c r="X57" s="98">
        <v>0</v>
      </c>
      <c r="Y57" s="98">
        <v>0</v>
      </c>
      <c r="Z57" s="98">
        <v>0</v>
      </c>
      <c r="AA57" s="98">
        <v>0</v>
      </c>
      <c r="AB57" s="96" t="s">
        <v>535</v>
      </c>
      <c r="AC57" s="96">
        <f t="shared" si="6"/>
        <v>0</v>
      </c>
    </row>
    <row r="58" spans="1:29" s="338" customFormat="1" ht="36.75" customHeight="1" x14ac:dyDescent="0.25">
      <c r="A58" s="44" t="s">
        <v>56</v>
      </c>
      <c r="B58" s="169" t="s">
        <v>207</v>
      </c>
      <c r="C58" s="96" t="s">
        <v>535</v>
      </c>
      <c r="D58" s="96">
        <f>D30</f>
        <v>24.194282999999999</v>
      </c>
      <c r="E58" s="96">
        <f t="shared" si="4"/>
        <v>24.194282999999999</v>
      </c>
      <c r="F58" s="98">
        <f t="shared" si="5"/>
        <v>0</v>
      </c>
      <c r="G58" s="98">
        <v>0</v>
      </c>
      <c r="H58" s="96" t="s">
        <v>535</v>
      </c>
      <c r="I58" s="96">
        <v>0</v>
      </c>
      <c r="J58" s="98">
        <v>0</v>
      </c>
      <c r="K58" s="96">
        <v>0</v>
      </c>
      <c r="L58" s="96" t="s">
        <v>535</v>
      </c>
      <c r="M58" s="96">
        <v>0</v>
      </c>
      <c r="N58" s="96">
        <v>0</v>
      </c>
      <c r="O58" s="96">
        <v>0</v>
      </c>
      <c r="P58" s="98">
        <v>0</v>
      </c>
      <c r="Q58" s="96">
        <v>0</v>
      </c>
      <c r="R58" s="98">
        <f t="shared" si="8"/>
        <v>24.194282999999999</v>
      </c>
      <c r="S58" s="96">
        <v>0</v>
      </c>
      <c r="T58" s="98">
        <v>0</v>
      </c>
      <c r="U58" s="96">
        <v>0</v>
      </c>
      <c r="V58" s="96">
        <v>0</v>
      </c>
      <c r="W58" s="96">
        <v>0</v>
      </c>
      <c r="X58" s="98">
        <v>0</v>
      </c>
      <c r="Y58" s="96">
        <v>0</v>
      </c>
      <c r="Z58" s="96">
        <v>0</v>
      </c>
      <c r="AA58" s="96">
        <v>0</v>
      </c>
      <c r="AB58" s="96" t="s">
        <v>535</v>
      </c>
      <c r="AC58" s="96">
        <f>SUM(J58,N58,R58,V58,Z58)</f>
        <v>24.194282999999999</v>
      </c>
    </row>
    <row r="59" spans="1:29" s="338" customFormat="1" x14ac:dyDescent="0.25">
      <c r="A59" s="44" t="s">
        <v>54</v>
      </c>
      <c r="B59" s="43" t="s">
        <v>127</v>
      </c>
      <c r="C59" s="96" t="s">
        <v>535</v>
      </c>
      <c r="D59" s="96">
        <v>0</v>
      </c>
      <c r="E59" s="96">
        <f t="shared" si="4"/>
        <v>0</v>
      </c>
      <c r="F59" s="98">
        <f t="shared" si="5"/>
        <v>0</v>
      </c>
      <c r="G59" s="98">
        <v>0</v>
      </c>
      <c r="H59" s="96" t="s">
        <v>535</v>
      </c>
      <c r="I59" s="96">
        <v>0</v>
      </c>
      <c r="J59" s="98">
        <v>0</v>
      </c>
      <c r="K59" s="96">
        <v>0</v>
      </c>
      <c r="L59" s="96" t="s">
        <v>535</v>
      </c>
      <c r="M59" s="96">
        <v>0</v>
      </c>
      <c r="N59" s="96">
        <v>0</v>
      </c>
      <c r="O59" s="96">
        <v>0</v>
      </c>
      <c r="P59" s="98">
        <v>0</v>
      </c>
      <c r="Q59" s="96">
        <v>0</v>
      </c>
      <c r="R59" s="98">
        <f t="shared" si="8"/>
        <v>0</v>
      </c>
      <c r="S59" s="96">
        <v>0</v>
      </c>
      <c r="T59" s="98">
        <v>0</v>
      </c>
      <c r="U59" s="96">
        <v>0</v>
      </c>
      <c r="V59" s="96">
        <v>0</v>
      </c>
      <c r="W59" s="96">
        <v>0</v>
      </c>
      <c r="X59" s="98">
        <v>0</v>
      </c>
      <c r="Y59" s="96">
        <v>0</v>
      </c>
      <c r="Z59" s="96">
        <v>0</v>
      </c>
      <c r="AA59" s="96">
        <v>0</v>
      </c>
      <c r="AB59" s="96" t="s">
        <v>535</v>
      </c>
      <c r="AC59" s="96">
        <f t="shared" si="6"/>
        <v>0</v>
      </c>
    </row>
    <row r="60" spans="1:29" x14ac:dyDescent="0.25">
      <c r="A60" s="41" t="s">
        <v>201</v>
      </c>
      <c r="B60" s="170" t="s">
        <v>147</v>
      </c>
      <c r="C60" s="96" t="s">
        <v>535</v>
      </c>
      <c r="D60" s="96">
        <v>0</v>
      </c>
      <c r="E60" s="96">
        <f t="shared" si="4"/>
        <v>0</v>
      </c>
      <c r="F60" s="98">
        <f t="shared" si="5"/>
        <v>0</v>
      </c>
      <c r="G60" s="98">
        <v>0</v>
      </c>
      <c r="H60" s="96" t="s">
        <v>535</v>
      </c>
      <c r="I60" s="98">
        <v>0</v>
      </c>
      <c r="J60" s="98">
        <v>0</v>
      </c>
      <c r="K60" s="98">
        <v>0</v>
      </c>
      <c r="L60" s="96" t="s">
        <v>535</v>
      </c>
      <c r="M60" s="98">
        <v>0</v>
      </c>
      <c r="N60" s="96">
        <v>0</v>
      </c>
      <c r="O60" s="98">
        <v>0</v>
      </c>
      <c r="P60" s="98">
        <v>0</v>
      </c>
      <c r="Q60" s="98">
        <v>0</v>
      </c>
      <c r="R60" s="98">
        <f t="shared" si="8"/>
        <v>0</v>
      </c>
      <c r="S60" s="98">
        <v>0</v>
      </c>
      <c r="T60" s="98">
        <v>0</v>
      </c>
      <c r="U60" s="98">
        <v>0</v>
      </c>
      <c r="V60" s="98">
        <v>0</v>
      </c>
      <c r="W60" s="98">
        <v>0</v>
      </c>
      <c r="X60" s="98">
        <v>0</v>
      </c>
      <c r="Y60" s="98">
        <v>0</v>
      </c>
      <c r="Z60" s="98">
        <v>0</v>
      </c>
      <c r="AA60" s="98">
        <v>0</v>
      </c>
      <c r="AB60" s="96" t="s">
        <v>535</v>
      </c>
      <c r="AC60" s="96">
        <f t="shared" si="6"/>
        <v>0</v>
      </c>
    </row>
    <row r="61" spans="1:29" x14ac:dyDescent="0.25">
      <c r="A61" s="41" t="s">
        <v>202</v>
      </c>
      <c r="B61" s="170" t="s">
        <v>145</v>
      </c>
      <c r="C61" s="96" t="s">
        <v>535</v>
      </c>
      <c r="D61" s="96">
        <v>0</v>
      </c>
      <c r="E61" s="96">
        <f t="shared" si="4"/>
        <v>0</v>
      </c>
      <c r="F61" s="98">
        <f t="shared" si="5"/>
        <v>0</v>
      </c>
      <c r="G61" s="98">
        <v>0</v>
      </c>
      <c r="H61" s="96" t="s">
        <v>535</v>
      </c>
      <c r="I61" s="98">
        <v>0</v>
      </c>
      <c r="J61" s="98">
        <v>0</v>
      </c>
      <c r="K61" s="98">
        <v>0</v>
      </c>
      <c r="L61" s="96" t="s">
        <v>535</v>
      </c>
      <c r="M61" s="98">
        <v>0</v>
      </c>
      <c r="N61" s="96">
        <v>0</v>
      </c>
      <c r="O61" s="98">
        <v>0</v>
      </c>
      <c r="P61" s="98">
        <v>0</v>
      </c>
      <c r="Q61" s="98">
        <v>0</v>
      </c>
      <c r="R61" s="98">
        <f t="shared" si="8"/>
        <v>0</v>
      </c>
      <c r="S61" s="98">
        <v>0</v>
      </c>
      <c r="T61" s="98">
        <v>0</v>
      </c>
      <c r="U61" s="98">
        <v>0</v>
      </c>
      <c r="V61" s="98">
        <v>0</v>
      </c>
      <c r="W61" s="98">
        <v>0</v>
      </c>
      <c r="X61" s="98">
        <v>0</v>
      </c>
      <c r="Y61" s="98">
        <v>0</v>
      </c>
      <c r="Z61" s="98">
        <v>0</v>
      </c>
      <c r="AA61" s="98">
        <v>0</v>
      </c>
      <c r="AB61" s="96" t="s">
        <v>535</v>
      </c>
      <c r="AC61" s="96">
        <f t="shared" si="6"/>
        <v>0</v>
      </c>
    </row>
    <row r="62" spans="1:29" x14ac:dyDescent="0.25">
      <c r="A62" s="41" t="s">
        <v>203</v>
      </c>
      <c r="B62" s="170" t="s">
        <v>143</v>
      </c>
      <c r="C62" s="96" t="s">
        <v>535</v>
      </c>
      <c r="D62" s="96">
        <v>0</v>
      </c>
      <c r="E62" s="96">
        <f t="shared" si="4"/>
        <v>0</v>
      </c>
      <c r="F62" s="98">
        <f t="shared" si="5"/>
        <v>0</v>
      </c>
      <c r="G62" s="98">
        <v>0</v>
      </c>
      <c r="H62" s="96" t="s">
        <v>535</v>
      </c>
      <c r="I62" s="98">
        <v>0</v>
      </c>
      <c r="J62" s="98">
        <v>0</v>
      </c>
      <c r="K62" s="98">
        <v>0</v>
      </c>
      <c r="L62" s="96" t="s">
        <v>535</v>
      </c>
      <c r="M62" s="98">
        <v>0</v>
      </c>
      <c r="N62" s="96">
        <v>0</v>
      </c>
      <c r="O62" s="98">
        <v>0</v>
      </c>
      <c r="P62" s="98">
        <v>0</v>
      </c>
      <c r="Q62" s="98">
        <v>0</v>
      </c>
      <c r="R62" s="98">
        <f t="shared" si="8"/>
        <v>0</v>
      </c>
      <c r="S62" s="98">
        <v>0</v>
      </c>
      <c r="T62" s="98">
        <v>0</v>
      </c>
      <c r="U62" s="98">
        <v>0</v>
      </c>
      <c r="V62" s="98">
        <v>0</v>
      </c>
      <c r="W62" s="98">
        <v>0</v>
      </c>
      <c r="X62" s="98">
        <v>0</v>
      </c>
      <c r="Y62" s="98">
        <v>0</v>
      </c>
      <c r="Z62" s="98">
        <v>0</v>
      </c>
      <c r="AA62" s="98">
        <v>0</v>
      </c>
      <c r="AB62" s="96" t="s">
        <v>535</v>
      </c>
      <c r="AC62" s="96">
        <f t="shared" si="6"/>
        <v>0</v>
      </c>
    </row>
    <row r="63" spans="1:29" x14ac:dyDescent="0.25">
      <c r="A63" s="41" t="s">
        <v>204</v>
      </c>
      <c r="B63" s="170" t="s">
        <v>206</v>
      </c>
      <c r="C63" s="96" t="s">
        <v>535</v>
      </c>
      <c r="D63" s="96">
        <v>0</v>
      </c>
      <c r="E63" s="96">
        <f t="shared" si="4"/>
        <v>0</v>
      </c>
      <c r="F63" s="98">
        <f t="shared" si="5"/>
        <v>0</v>
      </c>
      <c r="G63" s="98">
        <v>0</v>
      </c>
      <c r="H63" s="96" t="s">
        <v>535</v>
      </c>
      <c r="I63" s="98">
        <v>0</v>
      </c>
      <c r="J63" s="98">
        <v>0</v>
      </c>
      <c r="K63" s="98">
        <v>0</v>
      </c>
      <c r="L63" s="96" t="s">
        <v>535</v>
      </c>
      <c r="M63" s="98">
        <v>0</v>
      </c>
      <c r="N63" s="96">
        <v>0</v>
      </c>
      <c r="O63" s="98">
        <v>0</v>
      </c>
      <c r="P63" s="98">
        <v>0</v>
      </c>
      <c r="Q63" s="98">
        <v>0</v>
      </c>
      <c r="R63" s="98">
        <f t="shared" si="8"/>
        <v>0</v>
      </c>
      <c r="S63" s="98">
        <v>0</v>
      </c>
      <c r="T63" s="98">
        <v>0</v>
      </c>
      <c r="U63" s="98">
        <v>0</v>
      </c>
      <c r="V63" s="98">
        <v>0</v>
      </c>
      <c r="W63" s="98">
        <v>0</v>
      </c>
      <c r="X63" s="98">
        <v>0</v>
      </c>
      <c r="Y63" s="98">
        <v>0</v>
      </c>
      <c r="Z63" s="98">
        <v>0</v>
      </c>
      <c r="AA63" s="98">
        <v>0</v>
      </c>
      <c r="AB63" s="96" t="s">
        <v>535</v>
      </c>
      <c r="AC63" s="96">
        <f t="shared" si="6"/>
        <v>0</v>
      </c>
    </row>
    <row r="64" spans="1:29" ht="18.75" x14ac:dyDescent="0.25">
      <c r="A64" s="41" t="s">
        <v>205</v>
      </c>
      <c r="B64" s="168" t="s">
        <v>541</v>
      </c>
      <c r="C64" s="96" t="s">
        <v>535</v>
      </c>
      <c r="D64" s="96">
        <v>0</v>
      </c>
      <c r="E64" s="96">
        <f t="shared" si="4"/>
        <v>0</v>
      </c>
      <c r="F64" s="98">
        <f t="shared" si="5"/>
        <v>0</v>
      </c>
      <c r="G64" s="98">
        <v>0</v>
      </c>
      <c r="H64" s="96" t="s">
        <v>535</v>
      </c>
      <c r="I64" s="98">
        <v>0</v>
      </c>
      <c r="J64" s="98">
        <v>0</v>
      </c>
      <c r="K64" s="98">
        <v>0</v>
      </c>
      <c r="L64" s="96" t="s">
        <v>535</v>
      </c>
      <c r="M64" s="98">
        <v>0</v>
      </c>
      <c r="N64" s="96">
        <v>0</v>
      </c>
      <c r="O64" s="98">
        <v>0</v>
      </c>
      <c r="P64" s="98">
        <v>0</v>
      </c>
      <c r="Q64" s="98">
        <v>0</v>
      </c>
      <c r="R64" s="98">
        <f t="shared" si="8"/>
        <v>0</v>
      </c>
      <c r="S64" s="98">
        <v>0</v>
      </c>
      <c r="T64" s="98">
        <v>0</v>
      </c>
      <c r="U64" s="98">
        <v>0</v>
      </c>
      <c r="V64" s="98">
        <v>0</v>
      </c>
      <c r="W64" s="98">
        <v>0</v>
      </c>
      <c r="X64" s="98">
        <v>0</v>
      </c>
      <c r="Y64" s="98">
        <v>0</v>
      </c>
      <c r="Z64" s="98">
        <v>0</v>
      </c>
      <c r="AA64" s="98">
        <v>0</v>
      </c>
      <c r="AB64" s="96" t="s">
        <v>535</v>
      </c>
      <c r="AC64" s="96">
        <f t="shared" si="6"/>
        <v>0</v>
      </c>
    </row>
    <row r="65" spans="1:28" x14ac:dyDescent="0.25">
      <c r="A65" s="38"/>
      <c r="B65" s="33"/>
      <c r="C65" s="33"/>
      <c r="D65" s="33"/>
      <c r="E65" s="33"/>
      <c r="F65" s="33"/>
      <c r="G65" s="33"/>
    </row>
    <row r="66" spans="1:28" ht="54" customHeight="1" x14ac:dyDescent="0.25">
      <c r="B66" s="431"/>
      <c r="C66" s="431"/>
      <c r="D66" s="431"/>
      <c r="E66" s="431"/>
      <c r="F66" s="431"/>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35"/>
    </row>
    <row r="70" spans="1:28" ht="36.75" customHeight="1" x14ac:dyDescent="0.25">
      <c r="B70" s="431"/>
      <c r="C70" s="431"/>
      <c r="D70" s="431"/>
      <c r="E70" s="431"/>
      <c r="F70" s="431"/>
      <c r="G70" s="35"/>
    </row>
    <row r="72" spans="1:28" ht="51" customHeight="1" x14ac:dyDescent="0.25">
      <c r="B72" s="431"/>
      <c r="C72" s="431"/>
      <c r="D72" s="431"/>
      <c r="E72" s="431"/>
      <c r="F72" s="431"/>
      <c r="G72" s="35"/>
    </row>
    <row r="73" spans="1:28" ht="32.25" customHeight="1" x14ac:dyDescent="0.25">
      <c r="B73" s="431"/>
      <c r="C73" s="431"/>
      <c r="D73" s="431"/>
      <c r="E73" s="431"/>
      <c r="F73" s="431"/>
      <c r="G73" s="35"/>
    </row>
    <row r="74" spans="1:28" ht="51.75" customHeight="1" x14ac:dyDescent="0.25">
      <c r="B74" s="431"/>
      <c r="C74" s="431"/>
      <c r="D74" s="431"/>
      <c r="E74" s="431"/>
      <c r="F74" s="431"/>
      <c r="G74" s="35"/>
    </row>
    <row r="75" spans="1:28" ht="21.75" customHeight="1" x14ac:dyDescent="0.25">
      <c r="B75" s="429"/>
      <c r="C75" s="429"/>
      <c r="D75" s="429"/>
      <c r="E75" s="429"/>
      <c r="F75" s="429"/>
      <c r="G75" s="34"/>
    </row>
    <row r="76" spans="1:28" ht="23.25" customHeight="1" x14ac:dyDescent="0.25"/>
    <row r="77" spans="1:28" ht="18.75" customHeight="1" x14ac:dyDescent="0.25">
      <c r="B77" s="430"/>
      <c r="C77" s="430"/>
      <c r="D77" s="430"/>
      <c r="E77" s="430"/>
      <c r="F77" s="430"/>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I1"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2"/>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3" t="s">
        <v>6</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58" t="str">
        <f>'1. паспорт местоположение'!A12:C12</f>
        <v>L_21-08</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3" t="s">
        <v>5</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52" t="str">
        <f>'1. паспорт местоположение'!A15:C15</f>
        <v>Строительство сетей электроснабжения дошкольного учреждения в г. Калининграде , ул. Флагманская</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53" t="s">
        <v>4</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x14ac:dyDescent="0.25">
      <c r="A21" s="433" t="s">
        <v>406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50</v>
      </c>
      <c r="B22" s="440" t="s">
        <v>22</v>
      </c>
      <c r="C22" s="437" t="s">
        <v>49</v>
      </c>
      <c r="D22" s="437" t="s">
        <v>48</v>
      </c>
      <c r="E22" s="443" t="s">
        <v>416</v>
      </c>
      <c r="F22" s="444"/>
      <c r="G22" s="444"/>
      <c r="H22" s="444"/>
      <c r="I22" s="444"/>
      <c r="J22" s="444"/>
      <c r="K22" s="444"/>
      <c r="L22" s="445"/>
      <c r="M22" s="437" t="s">
        <v>47</v>
      </c>
      <c r="N22" s="437" t="s">
        <v>46</v>
      </c>
      <c r="O22" s="437" t="s">
        <v>45</v>
      </c>
      <c r="P22" s="446" t="s">
        <v>228</v>
      </c>
      <c r="Q22" s="446" t="s">
        <v>44</v>
      </c>
      <c r="R22" s="446" t="s">
        <v>43</v>
      </c>
      <c r="S22" s="446" t="s">
        <v>42</v>
      </c>
      <c r="T22" s="446"/>
      <c r="U22" s="447" t="s">
        <v>41</v>
      </c>
      <c r="V22" s="447" t="s">
        <v>40</v>
      </c>
      <c r="W22" s="446" t="s">
        <v>39</v>
      </c>
      <c r="X22" s="446" t="s">
        <v>38</v>
      </c>
      <c r="Y22" s="446" t="s">
        <v>37</v>
      </c>
      <c r="Z22" s="447"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48" t="s">
        <v>23</v>
      </c>
    </row>
    <row r="23" spans="1:48" ht="64.5" customHeight="1" x14ac:dyDescent="0.25">
      <c r="A23" s="435"/>
      <c r="B23" s="441"/>
      <c r="C23" s="438"/>
      <c r="D23" s="438"/>
      <c r="E23" s="450" t="s">
        <v>21</v>
      </c>
      <c r="F23" s="452" t="s">
        <v>126</v>
      </c>
      <c r="G23" s="452" t="s">
        <v>125</v>
      </c>
      <c r="H23" s="452" t="s">
        <v>124</v>
      </c>
      <c r="I23" s="456" t="s">
        <v>353</v>
      </c>
      <c r="J23" s="456" t="s">
        <v>354</v>
      </c>
      <c r="K23" s="456" t="s">
        <v>355</v>
      </c>
      <c r="L23" s="452" t="s">
        <v>74</v>
      </c>
      <c r="M23" s="438"/>
      <c r="N23" s="438"/>
      <c r="O23" s="438"/>
      <c r="P23" s="446"/>
      <c r="Q23" s="446"/>
      <c r="R23" s="446"/>
      <c r="S23" s="454" t="s">
        <v>2</v>
      </c>
      <c r="T23" s="454"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37" t="s">
        <v>9</v>
      </c>
      <c r="AR23" s="446"/>
      <c r="AS23" s="446"/>
      <c r="AT23" s="446"/>
      <c r="AU23" s="446"/>
      <c r="AV23" s="449"/>
    </row>
    <row r="24" spans="1:48" ht="96.75" customHeight="1" x14ac:dyDescent="0.25">
      <c r="A24" s="436"/>
      <c r="B24" s="442"/>
      <c r="C24" s="439"/>
      <c r="D24" s="439"/>
      <c r="E24" s="451"/>
      <c r="F24" s="453"/>
      <c r="G24" s="453"/>
      <c r="H24" s="453"/>
      <c r="I24" s="457"/>
      <c r="J24" s="457"/>
      <c r="K24" s="457"/>
      <c r="L24" s="453"/>
      <c r="M24" s="439"/>
      <c r="N24" s="439"/>
      <c r="O24" s="439"/>
      <c r="P24" s="446"/>
      <c r="Q24" s="446"/>
      <c r="R24" s="446"/>
      <c r="S24" s="455"/>
      <c r="T24" s="455"/>
      <c r="U24" s="447"/>
      <c r="V24" s="447"/>
      <c r="W24" s="446"/>
      <c r="X24" s="446"/>
      <c r="Y24" s="446"/>
      <c r="Z24" s="446"/>
      <c r="AA24" s="446"/>
      <c r="AB24" s="446"/>
      <c r="AC24" s="446"/>
      <c r="AD24" s="446"/>
      <c r="AE24" s="446"/>
      <c r="AF24" s="140" t="s">
        <v>11</v>
      </c>
      <c r="AG24" s="140" t="s">
        <v>10</v>
      </c>
      <c r="AH24" s="141" t="s">
        <v>2</v>
      </c>
      <c r="AI24" s="141" t="s">
        <v>9</v>
      </c>
      <c r="AJ24" s="439"/>
      <c r="AK24" s="439"/>
      <c r="AL24" s="439"/>
      <c r="AM24" s="439"/>
      <c r="AN24" s="439"/>
      <c r="AO24" s="439"/>
      <c r="AP24" s="439"/>
      <c r="AQ24" s="439"/>
      <c r="AR24" s="446"/>
      <c r="AS24" s="446"/>
      <c r="AT24" s="446"/>
      <c r="AU24" s="446"/>
      <c r="AV24" s="449"/>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609</v>
      </c>
      <c r="N26" s="146" t="s">
        <v>594</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3" sqref="B23"/>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8" t="str">
        <f>'1. паспорт местоположение'!A5:C5</f>
        <v>Год раскрытия информации: 2023 год</v>
      </c>
      <c r="B5" s="458"/>
      <c r="C5" s="52"/>
      <c r="D5" s="52"/>
      <c r="E5" s="52"/>
      <c r="F5" s="52"/>
      <c r="G5" s="52"/>
      <c r="H5" s="52"/>
    </row>
    <row r="6" spans="1:8" ht="18.75" x14ac:dyDescent="0.3">
      <c r="A6" s="83"/>
      <c r="B6" s="83"/>
      <c r="C6" s="83"/>
      <c r="D6" s="83"/>
      <c r="E6" s="83"/>
      <c r="F6" s="83"/>
      <c r="G6" s="83"/>
      <c r="H6" s="83"/>
    </row>
    <row r="7" spans="1:8" ht="18.75" x14ac:dyDescent="0.25">
      <c r="A7" s="357" t="s">
        <v>7</v>
      </c>
      <c r="B7" s="357"/>
      <c r="C7" s="107"/>
      <c r="D7" s="107"/>
      <c r="E7" s="107"/>
      <c r="F7" s="107"/>
      <c r="G7" s="107"/>
      <c r="H7" s="107"/>
    </row>
    <row r="8" spans="1:8" ht="18.75" x14ac:dyDescent="0.25">
      <c r="A8" s="107"/>
      <c r="B8" s="107"/>
      <c r="C8" s="107"/>
      <c r="D8" s="107"/>
      <c r="E8" s="107"/>
      <c r="F8" s="107"/>
      <c r="G8" s="107"/>
      <c r="H8" s="107"/>
    </row>
    <row r="9" spans="1:8" x14ac:dyDescent="0.25">
      <c r="A9" s="352" t="str">
        <f>'1. паспорт местоположение'!A9:C9</f>
        <v xml:space="preserve">Акционерное общество "Западная энергетическая компания" </v>
      </c>
      <c r="B9" s="352"/>
      <c r="C9" s="109"/>
      <c r="D9" s="109"/>
      <c r="E9" s="109"/>
      <c r="F9" s="109"/>
      <c r="G9" s="109"/>
      <c r="H9" s="109"/>
    </row>
    <row r="10" spans="1:8" x14ac:dyDescent="0.25">
      <c r="A10" s="353" t="s">
        <v>6</v>
      </c>
      <c r="B10" s="353"/>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2" t="str">
        <f>'1. паспорт местоположение'!A12:C12</f>
        <v>L_21-08</v>
      </c>
      <c r="B12" s="352"/>
      <c r="C12" s="109"/>
      <c r="D12" s="109"/>
      <c r="E12" s="109"/>
      <c r="F12" s="109"/>
      <c r="G12" s="109"/>
      <c r="H12" s="109"/>
    </row>
    <row r="13" spans="1:8" x14ac:dyDescent="0.25">
      <c r="A13" s="353" t="s">
        <v>5</v>
      </c>
      <c r="B13" s="353"/>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9" t="str">
        <f>'1. паспорт местоположение'!A15:C15</f>
        <v>Строительство сетей электроснабжения дошкольного учреждения в г. Калининграде , ул. Флагманская</v>
      </c>
      <c r="B15" s="379"/>
      <c r="C15" s="109"/>
      <c r="D15" s="109"/>
      <c r="E15" s="109"/>
      <c r="F15" s="109"/>
      <c r="G15" s="109"/>
      <c r="H15" s="109"/>
    </row>
    <row r="16" spans="1:8" x14ac:dyDescent="0.25">
      <c r="A16" s="353" t="s">
        <v>4</v>
      </c>
      <c r="B16" s="353"/>
      <c r="C16" s="110"/>
      <c r="D16" s="110"/>
      <c r="E16" s="110"/>
      <c r="F16" s="110"/>
      <c r="G16" s="110"/>
      <c r="H16" s="110"/>
    </row>
    <row r="17" spans="1:2" x14ac:dyDescent="0.25">
      <c r="B17" s="57"/>
    </row>
    <row r="18" spans="1:2" ht="33.75" customHeight="1" x14ac:dyDescent="0.25">
      <c r="A18" s="459" t="s">
        <v>407</v>
      </c>
      <c r="B18" s="460"/>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дошкольного учреждения в г. Калининграде , ул. Флагманская</v>
      </c>
    </row>
    <row r="22" spans="1:2" ht="30" customHeight="1" thickBot="1" x14ac:dyDescent="0.3">
      <c r="A22" s="59" t="s">
        <v>305</v>
      </c>
      <c r="B22" s="60" t="str">
        <f>'1. паспорт местоположение'!C27</f>
        <v>г.Калининград</v>
      </c>
    </row>
    <row r="23" spans="1:2" ht="16.5" thickBot="1" x14ac:dyDescent="0.3">
      <c r="A23" s="59" t="s">
        <v>289</v>
      </c>
      <c r="B23" s="61" t="s">
        <v>653</v>
      </c>
    </row>
    <row r="24" spans="1:2" ht="16.5" thickBot="1" x14ac:dyDescent="0.3">
      <c r="A24" s="59" t="s">
        <v>306</v>
      </c>
      <c r="B24" s="61">
        <f>'6.2. Паспорт фин осв ввод'!D45</f>
        <v>0.8</v>
      </c>
    </row>
    <row r="25" spans="1:2" ht="16.5" thickBot="1" x14ac:dyDescent="0.3">
      <c r="A25" s="62" t="s">
        <v>307</v>
      </c>
      <c r="B25" s="333">
        <f>'6.1. Паспорт сетевой график'!H53</f>
        <v>44771</v>
      </c>
    </row>
    <row r="26" spans="1:2" ht="16.5" thickBot="1" x14ac:dyDescent="0.3">
      <c r="A26" s="63" t="s">
        <v>308</v>
      </c>
      <c r="B26" s="329" t="s">
        <v>635</v>
      </c>
    </row>
    <row r="27" spans="1:2" ht="29.25" thickBot="1" x14ac:dyDescent="0.3">
      <c r="A27" s="70" t="s">
        <v>621</v>
      </c>
      <c r="B27" s="330">
        <f>'6.2. Паспорт фин осв ввод'!D24</f>
        <v>29.033139599999998</v>
      </c>
    </row>
    <row r="28" spans="1:2" ht="42" customHeight="1" thickBot="1" x14ac:dyDescent="0.3">
      <c r="A28" s="65" t="s">
        <v>309</v>
      </c>
      <c r="B28" s="65" t="s">
        <v>595</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44470</v>
      </c>
    </row>
    <row r="134" spans="1:2" ht="16.5" thickBot="1" x14ac:dyDescent="0.3">
      <c r="A134" s="68" t="s">
        <v>342</v>
      </c>
      <c r="B134" s="76" t="s">
        <v>540</v>
      </c>
    </row>
    <row r="135" spans="1:2" ht="16.5" thickBot="1" x14ac:dyDescent="0.3">
      <c r="A135" s="68" t="s">
        <v>343</v>
      </c>
      <c r="B135" s="76" t="s">
        <v>540</v>
      </c>
    </row>
    <row r="136" spans="1:2" ht="29.25" thickBot="1" x14ac:dyDescent="0.3">
      <c r="A136" s="77" t="s">
        <v>344</v>
      </c>
      <c r="B136" s="74" t="s">
        <v>636</v>
      </c>
    </row>
    <row r="137" spans="1:2" ht="28.5" customHeight="1" x14ac:dyDescent="0.25">
      <c r="A137" s="64" t="s">
        <v>345</v>
      </c>
      <c r="B137" s="461" t="s">
        <v>540</v>
      </c>
    </row>
    <row r="138" spans="1:2" x14ac:dyDescent="0.25">
      <c r="A138" s="68" t="s">
        <v>346</v>
      </c>
      <c r="B138" s="462"/>
    </row>
    <row r="139" spans="1:2" x14ac:dyDescent="0.25">
      <c r="A139" s="68" t="s">
        <v>347</v>
      </c>
      <c r="B139" s="462"/>
    </row>
    <row r="140" spans="1:2" x14ac:dyDescent="0.25">
      <c r="A140" s="68" t="s">
        <v>348</v>
      </c>
      <c r="B140" s="462"/>
    </row>
    <row r="141" spans="1:2" x14ac:dyDescent="0.25">
      <c r="A141" s="68" t="s">
        <v>349</v>
      </c>
      <c r="B141" s="462"/>
    </row>
    <row r="142" spans="1:2" ht="16.5" thickBot="1" x14ac:dyDescent="0.3">
      <c r="A142" s="78" t="s">
        <v>350</v>
      </c>
      <c r="B142" s="463"/>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P5" zoomScale="70" zoomScaleSheetLayoutView="70" workbookViewId="0">
      <selection activeCell="S24" sqref="S24"/>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row>
    <row r="5" spans="1:28" s="14" customFormat="1" ht="15.75" x14ac:dyDescent="0.2">
      <c r="A5" s="105"/>
    </row>
    <row r="6" spans="1:28" s="14" customFormat="1" ht="18.75" x14ac:dyDescent="0.2">
      <c r="A6" s="357" t="s">
        <v>7</v>
      </c>
      <c r="B6" s="357"/>
      <c r="C6" s="357"/>
      <c r="D6" s="357"/>
      <c r="E6" s="357"/>
      <c r="F6" s="357"/>
      <c r="G6" s="357"/>
      <c r="H6" s="357"/>
      <c r="I6" s="357"/>
      <c r="J6" s="357"/>
      <c r="K6" s="357"/>
      <c r="L6" s="357"/>
      <c r="M6" s="357"/>
      <c r="N6" s="357"/>
      <c r="O6" s="357"/>
      <c r="P6" s="357"/>
      <c r="Q6" s="357"/>
      <c r="R6" s="357"/>
      <c r="S6" s="357"/>
      <c r="T6" s="107"/>
      <c r="U6" s="107"/>
      <c r="V6" s="107"/>
      <c r="W6" s="107"/>
      <c r="X6" s="107"/>
      <c r="Y6" s="107"/>
      <c r="Z6" s="107"/>
      <c r="AA6" s="107"/>
      <c r="AB6" s="107"/>
    </row>
    <row r="7" spans="1:28" s="14" customFormat="1" ht="18.75" x14ac:dyDescent="0.2">
      <c r="A7" s="357"/>
      <c r="B7" s="357"/>
      <c r="C7" s="357"/>
      <c r="D7" s="357"/>
      <c r="E7" s="357"/>
      <c r="F7" s="357"/>
      <c r="G7" s="357"/>
      <c r="H7" s="357"/>
      <c r="I7" s="357"/>
      <c r="J7" s="357"/>
      <c r="K7" s="357"/>
      <c r="L7" s="357"/>
      <c r="M7" s="357"/>
      <c r="N7" s="357"/>
      <c r="O7" s="357"/>
      <c r="P7" s="357"/>
      <c r="Q7" s="357"/>
      <c r="R7" s="357"/>
      <c r="S7" s="357"/>
      <c r="T7" s="107"/>
      <c r="U7" s="107"/>
      <c r="V7" s="107"/>
      <c r="W7" s="107"/>
      <c r="X7" s="107"/>
      <c r="Y7" s="107"/>
      <c r="Z7" s="107"/>
      <c r="AA7" s="107"/>
      <c r="AB7" s="107"/>
    </row>
    <row r="8" spans="1:28" s="14" customFormat="1" ht="18.75" x14ac:dyDescent="0.2">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107"/>
      <c r="U8" s="107"/>
      <c r="V8" s="107"/>
      <c r="W8" s="107"/>
      <c r="X8" s="107"/>
      <c r="Y8" s="107"/>
      <c r="Z8" s="107"/>
      <c r="AA8" s="107"/>
      <c r="AB8" s="107"/>
    </row>
    <row r="9" spans="1:28" s="14" customFormat="1" ht="18.75" x14ac:dyDescent="0.2">
      <c r="A9" s="353" t="s">
        <v>6</v>
      </c>
      <c r="B9" s="353"/>
      <c r="C9" s="353"/>
      <c r="D9" s="353"/>
      <c r="E9" s="353"/>
      <c r="F9" s="353"/>
      <c r="G9" s="353"/>
      <c r="H9" s="353"/>
      <c r="I9" s="353"/>
      <c r="J9" s="353"/>
      <c r="K9" s="353"/>
      <c r="L9" s="353"/>
      <c r="M9" s="353"/>
      <c r="N9" s="353"/>
      <c r="O9" s="353"/>
      <c r="P9" s="353"/>
      <c r="Q9" s="353"/>
      <c r="R9" s="353"/>
      <c r="S9" s="353"/>
      <c r="T9" s="107"/>
      <c r="U9" s="107"/>
      <c r="V9" s="107"/>
      <c r="W9" s="107"/>
      <c r="X9" s="107"/>
      <c r="Y9" s="107"/>
      <c r="Z9" s="107"/>
      <c r="AA9" s="107"/>
      <c r="AB9" s="107"/>
    </row>
    <row r="10" spans="1:28" s="14" customFormat="1" ht="18.75" x14ac:dyDescent="0.2">
      <c r="A10" s="357"/>
      <c r="B10" s="357"/>
      <c r="C10" s="357"/>
      <c r="D10" s="357"/>
      <c r="E10" s="357"/>
      <c r="F10" s="357"/>
      <c r="G10" s="357"/>
      <c r="H10" s="357"/>
      <c r="I10" s="357"/>
      <c r="J10" s="357"/>
      <c r="K10" s="357"/>
      <c r="L10" s="357"/>
      <c r="M10" s="357"/>
      <c r="N10" s="357"/>
      <c r="O10" s="357"/>
      <c r="P10" s="357"/>
      <c r="Q10" s="357"/>
      <c r="R10" s="357"/>
      <c r="S10" s="357"/>
      <c r="T10" s="107"/>
      <c r="U10" s="107"/>
      <c r="V10" s="107"/>
      <c r="W10" s="107"/>
      <c r="X10" s="107"/>
      <c r="Y10" s="107"/>
      <c r="Z10" s="107"/>
      <c r="AA10" s="107"/>
      <c r="AB10" s="107"/>
    </row>
    <row r="11" spans="1:28" s="14" customFormat="1" ht="18.75" x14ac:dyDescent="0.2">
      <c r="A11" s="358" t="str">
        <f>'1. паспорт местоположение'!A12:C12</f>
        <v>L_21-08</v>
      </c>
      <c r="B11" s="358"/>
      <c r="C11" s="358"/>
      <c r="D11" s="358"/>
      <c r="E11" s="358"/>
      <c r="F11" s="358"/>
      <c r="G11" s="358"/>
      <c r="H11" s="358"/>
      <c r="I11" s="358"/>
      <c r="J11" s="358"/>
      <c r="K11" s="358"/>
      <c r="L11" s="358"/>
      <c r="M11" s="358"/>
      <c r="N11" s="358"/>
      <c r="O11" s="358"/>
      <c r="P11" s="358"/>
      <c r="Q11" s="358"/>
      <c r="R11" s="358"/>
      <c r="S11" s="358"/>
      <c r="T11" s="107"/>
      <c r="U11" s="107"/>
      <c r="V11" s="107"/>
      <c r="W11" s="107"/>
      <c r="X11" s="107"/>
      <c r="Y11" s="107"/>
      <c r="Z11" s="107"/>
      <c r="AA11" s="107"/>
      <c r="AB11" s="107"/>
    </row>
    <row r="12" spans="1:28" s="14" customFormat="1" ht="18.75" x14ac:dyDescent="0.2">
      <c r="A12" s="353" t="s">
        <v>5</v>
      </c>
      <c r="B12" s="353"/>
      <c r="C12" s="353"/>
      <c r="D12" s="353"/>
      <c r="E12" s="353"/>
      <c r="F12" s="353"/>
      <c r="G12" s="353"/>
      <c r="H12" s="353"/>
      <c r="I12" s="353"/>
      <c r="J12" s="353"/>
      <c r="K12" s="353"/>
      <c r="L12" s="353"/>
      <c r="M12" s="353"/>
      <c r="N12" s="353"/>
      <c r="O12" s="353"/>
      <c r="P12" s="353"/>
      <c r="Q12" s="353"/>
      <c r="R12" s="353"/>
      <c r="S12" s="353"/>
      <c r="T12" s="107"/>
      <c r="U12" s="107"/>
      <c r="V12" s="107"/>
      <c r="W12" s="107"/>
      <c r="X12" s="107"/>
      <c r="Y12" s="107"/>
      <c r="Z12" s="107"/>
      <c r="AA12" s="107"/>
      <c r="AB12" s="107"/>
    </row>
    <row r="13" spans="1:28" s="14"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8"/>
      <c r="U13" s="108"/>
      <c r="V13" s="108"/>
      <c r="W13" s="108"/>
      <c r="X13" s="108"/>
      <c r="Y13" s="108"/>
      <c r="Z13" s="108"/>
      <c r="AA13" s="108"/>
      <c r="AB13" s="108"/>
    </row>
    <row r="14" spans="1:28" s="106" customFormat="1" ht="15.75" x14ac:dyDescent="0.2">
      <c r="A14" s="352" t="str">
        <f>'1. паспорт местоположение'!A15:C15</f>
        <v>Строительство сетей электроснабжения дошкольного учреждения в г. Калининграде , ул. Флагманская</v>
      </c>
      <c r="B14" s="352"/>
      <c r="C14" s="352"/>
      <c r="D14" s="352"/>
      <c r="E14" s="352"/>
      <c r="F14" s="352"/>
      <c r="G14" s="352"/>
      <c r="H14" s="352"/>
      <c r="I14" s="352"/>
      <c r="J14" s="352"/>
      <c r="K14" s="352"/>
      <c r="L14" s="352"/>
      <c r="M14" s="352"/>
      <c r="N14" s="352"/>
      <c r="O14" s="352"/>
      <c r="P14" s="352"/>
      <c r="Q14" s="352"/>
      <c r="R14" s="352"/>
      <c r="S14" s="352"/>
      <c r="T14" s="109"/>
      <c r="U14" s="109"/>
      <c r="V14" s="109"/>
      <c r="W14" s="109"/>
      <c r="X14" s="109"/>
      <c r="Y14" s="109"/>
      <c r="Z14" s="109"/>
      <c r="AA14" s="109"/>
      <c r="AB14" s="109"/>
    </row>
    <row r="15" spans="1:28" s="106" customFormat="1" ht="15" customHeight="1" x14ac:dyDescent="0.2">
      <c r="A15" s="353" t="s">
        <v>4</v>
      </c>
      <c r="B15" s="353"/>
      <c r="C15" s="353"/>
      <c r="D15" s="353"/>
      <c r="E15" s="353"/>
      <c r="F15" s="353"/>
      <c r="G15" s="353"/>
      <c r="H15" s="353"/>
      <c r="I15" s="353"/>
      <c r="J15" s="353"/>
      <c r="K15" s="353"/>
      <c r="L15" s="353"/>
      <c r="M15" s="353"/>
      <c r="N15" s="353"/>
      <c r="O15" s="353"/>
      <c r="P15" s="353"/>
      <c r="Q15" s="353"/>
      <c r="R15" s="353"/>
      <c r="S15" s="353"/>
      <c r="T15" s="110"/>
      <c r="U15" s="110"/>
      <c r="V15" s="110"/>
      <c r="W15" s="110"/>
      <c r="X15" s="110"/>
      <c r="Y15" s="110"/>
      <c r="Z15" s="110"/>
      <c r="AA15" s="110"/>
      <c r="AB15" s="110"/>
    </row>
    <row r="16" spans="1:28" s="106"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08"/>
      <c r="U16" s="108"/>
      <c r="V16" s="108"/>
      <c r="W16" s="108"/>
      <c r="X16" s="108"/>
      <c r="Y16" s="108"/>
    </row>
    <row r="17" spans="1:28" s="106" customFormat="1" ht="45.75" customHeight="1" x14ac:dyDescent="0.2">
      <c r="A17" s="355" t="s">
        <v>382</v>
      </c>
      <c r="B17" s="355"/>
      <c r="C17" s="355"/>
      <c r="D17" s="355"/>
      <c r="E17" s="355"/>
      <c r="F17" s="355"/>
      <c r="G17" s="355"/>
      <c r="H17" s="355"/>
      <c r="I17" s="355"/>
      <c r="J17" s="355"/>
      <c r="K17" s="355"/>
      <c r="L17" s="355"/>
      <c r="M17" s="355"/>
      <c r="N17" s="355"/>
      <c r="O17" s="355"/>
      <c r="P17" s="355"/>
      <c r="Q17" s="355"/>
      <c r="R17" s="355"/>
      <c r="S17" s="355"/>
      <c r="T17" s="111"/>
      <c r="U17" s="111"/>
      <c r="V17" s="111"/>
      <c r="W17" s="111"/>
      <c r="X17" s="111"/>
      <c r="Y17" s="111"/>
      <c r="Z17" s="111"/>
      <c r="AA17" s="111"/>
      <c r="AB17" s="111"/>
    </row>
    <row r="18" spans="1:28" s="106"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08"/>
      <c r="U18" s="108"/>
      <c r="V18" s="108"/>
      <c r="W18" s="108"/>
      <c r="X18" s="108"/>
      <c r="Y18" s="108"/>
    </row>
    <row r="19" spans="1:28" s="106" customFormat="1" ht="54" customHeight="1" x14ac:dyDescent="0.2">
      <c r="A19" s="359" t="s">
        <v>3</v>
      </c>
      <c r="B19" s="359" t="s">
        <v>94</v>
      </c>
      <c r="C19" s="360" t="s">
        <v>303</v>
      </c>
      <c r="D19" s="359" t="s">
        <v>302</v>
      </c>
      <c r="E19" s="359" t="s">
        <v>93</v>
      </c>
      <c r="F19" s="359" t="s">
        <v>92</v>
      </c>
      <c r="G19" s="359" t="s">
        <v>298</v>
      </c>
      <c r="H19" s="359" t="s">
        <v>91</v>
      </c>
      <c r="I19" s="359" t="s">
        <v>90</v>
      </c>
      <c r="J19" s="359" t="s">
        <v>89</v>
      </c>
      <c r="K19" s="359" t="s">
        <v>88</v>
      </c>
      <c r="L19" s="359" t="s">
        <v>87</v>
      </c>
      <c r="M19" s="359" t="s">
        <v>86</v>
      </c>
      <c r="N19" s="359" t="s">
        <v>85</v>
      </c>
      <c r="O19" s="359" t="s">
        <v>84</v>
      </c>
      <c r="P19" s="359" t="s">
        <v>83</v>
      </c>
      <c r="Q19" s="359" t="s">
        <v>301</v>
      </c>
      <c r="R19" s="359"/>
      <c r="S19" s="362" t="s">
        <v>376</v>
      </c>
      <c r="T19" s="108"/>
      <c r="U19" s="108"/>
      <c r="V19" s="108"/>
      <c r="W19" s="108"/>
      <c r="X19" s="108"/>
      <c r="Y19" s="108"/>
    </row>
    <row r="20" spans="1:28" s="106" customFormat="1" ht="180.75" customHeight="1" x14ac:dyDescent="0.2">
      <c r="A20" s="359"/>
      <c r="B20" s="359"/>
      <c r="C20" s="361"/>
      <c r="D20" s="359"/>
      <c r="E20" s="359"/>
      <c r="F20" s="359"/>
      <c r="G20" s="359"/>
      <c r="H20" s="359"/>
      <c r="I20" s="359"/>
      <c r="J20" s="359"/>
      <c r="K20" s="359"/>
      <c r="L20" s="359"/>
      <c r="M20" s="359"/>
      <c r="N20" s="359"/>
      <c r="O20" s="359"/>
      <c r="P20" s="359"/>
      <c r="Q20" s="112" t="s">
        <v>299</v>
      </c>
      <c r="R20" s="113" t="s">
        <v>300</v>
      </c>
      <c r="S20" s="362"/>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637</v>
      </c>
      <c r="C22" s="114" t="s">
        <v>622</v>
      </c>
      <c r="D22" s="114" t="s">
        <v>630</v>
      </c>
      <c r="E22" s="114" t="s">
        <v>638</v>
      </c>
      <c r="F22" s="114" t="s">
        <v>535</v>
      </c>
      <c r="G22" s="114" t="s">
        <v>639</v>
      </c>
      <c r="H22" s="343">
        <v>0.29799999999999999</v>
      </c>
      <c r="I22" s="114">
        <v>0</v>
      </c>
      <c r="J22" s="114">
        <v>0</v>
      </c>
      <c r="K22" s="114" t="s">
        <v>631</v>
      </c>
      <c r="L22" s="114">
        <v>2</v>
      </c>
      <c r="M22" s="114">
        <v>0.5</v>
      </c>
      <c r="N22" s="114">
        <v>1</v>
      </c>
      <c r="O22" s="114" t="s">
        <v>535</v>
      </c>
      <c r="P22" s="114" t="s">
        <v>535</v>
      </c>
      <c r="Q22" s="115" t="s">
        <v>640</v>
      </c>
      <c r="R22" s="184" t="s">
        <v>535</v>
      </c>
      <c r="S22" s="341" t="s">
        <v>535</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zoomScale="80" zoomScaleNormal="60" zoomScaleSheetLayoutView="80" workbookViewId="0">
      <selection activeCell="O31" sqref="O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7" t="str">
        <f>'1. паспорт местоположение'!A5:C5</f>
        <v>Год раскрытия информации: 2023 год</v>
      </c>
      <c r="B6" s="347"/>
      <c r="C6" s="347"/>
      <c r="D6" s="347"/>
      <c r="E6" s="347"/>
      <c r="F6" s="347"/>
      <c r="G6" s="347"/>
      <c r="H6" s="347"/>
      <c r="I6" s="347"/>
      <c r="J6" s="347"/>
      <c r="K6" s="347"/>
      <c r="L6" s="347"/>
      <c r="M6" s="347"/>
      <c r="N6" s="347"/>
      <c r="O6" s="347"/>
      <c r="P6" s="347"/>
      <c r="Q6" s="347"/>
      <c r="R6" s="347"/>
      <c r="S6" s="347"/>
      <c r="T6" s="347"/>
    </row>
    <row r="7" spans="1:20" s="14" customFormat="1" x14ac:dyDescent="0.2">
      <c r="A7" s="105"/>
    </row>
    <row r="8" spans="1:20" s="14"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4"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4" customFormat="1" ht="18.75" customHeight="1" x14ac:dyDescent="0.2">
      <c r="A10" s="352" t="str">
        <f>'1. паспорт местоположение'!A9:C9</f>
        <v xml:space="preserve">Акционерное общество "Западная энергетическая компания" </v>
      </c>
      <c r="B10" s="352"/>
      <c r="C10" s="352"/>
      <c r="D10" s="352"/>
      <c r="E10" s="352"/>
      <c r="F10" s="352"/>
      <c r="G10" s="352"/>
      <c r="H10" s="352"/>
      <c r="I10" s="352"/>
      <c r="J10" s="352"/>
      <c r="K10" s="352"/>
      <c r="L10" s="352"/>
      <c r="M10" s="352"/>
      <c r="N10" s="352"/>
      <c r="O10" s="352"/>
      <c r="P10" s="352"/>
      <c r="Q10" s="352"/>
      <c r="R10" s="352"/>
      <c r="S10" s="352"/>
      <c r="T10" s="352"/>
    </row>
    <row r="11" spans="1:20" s="14" customFormat="1" ht="18.75" customHeight="1" x14ac:dyDescent="0.2">
      <c r="A11" s="353" t="s">
        <v>6</v>
      </c>
      <c r="B11" s="353"/>
      <c r="C11" s="353"/>
      <c r="D11" s="353"/>
      <c r="E11" s="353"/>
      <c r="F11" s="353"/>
      <c r="G11" s="353"/>
      <c r="H11" s="353"/>
      <c r="I11" s="353"/>
      <c r="J11" s="353"/>
      <c r="K11" s="353"/>
      <c r="L11" s="353"/>
      <c r="M11" s="353"/>
      <c r="N11" s="353"/>
      <c r="O11" s="353"/>
      <c r="P11" s="353"/>
      <c r="Q11" s="353"/>
      <c r="R11" s="353"/>
      <c r="S11" s="353"/>
      <c r="T11" s="353"/>
    </row>
    <row r="12" spans="1:20" s="14"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4" customFormat="1" ht="18.75" customHeight="1" x14ac:dyDescent="0.2">
      <c r="A13" s="358" t="str">
        <f>'1. паспорт местоположение'!A12:C12</f>
        <v>L_21-08</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3" t="s">
        <v>5</v>
      </c>
      <c r="B14" s="353"/>
      <c r="C14" s="353"/>
      <c r="D14" s="353"/>
      <c r="E14" s="353"/>
      <c r="F14" s="353"/>
      <c r="G14" s="353"/>
      <c r="H14" s="353"/>
      <c r="I14" s="353"/>
      <c r="J14" s="353"/>
      <c r="K14" s="353"/>
      <c r="L14" s="353"/>
      <c r="M14" s="353"/>
      <c r="N14" s="353"/>
      <c r="O14" s="353"/>
      <c r="P14" s="353"/>
      <c r="Q14" s="353"/>
      <c r="R14" s="353"/>
      <c r="S14" s="353"/>
      <c r="T14" s="353"/>
    </row>
    <row r="15" spans="1:20" s="14"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106" customFormat="1" x14ac:dyDescent="0.2">
      <c r="A16" s="352" t="str">
        <f>'1. паспорт местоположение'!A15:C15</f>
        <v>Строительство сетей электроснабжения дошкольного учреждения в г. Калининграде , ул. Флагманская</v>
      </c>
      <c r="B16" s="352"/>
      <c r="C16" s="352"/>
      <c r="D16" s="352"/>
      <c r="E16" s="352"/>
      <c r="F16" s="352"/>
      <c r="G16" s="352"/>
      <c r="H16" s="352"/>
      <c r="I16" s="352"/>
      <c r="J16" s="352"/>
      <c r="K16" s="352"/>
      <c r="L16" s="352"/>
      <c r="M16" s="352"/>
      <c r="N16" s="352"/>
      <c r="O16" s="352"/>
      <c r="P16" s="352"/>
      <c r="Q16" s="352"/>
      <c r="R16" s="352"/>
      <c r="S16" s="352"/>
      <c r="T16" s="352"/>
    </row>
    <row r="17" spans="1:20" s="106" customFormat="1" ht="15" customHeight="1" x14ac:dyDescent="0.2">
      <c r="A17" s="353" t="s">
        <v>4</v>
      </c>
      <c r="B17" s="353"/>
      <c r="C17" s="353"/>
      <c r="D17" s="353"/>
      <c r="E17" s="353"/>
      <c r="F17" s="353"/>
      <c r="G17" s="353"/>
      <c r="H17" s="353"/>
      <c r="I17" s="353"/>
      <c r="J17" s="353"/>
      <c r="K17" s="353"/>
      <c r="L17" s="353"/>
      <c r="M17" s="353"/>
      <c r="N17" s="353"/>
      <c r="O17" s="353"/>
      <c r="P17" s="353"/>
      <c r="Q17" s="353"/>
      <c r="R17" s="353"/>
      <c r="S17" s="353"/>
      <c r="T17" s="353"/>
    </row>
    <row r="18" spans="1:20" s="106"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20" s="106" customFormat="1" ht="15" customHeight="1" x14ac:dyDescent="0.2">
      <c r="A19" s="366" t="s">
        <v>387</v>
      </c>
      <c r="B19" s="366"/>
      <c r="C19" s="366"/>
      <c r="D19" s="366"/>
      <c r="E19" s="366"/>
      <c r="F19" s="366"/>
      <c r="G19" s="366"/>
      <c r="H19" s="366"/>
      <c r="I19" s="366"/>
      <c r="J19" s="366"/>
      <c r="K19" s="366"/>
      <c r="L19" s="366"/>
      <c r="M19" s="366"/>
      <c r="N19" s="366"/>
      <c r="O19" s="366"/>
      <c r="P19" s="366"/>
      <c r="Q19" s="366"/>
      <c r="R19" s="366"/>
      <c r="S19" s="366"/>
      <c r="T19" s="366"/>
    </row>
    <row r="20" spans="1:20" s="27"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25">
      <c r="A21" s="368" t="s">
        <v>3</v>
      </c>
      <c r="B21" s="371" t="s">
        <v>200</v>
      </c>
      <c r="C21" s="372"/>
      <c r="D21" s="375" t="s">
        <v>116</v>
      </c>
      <c r="E21" s="371" t="s">
        <v>415</v>
      </c>
      <c r="F21" s="372"/>
      <c r="G21" s="371" t="s">
        <v>239</v>
      </c>
      <c r="H21" s="372"/>
      <c r="I21" s="371" t="s">
        <v>115</v>
      </c>
      <c r="J21" s="372"/>
      <c r="K21" s="375" t="s">
        <v>114</v>
      </c>
      <c r="L21" s="371" t="s">
        <v>113</v>
      </c>
      <c r="M21" s="372"/>
      <c r="N21" s="371" t="s">
        <v>441</v>
      </c>
      <c r="O21" s="372"/>
      <c r="P21" s="375" t="s">
        <v>112</v>
      </c>
      <c r="Q21" s="363" t="s">
        <v>111</v>
      </c>
      <c r="R21" s="364"/>
      <c r="S21" s="363" t="s">
        <v>110</v>
      </c>
      <c r="T21" s="365"/>
    </row>
    <row r="22" spans="1:20" ht="204.75" customHeight="1" x14ac:dyDescent="0.25">
      <c r="A22" s="369"/>
      <c r="B22" s="373"/>
      <c r="C22" s="374"/>
      <c r="D22" s="378"/>
      <c r="E22" s="373"/>
      <c r="F22" s="374"/>
      <c r="G22" s="373"/>
      <c r="H22" s="374"/>
      <c r="I22" s="373"/>
      <c r="J22" s="374"/>
      <c r="K22" s="376"/>
      <c r="L22" s="373"/>
      <c r="M22" s="374"/>
      <c r="N22" s="373"/>
      <c r="O22" s="374"/>
      <c r="P22" s="376"/>
      <c r="Q22" s="54" t="s">
        <v>109</v>
      </c>
      <c r="R22" s="54" t="s">
        <v>386</v>
      </c>
      <c r="S22" s="54" t="s">
        <v>108</v>
      </c>
      <c r="T22" s="54" t="s">
        <v>107</v>
      </c>
    </row>
    <row r="23" spans="1:20" ht="51.75" customHeight="1" x14ac:dyDescent="0.25">
      <c r="A23" s="37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632</v>
      </c>
      <c r="D25" s="93" t="s">
        <v>616</v>
      </c>
      <c r="E25" s="93"/>
      <c r="F25" s="93" t="s">
        <v>617</v>
      </c>
      <c r="G25" s="93"/>
      <c r="H25" s="93" t="s">
        <v>615</v>
      </c>
      <c r="I25" s="325"/>
      <c r="J25" s="325" t="s">
        <v>624</v>
      </c>
      <c r="K25" s="325" t="s">
        <v>624</v>
      </c>
      <c r="L25" s="325"/>
      <c r="M25" s="325" t="s">
        <v>610</v>
      </c>
      <c r="N25" s="93"/>
      <c r="O25" s="93"/>
      <c r="P25" s="325" t="s">
        <v>297</v>
      </c>
      <c r="Q25" s="325"/>
      <c r="R25" s="325"/>
      <c r="S25" s="325" t="s">
        <v>297</v>
      </c>
      <c r="T25" s="93" t="s">
        <v>297</v>
      </c>
    </row>
    <row r="26" spans="1:20" ht="47.25" customHeight="1" x14ac:dyDescent="0.25">
      <c r="A26" s="93"/>
      <c r="B26" s="93"/>
      <c r="C26" s="93"/>
      <c r="D26" s="326" t="s">
        <v>618</v>
      </c>
      <c r="E26" s="326"/>
      <c r="F26" s="326" t="s">
        <v>619</v>
      </c>
      <c r="G26" s="326"/>
      <c r="H26" s="326" t="s">
        <v>620</v>
      </c>
      <c r="I26" s="325"/>
      <c r="J26" s="326">
        <v>2021</v>
      </c>
      <c r="K26" s="326">
        <v>2021</v>
      </c>
      <c r="L26" s="325"/>
      <c r="M26" s="325" t="s">
        <v>611</v>
      </c>
      <c r="N26" s="327"/>
      <c r="O26" s="327"/>
      <c r="P26" s="325" t="s">
        <v>297</v>
      </c>
      <c r="Q26" s="93"/>
      <c r="R26" s="93"/>
      <c r="S26" s="327" t="s">
        <v>297</v>
      </c>
      <c r="T26" s="327" t="s">
        <v>297</v>
      </c>
    </row>
    <row r="27" spans="1:20" ht="24" customHeight="1" x14ac:dyDescent="0.25">
      <c r="A27" s="93"/>
      <c r="B27" s="93"/>
      <c r="C27" s="93"/>
      <c r="D27" s="326" t="s">
        <v>612</v>
      </c>
      <c r="E27" s="326"/>
      <c r="F27" s="326" t="s">
        <v>641</v>
      </c>
      <c r="G27" s="326"/>
      <c r="H27" s="326" t="s">
        <v>613</v>
      </c>
      <c r="I27" s="325"/>
      <c r="J27" s="326">
        <v>2021</v>
      </c>
      <c r="K27" s="326">
        <v>2021</v>
      </c>
      <c r="L27" s="325"/>
      <c r="M27" s="325" t="s">
        <v>368</v>
      </c>
      <c r="N27" s="327"/>
      <c r="O27" s="327">
        <v>0.4</v>
      </c>
      <c r="P27" s="325" t="s">
        <v>297</v>
      </c>
      <c r="Q27" s="325"/>
      <c r="R27" s="325"/>
      <c r="S27" s="327" t="s">
        <v>297</v>
      </c>
      <c r="T27" s="327" t="s">
        <v>297</v>
      </c>
    </row>
    <row r="28" spans="1:20" ht="24" customHeight="1" x14ac:dyDescent="0.25">
      <c r="A28" s="93"/>
      <c r="B28" s="93"/>
      <c r="C28" s="93"/>
      <c r="D28" s="326" t="s">
        <v>612</v>
      </c>
      <c r="E28" s="326"/>
      <c r="F28" s="326" t="s">
        <v>641</v>
      </c>
      <c r="G28" s="326"/>
      <c r="H28" s="326" t="s">
        <v>614</v>
      </c>
      <c r="I28" s="325"/>
      <c r="J28" s="326">
        <v>2021</v>
      </c>
      <c r="K28" s="326">
        <v>2021</v>
      </c>
      <c r="L28" s="325"/>
      <c r="M28" s="325" t="s">
        <v>368</v>
      </c>
      <c r="N28" s="327"/>
      <c r="O28" s="327">
        <v>0.4</v>
      </c>
      <c r="P28" s="325"/>
      <c r="Q28" s="325"/>
      <c r="R28" s="325"/>
      <c r="S28" s="327"/>
      <c r="T28" s="327"/>
    </row>
    <row r="29" spans="1:20" s="30" customFormat="1" x14ac:dyDescent="0.2">
      <c r="A29" s="93" t="s">
        <v>643</v>
      </c>
      <c r="B29" s="93"/>
      <c r="C29" s="93" t="s">
        <v>642</v>
      </c>
      <c r="D29" s="93" t="s">
        <v>644</v>
      </c>
      <c r="E29" s="326"/>
      <c r="F29" s="326"/>
      <c r="G29" s="326"/>
      <c r="H29" s="326" t="s">
        <v>645</v>
      </c>
      <c r="I29" s="326"/>
      <c r="J29" s="326">
        <v>2021</v>
      </c>
      <c r="K29" s="326">
        <v>2021</v>
      </c>
      <c r="L29" s="326"/>
      <c r="M29" s="325" t="s">
        <v>368</v>
      </c>
      <c r="N29" s="326"/>
      <c r="O29" s="326"/>
      <c r="P29" s="326"/>
      <c r="Q29" s="326"/>
      <c r="R29" s="326"/>
      <c r="S29" s="326"/>
      <c r="T29" s="326"/>
    </row>
    <row r="30" spans="1:20" s="30" customFormat="1" x14ac:dyDescent="0.2">
      <c r="A30" s="93"/>
      <c r="B30" s="93"/>
      <c r="C30" s="93"/>
      <c r="D30" s="93"/>
      <c r="E30" s="326"/>
      <c r="F30" s="326"/>
      <c r="G30" s="326"/>
      <c r="H30" s="326" t="s">
        <v>646</v>
      </c>
      <c r="I30" s="326"/>
      <c r="J30" s="326">
        <v>2021</v>
      </c>
      <c r="K30" s="326">
        <v>2021</v>
      </c>
      <c r="L30" s="326"/>
      <c r="M30" s="325" t="s">
        <v>368</v>
      </c>
      <c r="N30" s="326"/>
      <c r="O30" s="326"/>
      <c r="P30" s="326"/>
      <c r="Q30" s="326"/>
      <c r="R30" s="326"/>
      <c r="S30" s="326"/>
      <c r="T30" s="326"/>
    </row>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77" t="s">
        <v>421</v>
      </c>
      <c r="C49" s="377"/>
      <c r="D49" s="377"/>
      <c r="E49" s="377"/>
      <c r="F49" s="377"/>
      <c r="G49" s="377"/>
      <c r="H49" s="377"/>
      <c r="I49" s="377"/>
      <c r="J49" s="377"/>
      <c r="K49" s="377"/>
      <c r="L49" s="377"/>
      <c r="M49" s="377"/>
      <c r="N49" s="377"/>
      <c r="O49" s="377"/>
      <c r="P49" s="377"/>
      <c r="Q49" s="377"/>
      <c r="R49" s="377"/>
    </row>
    <row r="50" spans="2:113" x14ac:dyDescent="0.25">
      <c r="F50" s="26" t="s">
        <v>616</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B49:R4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R25" sqref="R25:R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2" t="str">
        <f>'1. паспорт местоположение'!A9</f>
        <v xml:space="preserve">Акционерное общество "Западная энергетическая компания" </v>
      </c>
      <c r="F9" s="352"/>
      <c r="G9" s="352"/>
      <c r="H9" s="352"/>
      <c r="I9" s="352"/>
      <c r="J9" s="352"/>
      <c r="K9" s="352"/>
      <c r="L9" s="352"/>
      <c r="M9" s="352"/>
      <c r="N9" s="352"/>
      <c r="O9" s="352"/>
      <c r="P9" s="352"/>
      <c r="Q9" s="352"/>
      <c r="R9" s="352"/>
      <c r="S9" s="352"/>
      <c r="T9" s="352"/>
      <c r="U9" s="352"/>
      <c r="V9" s="352"/>
      <c r="W9" s="352"/>
      <c r="X9" s="352"/>
      <c r="Y9" s="352"/>
    </row>
    <row r="10" spans="1:27" s="14" customFormat="1" ht="18.75" customHeight="1" x14ac:dyDescent="0.2">
      <c r="E10" s="353" t="s">
        <v>6</v>
      </c>
      <c r="F10" s="353"/>
      <c r="G10" s="353"/>
      <c r="H10" s="353"/>
      <c r="I10" s="353"/>
      <c r="J10" s="353"/>
      <c r="K10" s="353"/>
      <c r="L10" s="353"/>
      <c r="M10" s="353"/>
      <c r="N10" s="353"/>
      <c r="O10" s="353"/>
      <c r="P10" s="353"/>
      <c r="Q10" s="353"/>
      <c r="R10" s="353"/>
      <c r="S10" s="353"/>
      <c r="T10" s="353"/>
      <c r="U10" s="353"/>
      <c r="V10" s="353"/>
      <c r="W10" s="353"/>
      <c r="X10" s="353"/>
      <c r="Y10" s="353"/>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2" t="str">
        <f>'1. паспорт местоположение'!A12</f>
        <v>L_21-08</v>
      </c>
      <c r="F12" s="352"/>
      <c r="G12" s="352"/>
      <c r="H12" s="352"/>
      <c r="I12" s="352"/>
      <c r="J12" s="352"/>
      <c r="K12" s="352"/>
      <c r="L12" s="352"/>
      <c r="M12" s="352"/>
      <c r="N12" s="352"/>
      <c r="O12" s="352"/>
      <c r="P12" s="352"/>
      <c r="Q12" s="352"/>
      <c r="R12" s="352"/>
      <c r="S12" s="352"/>
      <c r="T12" s="352"/>
      <c r="U12" s="352"/>
      <c r="V12" s="352"/>
      <c r="W12" s="352"/>
      <c r="X12" s="352"/>
      <c r="Y12" s="352"/>
    </row>
    <row r="13" spans="1:27" s="14" customFormat="1" ht="18.75" customHeight="1" x14ac:dyDescent="0.2">
      <c r="E13" s="353" t="s">
        <v>5</v>
      </c>
      <c r="F13" s="353"/>
      <c r="G13" s="353"/>
      <c r="H13" s="353"/>
      <c r="I13" s="353"/>
      <c r="J13" s="353"/>
      <c r="K13" s="353"/>
      <c r="L13" s="353"/>
      <c r="M13" s="353"/>
      <c r="N13" s="353"/>
      <c r="O13" s="353"/>
      <c r="P13" s="353"/>
      <c r="Q13" s="353"/>
      <c r="R13" s="353"/>
      <c r="S13" s="353"/>
      <c r="T13" s="353"/>
      <c r="U13" s="353"/>
      <c r="V13" s="353"/>
      <c r="W13" s="353"/>
      <c r="X13" s="353"/>
      <c r="Y13" s="353"/>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2" t="str">
        <f>'1. паспорт местоположение'!A15</f>
        <v>Строительство сетей электроснабжения дошкольного учреждения в г. Калининграде , ул. Флагманская</v>
      </c>
      <c r="F15" s="352"/>
      <c r="G15" s="352"/>
      <c r="H15" s="352"/>
      <c r="I15" s="352"/>
      <c r="J15" s="352"/>
      <c r="K15" s="352"/>
      <c r="L15" s="352"/>
      <c r="M15" s="352"/>
      <c r="N15" s="352"/>
      <c r="O15" s="352"/>
      <c r="P15" s="352"/>
      <c r="Q15" s="352"/>
      <c r="R15" s="352"/>
      <c r="S15" s="352"/>
      <c r="T15" s="352"/>
      <c r="U15" s="352"/>
      <c r="V15" s="352"/>
      <c r="W15" s="352"/>
      <c r="X15" s="352"/>
      <c r="Y15" s="352"/>
    </row>
    <row r="16" spans="1:27" s="106" customFormat="1" ht="15" customHeight="1" x14ac:dyDescent="0.2">
      <c r="E16" s="353" t="s">
        <v>4</v>
      </c>
      <c r="F16" s="353"/>
      <c r="G16" s="353"/>
      <c r="H16" s="353"/>
      <c r="I16" s="353"/>
      <c r="J16" s="353"/>
      <c r="K16" s="353"/>
      <c r="L16" s="353"/>
      <c r="M16" s="353"/>
      <c r="N16" s="353"/>
      <c r="O16" s="353"/>
      <c r="P16" s="353"/>
      <c r="Q16" s="353"/>
      <c r="R16" s="353"/>
      <c r="S16" s="353"/>
      <c r="T16" s="353"/>
      <c r="U16" s="353"/>
      <c r="V16" s="353"/>
      <c r="W16" s="353"/>
      <c r="X16" s="353"/>
      <c r="Y16" s="353"/>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389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27" customFormat="1" ht="21" customHeight="1" x14ac:dyDescent="0.25"/>
    <row r="21" spans="1:27" ht="15.75" customHeight="1" x14ac:dyDescent="0.25">
      <c r="A21" s="375" t="s">
        <v>3</v>
      </c>
      <c r="B21" s="371" t="s">
        <v>396</v>
      </c>
      <c r="C21" s="372"/>
      <c r="D21" s="371" t="s">
        <v>398</v>
      </c>
      <c r="E21" s="372"/>
      <c r="F21" s="363" t="s">
        <v>88</v>
      </c>
      <c r="G21" s="365"/>
      <c r="H21" s="365"/>
      <c r="I21" s="364"/>
      <c r="J21" s="375" t="s">
        <v>399</v>
      </c>
      <c r="K21" s="371" t="s">
        <v>400</v>
      </c>
      <c r="L21" s="372"/>
      <c r="M21" s="371" t="s">
        <v>401</v>
      </c>
      <c r="N21" s="372"/>
      <c r="O21" s="371" t="s">
        <v>388</v>
      </c>
      <c r="P21" s="372"/>
      <c r="Q21" s="371" t="s">
        <v>121</v>
      </c>
      <c r="R21" s="372"/>
      <c r="S21" s="375" t="s">
        <v>120</v>
      </c>
      <c r="T21" s="375" t="s">
        <v>402</v>
      </c>
      <c r="U21" s="375" t="s">
        <v>397</v>
      </c>
      <c r="V21" s="371" t="s">
        <v>119</v>
      </c>
      <c r="W21" s="372"/>
      <c r="X21" s="363" t="s">
        <v>111</v>
      </c>
      <c r="Y21" s="365"/>
      <c r="Z21" s="363" t="s">
        <v>110</v>
      </c>
      <c r="AA21" s="365"/>
    </row>
    <row r="22" spans="1:27" ht="216" customHeight="1" x14ac:dyDescent="0.25">
      <c r="A22" s="378"/>
      <c r="B22" s="373"/>
      <c r="C22" s="374"/>
      <c r="D22" s="373"/>
      <c r="E22" s="374"/>
      <c r="F22" s="363" t="s">
        <v>118</v>
      </c>
      <c r="G22" s="364"/>
      <c r="H22" s="363" t="s">
        <v>117</v>
      </c>
      <c r="I22" s="364"/>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633</v>
      </c>
      <c r="D25" s="93" t="s">
        <v>297</v>
      </c>
      <c r="E25" s="93" t="s">
        <v>535</v>
      </c>
      <c r="F25" s="93" t="s">
        <v>535</v>
      </c>
      <c r="G25" s="93">
        <v>15</v>
      </c>
      <c r="H25" s="93" t="s">
        <v>535</v>
      </c>
      <c r="I25" s="93">
        <v>15</v>
      </c>
      <c r="J25" s="93">
        <v>2021</v>
      </c>
      <c r="K25" s="93" t="s">
        <v>535</v>
      </c>
      <c r="L25" s="93" t="s">
        <v>535</v>
      </c>
      <c r="M25" s="93" t="s">
        <v>535</v>
      </c>
      <c r="N25" s="93" t="s">
        <v>648</v>
      </c>
      <c r="O25" s="93" t="s">
        <v>535</v>
      </c>
      <c r="P25" s="93" t="s">
        <v>583</v>
      </c>
      <c r="Q25" s="93" t="s">
        <v>535</v>
      </c>
      <c r="R25" s="93">
        <v>0.75</v>
      </c>
      <c r="S25" s="93" t="s">
        <v>535</v>
      </c>
      <c r="T25" s="93" t="s">
        <v>535</v>
      </c>
      <c r="U25" s="93" t="s">
        <v>535</v>
      </c>
      <c r="V25" s="93" t="s">
        <v>535</v>
      </c>
      <c r="W25" s="93" t="s">
        <v>535</v>
      </c>
      <c r="X25" s="93" t="s">
        <v>535</v>
      </c>
      <c r="Y25" s="93" t="s">
        <v>535</v>
      </c>
      <c r="Z25" s="93" t="s">
        <v>535</v>
      </c>
      <c r="AA25" s="93" t="s">
        <v>535</v>
      </c>
    </row>
    <row r="26" spans="1:27" s="27" customFormat="1" x14ac:dyDescent="0.25">
      <c r="A26" s="93"/>
      <c r="B26" s="93"/>
      <c r="C26" s="93" t="s">
        <v>647</v>
      </c>
      <c r="D26" s="93"/>
      <c r="E26" s="93"/>
      <c r="F26" s="93"/>
      <c r="G26" s="93">
        <v>15</v>
      </c>
      <c r="H26" s="93"/>
      <c r="I26" s="93">
        <v>15</v>
      </c>
      <c r="J26" s="93">
        <v>2021</v>
      </c>
      <c r="K26" s="93" t="s">
        <v>535</v>
      </c>
      <c r="L26" s="93" t="s">
        <v>535</v>
      </c>
      <c r="M26" s="93" t="s">
        <v>535</v>
      </c>
      <c r="N26" s="93" t="s">
        <v>648</v>
      </c>
      <c r="O26" s="93"/>
      <c r="P26" s="93" t="s">
        <v>583</v>
      </c>
      <c r="Q26" s="93"/>
      <c r="R26" s="93">
        <v>0.75</v>
      </c>
      <c r="S26" s="93"/>
      <c r="T26" s="93"/>
      <c r="U26" s="93"/>
      <c r="V26" s="93"/>
      <c r="W26" s="93"/>
      <c r="X26" s="93"/>
      <c r="Y26" s="93"/>
      <c r="Z26" s="93"/>
      <c r="AA26" s="93"/>
    </row>
    <row r="27" spans="1:27" ht="30" customHeight="1"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7" t="str">
        <f>'1. паспорт местоположение'!A5:C5</f>
        <v>Год раскрытия информации: 2023 год</v>
      </c>
      <c r="B5" s="347"/>
      <c r="C5" s="347"/>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7" t="s">
        <v>7</v>
      </c>
      <c r="B7" s="357"/>
      <c r="C7" s="357"/>
      <c r="D7" s="107"/>
      <c r="E7" s="107"/>
      <c r="F7" s="107"/>
      <c r="G7" s="107"/>
      <c r="H7" s="107"/>
      <c r="I7" s="107"/>
      <c r="J7" s="107"/>
      <c r="K7" s="107"/>
      <c r="L7" s="107"/>
      <c r="M7" s="107"/>
      <c r="N7" s="107"/>
      <c r="O7" s="107"/>
      <c r="P7" s="107"/>
      <c r="Q7" s="107"/>
      <c r="R7" s="107"/>
      <c r="S7" s="107"/>
      <c r="T7" s="107"/>
      <c r="U7" s="107"/>
    </row>
    <row r="8" spans="1:29" s="14" customFormat="1" ht="18.75" x14ac:dyDescent="0.2">
      <c r="A8" s="357"/>
      <c r="B8" s="357"/>
      <c r="C8" s="357"/>
      <c r="D8" s="118"/>
      <c r="E8" s="118"/>
      <c r="F8" s="118"/>
      <c r="G8" s="118"/>
      <c r="H8" s="107"/>
      <c r="I8" s="107"/>
      <c r="J8" s="107"/>
      <c r="K8" s="107"/>
      <c r="L8" s="107"/>
      <c r="M8" s="107"/>
      <c r="N8" s="107"/>
      <c r="O8" s="107"/>
      <c r="P8" s="107"/>
      <c r="Q8" s="107"/>
      <c r="R8" s="107"/>
      <c r="S8" s="107"/>
      <c r="T8" s="107"/>
      <c r="U8" s="107"/>
    </row>
    <row r="9" spans="1:29" s="14" customFormat="1" ht="18.75" x14ac:dyDescent="0.2">
      <c r="A9" s="352" t="str">
        <f>'1. паспорт местоположение'!A9:C9</f>
        <v xml:space="preserve">Акционерное общество "Западная энергетическая компания" </v>
      </c>
      <c r="B9" s="352"/>
      <c r="C9" s="352"/>
      <c r="D9" s="109"/>
      <c r="E9" s="109"/>
      <c r="F9" s="109"/>
      <c r="G9" s="109"/>
      <c r="H9" s="107"/>
      <c r="I9" s="107"/>
      <c r="J9" s="107"/>
      <c r="K9" s="107"/>
      <c r="L9" s="107"/>
      <c r="M9" s="107"/>
      <c r="N9" s="107"/>
      <c r="O9" s="107"/>
      <c r="P9" s="107"/>
      <c r="Q9" s="107"/>
      <c r="R9" s="107"/>
      <c r="S9" s="107"/>
      <c r="T9" s="107"/>
      <c r="U9" s="107"/>
    </row>
    <row r="10" spans="1:29" s="14" customFormat="1" ht="18.75" x14ac:dyDescent="0.2">
      <c r="A10" s="353" t="s">
        <v>6</v>
      </c>
      <c r="B10" s="353"/>
      <c r="C10" s="353"/>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7"/>
      <c r="B11" s="357"/>
      <c r="C11" s="35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2" t="str">
        <f>'1. паспорт местоположение'!A12:C12</f>
        <v>L_21-08</v>
      </c>
      <c r="B12" s="352"/>
      <c r="C12" s="352"/>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3" t="s">
        <v>5</v>
      </c>
      <c r="B13" s="353"/>
      <c r="C13" s="353"/>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4"/>
      <c r="B14" s="354"/>
      <c r="C14" s="354"/>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9" t="str">
        <f>'1. паспорт местоположение'!A15:C15</f>
        <v>Строительство сетей электроснабжения дошкольного учреждения в г. Калининграде , ул. Флагманская</v>
      </c>
      <c r="B15" s="379"/>
      <c r="C15" s="379"/>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3" t="s">
        <v>4</v>
      </c>
      <c r="B16" s="353"/>
      <c r="C16" s="353"/>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4"/>
      <c r="B17" s="354"/>
      <c r="C17" s="354"/>
      <c r="D17" s="108"/>
      <c r="E17" s="108"/>
      <c r="F17" s="108"/>
      <c r="G17" s="108"/>
      <c r="H17" s="108"/>
      <c r="I17" s="108"/>
      <c r="J17" s="108"/>
      <c r="K17" s="108"/>
      <c r="L17" s="108"/>
      <c r="M17" s="108"/>
      <c r="N17" s="108"/>
      <c r="O17" s="108"/>
      <c r="P17" s="108"/>
      <c r="Q17" s="108"/>
      <c r="R17" s="108"/>
    </row>
    <row r="18" spans="1:21" s="106" customFormat="1" ht="27.75" customHeight="1" x14ac:dyDescent="0.2">
      <c r="A18" s="355" t="s">
        <v>381</v>
      </c>
      <c r="B18" s="355"/>
      <c r="C18" s="355"/>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tr">
        <f>A15</f>
        <v>Строительство сетей электроснабжения дошкольного учреждения в г. Калининграде , ул. Флагманская</v>
      </c>
      <c r="D22" s="110"/>
      <c r="E22" s="110"/>
      <c r="F22" s="108"/>
      <c r="G22" s="108"/>
      <c r="H22" s="108"/>
      <c r="I22" s="108"/>
      <c r="J22" s="108"/>
      <c r="K22" s="108"/>
      <c r="L22" s="108"/>
      <c r="M22" s="108"/>
      <c r="N22" s="108"/>
      <c r="O22" s="108"/>
      <c r="P22" s="108"/>
    </row>
    <row r="23" spans="1:21" ht="63" customHeight="1" x14ac:dyDescent="0.25">
      <c r="A23" s="120" t="s">
        <v>61</v>
      </c>
      <c r="B23" s="121" t="s">
        <v>58</v>
      </c>
      <c r="C23" s="122" t="s">
        <v>649</v>
      </c>
    </row>
    <row r="24" spans="1:21" ht="89.25" customHeight="1" x14ac:dyDescent="0.25">
      <c r="A24" s="120" t="s">
        <v>60</v>
      </c>
      <c r="B24" s="121" t="s">
        <v>413</v>
      </c>
      <c r="C24" s="122" t="s">
        <v>656</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650</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07"/>
      <c r="AB6" s="107"/>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07"/>
      <c r="AB7" s="107"/>
    </row>
    <row r="8" spans="1:28" ht="15.75"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09"/>
      <c r="AB8" s="109"/>
    </row>
    <row r="9" spans="1:28" ht="15.75"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10"/>
      <c r="AB9" s="110"/>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07"/>
      <c r="AB10" s="107"/>
    </row>
    <row r="11" spans="1:28" ht="15.75" x14ac:dyDescent="0.25">
      <c r="A11" s="358" t="str">
        <f>'1. паспорт местоположение'!A12:C12</f>
        <v>L_21-08</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09"/>
      <c r="AB11" s="109"/>
    </row>
    <row r="12" spans="1:28" ht="15.75"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10"/>
      <c r="AB12" s="110"/>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24"/>
      <c r="AB13" s="124"/>
    </row>
    <row r="14" spans="1:28" ht="15.75" x14ac:dyDescent="0.25">
      <c r="A14" s="352" t="str">
        <f>'1. паспорт местоположение'!A15:C15</f>
        <v>Строительство сетей электроснабжения дошкольного учреждения в г. Калининграде , ул. Флагманская</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09"/>
      <c r="AB14" s="109"/>
    </row>
    <row r="15" spans="1:28" ht="15.75"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10"/>
      <c r="AB15" s="110"/>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25"/>
      <c r="AB16" s="125"/>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25"/>
      <c r="AB17" s="125"/>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25"/>
      <c r="AB18" s="125"/>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25"/>
      <c r="AB19" s="125"/>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25"/>
      <c r="AB20" s="125"/>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25"/>
      <c r="AB21" s="125"/>
    </row>
    <row r="22" spans="1:28" x14ac:dyDescent="0.25">
      <c r="A22" s="381" t="s">
        <v>412</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26"/>
      <c r="AB22" s="126"/>
    </row>
    <row r="23" spans="1:28" ht="32.25" customHeight="1" x14ac:dyDescent="0.25">
      <c r="A23" s="383" t="s">
        <v>295</v>
      </c>
      <c r="B23" s="384"/>
      <c r="C23" s="384"/>
      <c r="D23" s="384"/>
      <c r="E23" s="384"/>
      <c r="F23" s="384"/>
      <c r="G23" s="384"/>
      <c r="H23" s="384"/>
      <c r="I23" s="384"/>
      <c r="J23" s="384"/>
      <c r="K23" s="384"/>
      <c r="L23" s="385"/>
      <c r="M23" s="382" t="s">
        <v>296</v>
      </c>
      <c r="N23" s="382"/>
      <c r="O23" s="382"/>
      <c r="P23" s="382"/>
      <c r="Q23" s="382"/>
      <c r="R23" s="382"/>
      <c r="S23" s="382"/>
      <c r="T23" s="382"/>
      <c r="U23" s="382"/>
      <c r="V23" s="382"/>
      <c r="W23" s="382"/>
      <c r="X23" s="382"/>
      <c r="Y23" s="382"/>
      <c r="Z23" s="382"/>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7" t="s">
        <v>7</v>
      </c>
      <c r="B7" s="357"/>
      <c r="C7" s="357"/>
      <c r="D7" s="357"/>
      <c r="E7" s="357"/>
      <c r="F7" s="357"/>
      <c r="G7" s="357"/>
      <c r="H7" s="357"/>
      <c r="I7" s="357"/>
      <c r="J7" s="357"/>
      <c r="K7" s="357"/>
      <c r="L7" s="357"/>
      <c r="M7" s="357"/>
      <c r="N7" s="357"/>
      <c r="O7" s="357"/>
      <c r="P7" s="107"/>
      <c r="Q7" s="107"/>
      <c r="R7" s="107"/>
      <c r="S7" s="107"/>
      <c r="T7" s="107"/>
      <c r="U7" s="107"/>
      <c r="V7" s="107"/>
      <c r="W7" s="107"/>
      <c r="X7" s="107"/>
      <c r="Y7" s="107"/>
      <c r="Z7" s="107"/>
    </row>
    <row r="8" spans="1:28" s="14" customFormat="1" ht="18.75" x14ac:dyDescent="0.2">
      <c r="A8" s="357"/>
      <c r="B8" s="357"/>
      <c r="C8" s="357"/>
      <c r="D8" s="357"/>
      <c r="E8" s="357"/>
      <c r="F8" s="357"/>
      <c r="G8" s="357"/>
      <c r="H8" s="357"/>
      <c r="I8" s="357"/>
      <c r="J8" s="357"/>
      <c r="K8" s="357"/>
      <c r="L8" s="357"/>
      <c r="M8" s="357"/>
      <c r="N8" s="357"/>
      <c r="O8" s="357"/>
      <c r="P8" s="107"/>
      <c r="Q8" s="107"/>
      <c r="R8" s="107"/>
      <c r="S8" s="107"/>
      <c r="T8" s="107"/>
      <c r="U8" s="107"/>
      <c r="V8" s="107"/>
      <c r="W8" s="107"/>
      <c r="X8" s="107"/>
      <c r="Y8" s="107"/>
      <c r="Z8" s="107"/>
    </row>
    <row r="9" spans="1:28" s="14" customFormat="1" ht="18.75" x14ac:dyDescent="0.2">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107"/>
      <c r="Q9" s="107"/>
      <c r="R9" s="107"/>
      <c r="S9" s="107"/>
      <c r="T9" s="107"/>
      <c r="U9" s="107"/>
      <c r="V9" s="107"/>
      <c r="W9" s="107"/>
      <c r="X9" s="107"/>
      <c r="Y9" s="107"/>
      <c r="Z9" s="107"/>
    </row>
    <row r="10" spans="1:28" s="14" customFormat="1" ht="18.75" x14ac:dyDescent="0.2">
      <c r="A10" s="353" t="s">
        <v>6</v>
      </c>
      <c r="B10" s="353"/>
      <c r="C10" s="353"/>
      <c r="D10" s="353"/>
      <c r="E10" s="353"/>
      <c r="F10" s="353"/>
      <c r="G10" s="353"/>
      <c r="H10" s="353"/>
      <c r="I10" s="353"/>
      <c r="J10" s="353"/>
      <c r="K10" s="353"/>
      <c r="L10" s="353"/>
      <c r="M10" s="353"/>
      <c r="N10" s="353"/>
      <c r="O10" s="353"/>
      <c r="P10" s="107"/>
      <c r="Q10" s="107"/>
      <c r="R10" s="107"/>
      <c r="S10" s="107"/>
      <c r="T10" s="107"/>
      <c r="U10" s="107"/>
      <c r="V10" s="107"/>
      <c r="W10" s="107"/>
      <c r="X10" s="107"/>
      <c r="Y10" s="107"/>
      <c r="Z10" s="107"/>
    </row>
    <row r="11" spans="1:28" s="14" customFormat="1" ht="18.75" x14ac:dyDescent="0.2">
      <c r="A11" s="357"/>
      <c r="B11" s="357"/>
      <c r="C11" s="357"/>
      <c r="D11" s="357"/>
      <c r="E11" s="357"/>
      <c r="F11" s="357"/>
      <c r="G11" s="357"/>
      <c r="H11" s="357"/>
      <c r="I11" s="357"/>
      <c r="J11" s="357"/>
      <c r="K11" s="357"/>
      <c r="L11" s="357"/>
      <c r="M11" s="357"/>
      <c r="N11" s="357"/>
      <c r="O11" s="357"/>
      <c r="P11" s="107"/>
      <c r="Q11" s="107"/>
      <c r="R11" s="107"/>
      <c r="S11" s="107"/>
      <c r="T11" s="107"/>
      <c r="U11" s="107"/>
      <c r="V11" s="107"/>
      <c r="W11" s="107"/>
      <c r="X11" s="107"/>
      <c r="Y11" s="107"/>
      <c r="Z11" s="107"/>
    </row>
    <row r="12" spans="1:28" s="14" customFormat="1" ht="18.75" x14ac:dyDescent="0.2">
      <c r="A12" s="358" t="str">
        <f>'1. паспорт местоположение'!A12:C12</f>
        <v>L_21-08</v>
      </c>
      <c r="B12" s="358"/>
      <c r="C12" s="358"/>
      <c r="D12" s="358"/>
      <c r="E12" s="358"/>
      <c r="F12" s="358"/>
      <c r="G12" s="358"/>
      <c r="H12" s="358"/>
      <c r="I12" s="358"/>
      <c r="J12" s="358"/>
      <c r="K12" s="358"/>
      <c r="L12" s="358"/>
      <c r="M12" s="358"/>
      <c r="N12" s="358"/>
      <c r="O12" s="358"/>
      <c r="P12" s="107"/>
      <c r="Q12" s="107"/>
      <c r="R12" s="107"/>
      <c r="S12" s="107"/>
      <c r="T12" s="107"/>
      <c r="U12" s="107"/>
      <c r="V12" s="107"/>
      <c r="W12" s="107"/>
      <c r="X12" s="107"/>
      <c r="Y12" s="107"/>
      <c r="Z12" s="107"/>
    </row>
    <row r="13" spans="1:28" s="14" customFormat="1" ht="18.75" x14ac:dyDescent="0.2">
      <c r="A13" s="353" t="s">
        <v>5</v>
      </c>
      <c r="B13" s="353"/>
      <c r="C13" s="353"/>
      <c r="D13" s="353"/>
      <c r="E13" s="353"/>
      <c r="F13" s="353"/>
      <c r="G13" s="353"/>
      <c r="H13" s="353"/>
      <c r="I13" s="353"/>
      <c r="J13" s="353"/>
      <c r="K13" s="353"/>
      <c r="L13" s="353"/>
      <c r="M13" s="353"/>
      <c r="N13" s="353"/>
      <c r="O13" s="353"/>
      <c r="P13" s="107"/>
      <c r="Q13" s="107"/>
      <c r="R13" s="107"/>
      <c r="S13" s="107"/>
      <c r="T13" s="107"/>
      <c r="U13" s="107"/>
      <c r="V13" s="107"/>
      <c r="W13" s="107"/>
      <c r="X13" s="107"/>
      <c r="Y13" s="107"/>
      <c r="Z13" s="107"/>
    </row>
    <row r="14" spans="1:28" s="14" customFormat="1" ht="15.75" customHeight="1" x14ac:dyDescent="0.2">
      <c r="A14" s="354"/>
      <c r="B14" s="354"/>
      <c r="C14" s="354"/>
      <c r="D14" s="354"/>
      <c r="E14" s="354"/>
      <c r="F14" s="354"/>
      <c r="G14" s="354"/>
      <c r="H14" s="354"/>
      <c r="I14" s="354"/>
      <c r="J14" s="354"/>
      <c r="K14" s="354"/>
      <c r="L14" s="354"/>
      <c r="M14" s="354"/>
      <c r="N14" s="354"/>
      <c r="O14" s="354"/>
      <c r="P14" s="108"/>
      <c r="Q14" s="108"/>
      <c r="R14" s="108"/>
      <c r="S14" s="108"/>
      <c r="T14" s="108"/>
      <c r="U14" s="108"/>
      <c r="V14" s="108"/>
      <c r="W14" s="108"/>
      <c r="X14" s="108"/>
      <c r="Y14" s="108"/>
      <c r="Z14" s="108"/>
    </row>
    <row r="15" spans="1:28" s="106" customFormat="1" ht="15.75" x14ac:dyDescent="0.2">
      <c r="A15" s="352" t="str">
        <f>'1. паспорт местоположение'!A15:C15</f>
        <v>Строительство сетей электроснабжения дошкольного учреждения в г. Калининграде , ул. Флагманская</v>
      </c>
      <c r="B15" s="352"/>
      <c r="C15" s="352"/>
      <c r="D15" s="352"/>
      <c r="E15" s="352"/>
      <c r="F15" s="352"/>
      <c r="G15" s="352"/>
      <c r="H15" s="352"/>
      <c r="I15" s="352"/>
      <c r="J15" s="352"/>
      <c r="K15" s="352"/>
      <c r="L15" s="352"/>
      <c r="M15" s="352"/>
      <c r="N15" s="352"/>
      <c r="O15" s="352"/>
      <c r="P15" s="109"/>
      <c r="Q15" s="109"/>
      <c r="R15" s="109"/>
      <c r="S15" s="109"/>
      <c r="T15" s="109"/>
      <c r="U15" s="109"/>
      <c r="V15" s="109"/>
      <c r="W15" s="109"/>
      <c r="X15" s="109"/>
      <c r="Y15" s="109"/>
      <c r="Z15" s="109"/>
    </row>
    <row r="16" spans="1:28" s="106" customFormat="1" ht="15" customHeight="1" x14ac:dyDescent="0.2">
      <c r="A16" s="353" t="s">
        <v>4</v>
      </c>
      <c r="B16" s="353"/>
      <c r="C16" s="353"/>
      <c r="D16" s="353"/>
      <c r="E16" s="353"/>
      <c r="F16" s="353"/>
      <c r="G16" s="353"/>
      <c r="H16" s="353"/>
      <c r="I16" s="353"/>
      <c r="J16" s="353"/>
      <c r="K16" s="353"/>
      <c r="L16" s="353"/>
      <c r="M16" s="353"/>
      <c r="N16" s="353"/>
      <c r="O16" s="353"/>
      <c r="P16" s="110"/>
      <c r="Q16" s="110"/>
      <c r="R16" s="110"/>
      <c r="S16" s="110"/>
      <c r="T16" s="110"/>
      <c r="U16" s="110"/>
      <c r="V16" s="110"/>
      <c r="W16" s="110"/>
      <c r="X16" s="110"/>
      <c r="Y16" s="110"/>
      <c r="Z16" s="110"/>
    </row>
    <row r="17" spans="1:26" s="106" customFormat="1" ht="15" customHeight="1" x14ac:dyDescent="0.2">
      <c r="A17" s="354"/>
      <c r="B17" s="354"/>
      <c r="C17" s="354"/>
      <c r="D17" s="354"/>
      <c r="E17" s="354"/>
      <c r="F17" s="354"/>
      <c r="G17" s="354"/>
      <c r="H17" s="354"/>
      <c r="I17" s="354"/>
      <c r="J17" s="354"/>
      <c r="K17" s="354"/>
      <c r="L17" s="354"/>
      <c r="M17" s="354"/>
      <c r="N17" s="354"/>
      <c r="O17" s="354"/>
      <c r="P17" s="108"/>
      <c r="Q17" s="108"/>
      <c r="R17" s="108"/>
      <c r="S17" s="108"/>
      <c r="T17" s="108"/>
      <c r="U17" s="108"/>
      <c r="V17" s="108"/>
      <c r="W17" s="108"/>
    </row>
    <row r="18" spans="1:26" s="106" customFormat="1" ht="91.5" customHeight="1" x14ac:dyDescent="0.2">
      <c r="A18" s="386" t="s">
        <v>390</v>
      </c>
      <c r="B18" s="386"/>
      <c r="C18" s="386"/>
      <c r="D18" s="386"/>
      <c r="E18" s="386"/>
      <c r="F18" s="386"/>
      <c r="G18" s="386"/>
      <c r="H18" s="386"/>
      <c r="I18" s="386"/>
      <c r="J18" s="386"/>
      <c r="K18" s="386"/>
      <c r="L18" s="386"/>
      <c r="M18" s="386"/>
      <c r="N18" s="386"/>
      <c r="O18" s="386"/>
      <c r="P18" s="111"/>
      <c r="Q18" s="111"/>
      <c r="R18" s="111"/>
      <c r="S18" s="111"/>
      <c r="T18" s="111"/>
      <c r="U18" s="111"/>
      <c r="V18" s="111"/>
      <c r="W18" s="111"/>
      <c r="X18" s="111"/>
      <c r="Y18" s="111"/>
      <c r="Z18" s="111"/>
    </row>
    <row r="19" spans="1:26" s="106"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08"/>
      <c r="Q19" s="108"/>
      <c r="R19" s="108"/>
      <c r="S19" s="108"/>
      <c r="T19" s="108"/>
      <c r="U19" s="108"/>
      <c r="V19" s="108"/>
      <c r="W19" s="108"/>
    </row>
    <row r="20" spans="1:26" s="106" customFormat="1" ht="51" customHeight="1" x14ac:dyDescent="0.2">
      <c r="A20" s="387"/>
      <c r="B20" s="387"/>
      <c r="C20" s="387"/>
      <c r="D20" s="387"/>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624</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6" zoomScale="90" zoomScaleNormal="90" workbookViewId="0">
      <selection activeCell="G53" sqref="G53"/>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6" t="str">
        <f>'1. паспорт местоположение'!A5:C5</f>
        <v>Год раскрытия информации: 2023 год</v>
      </c>
      <c r="B5" s="396"/>
      <c r="C5" s="396"/>
      <c r="D5" s="396"/>
      <c r="E5" s="396"/>
      <c r="F5" s="396"/>
      <c r="G5" s="396"/>
      <c r="H5" s="396"/>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7" t="s">
        <v>7</v>
      </c>
      <c r="B7" s="397"/>
      <c r="C7" s="397"/>
      <c r="D7" s="397"/>
      <c r="E7" s="397"/>
      <c r="F7" s="397"/>
      <c r="G7" s="397"/>
      <c r="H7" s="397"/>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8" t="str">
        <f>'1. паспорт местоположение'!A9:C10</f>
        <v xml:space="preserve">Акционерное общество "Западная энергетическая компания" </v>
      </c>
      <c r="B9" s="398"/>
      <c r="C9" s="398"/>
      <c r="D9" s="398"/>
      <c r="E9" s="398"/>
      <c r="F9" s="398"/>
      <c r="G9" s="398"/>
      <c r="H9" s="398"/>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399" t="s">
        <v>6</v>
      </c>
      <c r="B10" s="399"/>
      <c r="C10" s="399"/>
      <c r="D10" s="399"/>
      <c r="E10" s="399"/>
      <c r="F10" s="399"/>
      <c r="G10" s="399"/>
      <c r="H10" s="399"/>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8" t="str">
        <f>'1. паспорт местоположение'!A12:C12</f>
        <v>L_21-08</v>
      </c>
      <c r="B12" s="398"/>
      <c r="C12" s="398"/>
      <c r="D12" s="398"/>
      <c r="E12" s="398"/>
      <c r="F12" s="398"/>
      <c r="G12" s="398"/>
      <c r="H12" s="39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399" t="s">
        <v>5</v>
      </c>
      <c r="B13" s="399"/>
      <c r="C13" s="399"/>
      <c r="D13" s="399"/>
      <c r="E13" s="399"/>
      <c r="F13" s="399"/>
      <c r="G13" s="399"/>
      <c r="H13" s="399"/>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0" t="str">
        <f>'1. паспорт местоположение'!A15:C15</f>
        <v>Строительство сетей электроснабжения дошкольного учреждения в г. Калининграде , ул. Флагманская</v>
      </c>
      <c r="B15" s="400"/>
      <c r="C15" s="400"/>
      <c r="D15" s="400"/>
      <c r="E15" s="400"/>
      <c r="F15" s="400"/>
      <c r="G15" s="400"/>
      <c r="H15" s="400"/>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399" t="s">
        <v>4</v>
      </c>
      <c r="B16" s="399"/>
      <c r="C16" s="399"/>
      <c r="D16" s="399"/>
      <c r="E16" s="399"/>
      <c r="F16" s="399"/>
      <c r="G16" s="399"/>
      <c r="H16" s="399"/>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8" t="s">
        <v>391</v>
      </c>
      <c r="B18" s="398"/>
      <c r="C18" s="398"/>
      <c r="D18" s="398"/>
      <c r="E18" s="398"/>
      <c r="F18" s="398"/>
      <c r="G18" s="398"/>
      <c r="H18" s="398"/>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24194283</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1" t="s">
        <v>285</v>
      </c>
      <c r="E28" s="392"/>
      <c r="F28" s="393"/>
      <c r="G28" s="394" t="str">
        <f>IF(SUM(B89:L89)=0,"не окупается",SUM(B89:L89))</f>
        <v>не окупается</v>
      </c>
      <c r="H28" s="395"/>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24194.282999999999</v>
      </c>
      <c r="C29" s="189"/>
      <c r="D29" s="391" t="s">
        <v>283</v>
      </c>
      <c r="E29" s="392"/>
      <c r="F29" s="393"/>
      <c r="G29" s="394" t="str">
        <f>IF(SUM(B90:L90)=0,"не окупается",SUM(B90:L90))</f>
        <v>не окупается</v>
      </c>
      <c r="H29" s="395"/>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1" t="s">
        <v>544</v>
      </c>
      <c r="E30" s="392"/>
      <c r="F30" s="393"/>
      <c r="G30" s="403">
        <f>L87</f>
        <v>-20181993.209206495</v>
      </c>
      <c r="H30" s="404"/>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5"/>
      <c r="E31" s="406"/>
      <c r="F31" s="407"/>
      <c r="G31" s="405"/>
      <c r="H31" s="407"/>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545</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f>G136</f>
        <v>4.9000000000000002E-2</v>
      </c>
      <c r="C48" s="237">
        <f t="shared" ref="C48:F48" si="1">H136</f>
        <v>0.13900000000000001</v>
      </c>
      <c r="D48" s="237">
        <f t="shared" si="1"/>
        <v>5.8999999999999997E-2</v>
      </c>
      <c r="E48" s="237">
        <f t="shared" si="1"/>
        <v>5.2999999999999999E-2</v>
      </c>
      <c r="F48" s="237">
        <f t="shared" si="1"/>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2">AJ136</f>
        <v>4.7E-2</v>
      </c>
      <c r="AF48" s="237">
        <f t="shared" si="2"/>
        <v>4.7E-2</v>
      </c>
      <c r="AG48" s="237">
        <f t="shared" si="2"/>
        <v>4.7E-2</v>
      </c>
      <c r="AH48" s="237">
        <f t="shared" si="2"/>
        <v>4.7E-2</v>
      </c>
      <c r="AI48" s="237">
        <f t="shared" si="2"/>
        <v>4.7E-2</v>
      </c>
      <c r="AJ48" s="237">
        <f t="shared" si="2"/>
        <v>4.7E-2</v>
      </c>
      <c r="AK48" s="237">
        <f t="shared" si="2"/>
        <v>4.7E-2</v>
      </c>
      <c r="AL48" s="237">
        <f t="shared" si="2"/>
        <v>4.7E-2</v>
      </c>
      <c r="AM48" s="237">
        <f t="shared" si="2"/>
        <v>4.7E-2</v>
      </c>
      <c r="AN48" s="237">
        <f t="shared" si="2"/>
        <v>4.7E-2</v>
      </c>
      <c r="AO48" s="237">
        <f t="shared" si="2"/>
        <v>4.7E-2</v>
      </c>
      <c r="AP48" s="237">
        <f t="shared" si="2"/>
        <v>4.7E-2</v>
      </c>
    </row>
    <row r="49" spans="1:45" x14ac:dyDescent="0.2">
      <c r="A49" s="236" t="s">
        <v>268</v>
      </c>
      <c r="B49" s="237">
        <f>G137</f>
        <v>0.24577333337599994</v>
      </c>
      <c r="C49" s="237">
        <f t="shared" ref="C49:AP49" si="3">H137</f>
        <v>0.41893582671526386</v>
      </c>
      <c r="D49" s="237">
        <f t="shared" si="3"/>
        <v>0.50265304049146442</v>
      </c>
      <c r="E49" s="237">
        <f t="shared" si="3"/>
        <v>0.5822936516375119</v>
      </c>
      <c r="F49" s="237">
        <f t="shared" si="3"/>
        <v>0.65824374691611265</v>
      </c>
      <c r="G49" s="237">
        <f t="shared" si="3"/>
        <v>0.73618120302116985</v>
      </c>
      <c r="H49" s="237">
        <f t="shared" si="3"/>
        <v>0.8177817195631647</v>
      </c>
      <c r="I49" s="237">
        <f t="shared" si="3"/>
        <v>0.90321746038263329</v>
      </c>
      <c r="J49" s="237">
        <f t="shared" si="3"/>
        <v>0.99266868102061689</v>
      </c>
      <c r="K49" s="237">
        <f t="shared" si="3"/>
        <v>1.0863241090285856</v>
      </c>
      <c r="L49" s="237">
        <f t="shared" si="3"/>
        <v>1.1843813421529288</v>
      </c>
      <c r="M49" s="237">
        <f t="shared" si="3"/>
        <v>1.2870472652341163</v>
      </c>
      <c r="N49" s="237">
        <f t="shared" si="3"/>
        <v>1.3945384867001196</v>
      </c>
      <c r="O49" s="237">
        <f t="shared" si="3"/>
        <v>1.5070817955750249</v>
      </c>
      <c r="P49" s="237">
        <f t="shared" si="3"/>
        <v>1.6249146399670509</v>
      </c>
      <c r="Q49" s="237">
        <f t="shared" si="3"/>
        <v>1.7482856280455019</v>
      </c>
      <c r="R49" s="237">
        <f t="shared" si="3"/>
        <v>1.8774550525636404</v>
      </c>
      <c r="S49" s="237">
        <f t="shared" si="3"/>
        <v>2.0126954400341313</v>
      </c>
      <c r="T49" s="237">
        <f t="shared" si="3"/>
        <v>2.154292125715735</v>
      </c>
      <c r="U49" s="237">
        <f t="shared" si="3"/>
        <v>2.3025438556243745</v>
      </c>
      <c r="V49" s="237">
        <f t="shared" si="3"/>
        <v>2.4577634168387199</v>
      </c>
      <c r="W49" s="237">
        <f t="shared" si="3"/>
        <v>2.6202782974301395</v>
      </c>
      <c r="X49" s="237">
        <f t="shared" si="3"/>
        <v>2.7904313774093557</v>
      </c>
      <c r="Y49" s="237">
        <f t="shared" si="3"/>
        <v>2.968581652147595</v>
      </c>
      <c r="Z49" s="237">
        <f t="shared" si="3"/>
        <v>3.1551049897985317</v>
      </c>
      <c r="AA49" s="237">
        <f t="shared" si="3"/>
        <v>3.3503949243190627</v>
      </c>
      <c r="AB49" s="237">
        <f t="shared" si="3"/>
        <v>3.5548634857620582</v>
      </c>
      <c r="AC49" s="237">
        <f t="shared" si="3"/>
        <v>3.7689420695928746</v>
      </c>
      <c r="AD49" s="237">
        <f t="shared" si="3"/>
        <v>3.9930823468637398</v>
      </c>
      <c r="AE49" s="237">
        <f t="shared" si="3"/>
        <v>4.2277572171663351</v>
      </c>
      <c r="AF49" s="237">
        <f t="shared" si="3"/>
        <v>4.4734618063731526</v>
      </c>
      <c r="AG49" s="237">
        <f t="shared" si="3"/>
        <v>4.7307145112726907</v>
      </c>
      <c r="AH49" s="237">
        <f t="shared" si="3"/>
        <v>5.0000580933025072</v>
      </c>
      <c r="AI49" s="237">
        <f t="shared" si="3"/>
        <v>5.2820608236877247</v>
      </c>
      <c r="AJ49" s="237">
        <f t="shared" si="3"/>
        <v>5.5773176824010475</v>
      </c>
      <c r="AK49" s="237">
        <f t="shared" si="3"/>
        <v>5.8864516134738967</v>
      </c>
      <c r="AL49" s="237">
        <f t="shared" si="3"/>
        <v>6.2101148393071695</v>
      </c>
      <c r="AM49" s="237">
        <f t="shared" si="3"/>
        <v>6.548990236754606</v>
      </c>
      <c r="AN49" s="237">
        <f t="shared" si="3"/>
        <v>6.9037927778820718</v>
      </c>
      <c r="AO49" s="237">
        <f t="shared" si="3"/>
        <v>7.2752710384425292</v>
      </c>
      <c r="AP49" s="237">
        <f t="shared" si="3"/>
        <v>7.6642087772493284</v>
      </c>
      <c r="AQ49" s="191"/>
      <c r="AR49" s="191"/>
      <c r="AS49" s="191"/>
    </row>
    <row r="50" spans="1:45" ht="16.5" thickBot="1" x14ac:dyDescent="0.25">
      <c r="A50" s="238" t="s">
        <v>431</v>
      </c>
      <c r="B50" s="239">
        <v>8233098</v>
      </c>
      <c r="C50" s="239">
        <f>C108*(1+C49)</f>
        <v>0</v>
      </c>
      <c r="D50" s="239">
        <f>H108*(1+H49)</f>
        <v>220439.43836271524</v>
      </c>
      <c r="E50" s="239">
        <f t="shared" ref="E50:M50" si="4">I108*(1+E49)</f>
        <v>383764.36525688448</v>
      </c>
      <c r="F50" s="239">
        <f t="shared" si="4"/>
        <v>603277.58218382241</v>
      </c>
      <c r="G50" s="239">
        <f t="shared" si="4"/>
        <v>842175.5047286161</v>
      </c>
      <c r="H50" s="239">
        <f t="shared" si="4"/>
        <v>1102197.1918135763</v>
      </c>
      <c r="I50" s="239">
        <f t="shared" si="4"/>
        <v>1615600.6437603401</v>
      </c>
      <c r="J50" s="239">
        <f t="shared" si="4"/>
        <v>1691533.8740170759</v>
      </c>
      <c r="K50" s="239">
        <f t="shared" si="4"/>
        <v>1771035.9660958783</v>
      </c>
      <c r="L50" s="239">
        <f t="shared" si="4"/>
        <v>1854274.6565023842</v>
      </c>
      <c r="M50" s="239">
        <f t="shared" si="4"/>
        <v>1941425.5653579962</v>
      </c>
      <c r="N50" s="239">
        <f t="shared" ref="N50:AP50" si="5">N108*(1+N49)</f>
        <v>2032672.5669298219</v>
      </c>
      <c r="O50" s="239">
        <f t="shared" si="5"/>
        <v>2128208.177575523</v>
      </c>
      <c r="P50" s="239">
        <f t="shared" si="5"/>
        <v>2228233.9619215727</v>
      </c>
      <c r="Q50" s="239">
        <f t="shared" si="5"/>
        <v>2332960.9581318861</v>
      </c>
      <c r="R50" s="239">
        <f t="shared" si="5"/>
        <v>2442610.1231640847</v>
      </c>
      <c r="S50" s="239">
        <f t="shared" si="5"/>
        <v>2557412.7989527965</v>
      </c>
      <c r="T50" s="239">
        <f t="shared" si="5"/>
        <v>2677611.2005035775</v>
      </c>
      <c r="U50" s="239">
        <f t="shared" si="5"/>
        <v>2803458.9269272457</v>
      </c>
      <c r="V50" s="239">
        <f t="shared" si="5"/>
        <v>2935221.4964928259</v>
      </c>
      <c r="W50" s="239">
        <f t="shared" si="5"/>
        <v>3073176.9068279886</v>
      </c>
      <c r="X50" s="239">
        <f t="shared" si="5"/>
        <v>3217616.2214489039</v>
      </c>
      <c r="Y50" s="239">
        <f t="shared" si="5"/>
        <v>3368844.1838570018</v>
      </c>
      <c r="Z50" s="239">
        <f t="shared" si="5"/>
        <v>3527179.8604982807</v>
      </c>
      <c r="AA50" s="239">
        <f t="shared" si="5"/>
        <v>3692957.3139417004</v>
      </c>
      <c r="AB50" s="239">
        <f t="shared" si="5"/>
        <v>3866526.3076969599</v>
      </c>
      <c r="AC50" s="239">
        <f t="shared" si="5"/>
        <v>4048253.0441587167</v>
      </c>
      <c r="AD50" s="239">
        <f t="shared" si="5"/>
        <v>4238520.9372341763</v>
      </c>
      <c r="AE50" s="239">
        <f t="shared" si="5"/>
        <v>4437731.421284182</v>
      </c>
      <c r="AF50" s="239">
        <f t="shared" si="5"/>
        <v>4646304.7980845384</v>
      </c>
      <c r="AG50" s="239">
        <f t="shared" si="5"/>
        <v>4864681.1235945113</v>
      </c>
      <c r="AH50" s="239">
        <f t="shared" si="5"/>
        <v>5093321.1364034535</v>
      </c>
      <c r="AI50" s="239">
        <f t="shared" si="5"/>
        <v>5332707.2298144158</v>
      </c>
      <c r="AJ50" s="239">
        <f t="shared" si="5"/>
        <v>5583344.4696156932</v>
      </c>
      <c r="AK50" s="239">
        <f t="shared" si="5"/>
        <v>5845761.6596876308</v>
      </c>
      <c r="AL50" s="239">
        <f t="shared" si="5"/>
        <v>6120512.4576929491</v>
      </c>
      <c r="AM50" s="239">
        <f t="shared" si="5"/>
        <v>6408176.5432045171</v>
      </c>
      <c r="AN50" s="239">
        <f t="shared" si="5"/>
        <v>6709360.8407351291</v>
      </c>
      <c r="AO50" s="239">
        <f t="shared" si="5"/>
        <v>7024700.8002496799</v>
      </c>
      <c r="AP50" s="239">
        <f t="shared" si="5"/>
        <v>7354861.7378614154</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6">C58</f>
        <v>2</v>
      </c>
      <c r="D52" s="241">
        <f t="shared" si="6"/>
        <v>3</v>
      </c>
      <c r="E52" s="241">
        <f t="shared" si="6"/>
        <v>4</v>
      </c>
      <c r="F52" s="241">
        <f t="shared" si="6"/>
        <v>5</v>
      </c>
      <c r="G52" s="241">
        <f t="shared" si="6"/>
        <v>6</v>
      </c>
      <c r="H52" s="241">
        <f t="shared" si="6"/>
        <v>7</v>
      </c>
      <c r="I52" s="241">
        <f t="shared" si="6"/>
        <v>8</v>
      </c>
      <c r="J52" s="241">
        <f t="shared" si="6"/>
        <v>9</v>
      </c>
      <c r="K52" s="241">
        <f t="shared" si="6"/>
        <v>10</v>
      </c>
      <c r="L52" s="241">
        <f t="shared" si="6"/>
        <v>11</v>
      </c>
      <c r="M52" s="241">
        <f t="shared" si="6"/>
        <v>12</v>
      </c>
      <c r="N52" s="241">
        <f t="shared" si="6"/>
        <v>13</v>
      </c>
      <c r="O52" s="241">
        <f t="shared" si="6"/>
        <v>14</v>
      </c>
      <c r="P52" s="241">
        <f t="shared" si="6"/>
        <v>15</v>
      </c>
      <c r="Q52" s="241">
        <f t="shared" si="6"/>
        <v>16</v>
      </c>
      <c r="R52" s="241">
        <f t="shared" si="6"/>
        <v>17</v>
      </c>
      <c r="S52" s="241">
        <f t="shared" si="6"/>
        <v>18</v>
      </c>
      <c r="T52" s="241">
        <f t="shared" si="6"/>
        <v>19</v>
      </c>
      <c r="U52" s="241">
        <f t="shared" si="6"/>
        <v>20</v>
      </c>
      <c r="V52" s="241">
        <f t="shared" si="6"/>
        <v>21</v>
      </c>
      <c r="W52" s="241">
        <f t="shared" si="6"/>
        <v>22</v>
      </c>
      <c r="X52" s="241">
        <f t="shared" si="6"/>
        <v>23</v>
      </c>
      <c r="Y52" s="241">
        <f t="shared" si="6"/>
        <v>24</v>
      </c>
      <c r="Z52" s="241">
        <f t="shared" si="6"/>
        <v>25</v>
      </c>
      <c r="AA52" s="241">
        <f t="shared" si="6"/>
        <v>26</v>
      </c>
      <c r="AB52" s="241">
        <f t="shared" si="6"/>
        <v>27</v>
      </c>
      <c r="AC52" s="241">
        <f t="shared" si="6"/>
        <v>28</v>
      </c>
      <c r="AD52" s="241">
        <f t="shared" si="6"/>
        <v>29</v>
      </c>
      <c r="AE52" s="241">
        <f t="shared" si="6"/>
        <v>30</v>
      </c>
      <c r="AF52" s="241">
        <f t="shared" si="6"/>
        <v>31</v>
      </c>
      <c r="AG52" s="241">
        <f t="shared" si="6"/>
        <v>32</v>
      </c>
      <c r="AH52" s="241">
        <f t="shared" si="6"/>
        <v>33</v>
      </c>
      <c r="AI52" s="241">
        <f t="shared" si="6"/>
        <v>34</v>
      </c>
      <c r="AJ52" s="241">
        <f t="shared" si="6"/>
        <v>35</v>
      </c>
      <c r="AK52" s="241">
        <f t="shared" si="6"/>
        <v>36</v>
      </c>
      <c r="AL52" s="241">
        <f t="shared" si="6"/>
        <v>37</v>
      </c>
      <c r="AM52" s="241">
        <f t="shared" si="6"/>
        <v>38</v>
      </c>
      <c r="AN52" s="241">
        <f t="shared" si="6"/>
        <v>39</v>
      </c>
      <c r="AO52" s="241">
        <f t="shared" si="6"/>
        <v>40</v>
      </c>
      <c r="AP52" s="241">
        <f>AP58</f>
        <v>41</v>
      </c>
    </row>
    <row r="53" spans="1:45" x14ac:dyDescent="0.2">
      <c r="A53" s="242" t="s">
        <v>266</v>
      </c>
      <c r="B53" s="243">
        <v>0</v>
      </c>
      <c r="C53" s="243">
        <f t="shared" ref="C53:AP53" si="7">B53+B54-B55</f>
        <v>0</v>
      </c>
      <c r="D53" s="243">
        <f t="shared" si="7"/>
        <v>0</v>
      </c>
      <c r="E53" s="243">
        <f t="shared" si="7"/>
        <v>0</v>
      </c>
      <c r="F53" s="243">
        <f t="shared" si="7"/>
        <v>0</v>
      </c>
      <c r="G53" s="243">
        <f t="shared" si="7"/>
        <v>0</v>
      </c>
      <c r="H53" s="243">
        <f t="shared" si="7"/>
        <v>0</v>
      </c>
      <c r="I53" s="243">
        <f t="shared" si="7"/>
        <v>0</v>
      </c>
      <c r="J53" s="243">
        <f t="shared" si="7"/>
        <v>0</v>
      </c>
      <c r="K53" s="243">
        <f t="shared" si="7"/>
        <v>0</v>
      </c>
      <c r="L53" s="243">
        <f t="shared" si="7"/>
        <v>0</v>
      </c>
      <c r="M53" s="243">
        <f t="shared" si="7"/>
        <v>0</v>
      </c>
      <c r="N53" s="243">
        <f t="shared" si="7"/>
        <v>0</v>
      </c>
      <c r="O53" s="243">
        <f t="shared" si="7"/>
        <v>0</v>
      </c>
      <c r="P53" s="243">
        <f t="shared" si="7"/>
        <v>0</v>
      </c>
      <c r="Q53" s="243">
        <f t="shared" si="7"/>
        <v>0</v>
      </c>
      <c r="R53" s="243">
        <f t="shared" si="7"/>
        <v>0</v>
      </c>
      <c r="S53" s="243">
        <f t="shared" si="7"/>
        <v>0</v>
      </c>
      <c r="T53" s="243">
        <f t="shared" si="7"/>
        <v>0</v>
      </c>
      <c r="U53" s="243">
        <f t="shared" si="7"/>
        <v>0</v>
      </c>
      <c r="V53" s="243">
        <f t="shared" si="7"/>
        <v>0</v>
      </c>
      <c r="W53" s="243">
        <f t="shared" si="7"/>
        <v>0</v>
      </c>
      <c r="X53" s="243">
        <f t="shared" si="7"/>
        <v>0</v>
      </c>
      <c r="Y53" s="243">
        <f t="shared" si="7"/>
        <v>0</v>
      </c>
      <c r="Z53" s="243">
        <f t="shared" si="7"/>
        <v>0</v>
      </c>
      <c r="AA53" s="243">
        <f t="shared" si="7"/>
        <v>0</v>
      </c>
      <c r="AB53" s="243">
        <f t="shared" si="7"/>
        <v>0</v>
      </c>
      <c r="AC53" s="243">
        <f t="shared" si="7"/>
        <v>0</v>
      </c>
      <c r="AD53" s="243">
        <f t="shared" si="7"/>
        <v>0</v>
      </c>
      <c r="AE53" s="243">
        <f t="shared" si="7"/>
        <v>0</v>
      </c>
      <c r="AF53" s="243">
        <f t="shared" si="7"/>
        <v>0</v>
      </c>
      <c r="AG53" s="243">
        <f t="shared" si="7"/>
        <v>0</v>
      </c>
      <c r="AH53" s="243">
        <f t="shared" si="7"/>
        <v>0</v>
      </c>
      <c r="AI53" s="243">
        <f t="shared" si="7"/>
        <v>0</v>
      </c>
      <c r="AJ53" s="243">
        <f t="shared" si="7"/>
        <v>0</v>
      </c>
      <c r="AK53" s="243">
        <f t="shared" si="7"/>
        <v>0</v>
      </c>
      <c r="AL53" s="243">
        <f t="shared" si="7"/>
        <v>0</v>
      </c>
      <c r="AM53" s="243">
        <f t="shared" si="7"/>
        <v>0</v>
      </c>
      <c r="AN53" s="243">
        <f t="shared" si="7"/>
        <v>0</v>
      </c>
      <c r="AO53" s="243">
        <f t="shared" si="7"/>
        <v>0</v>
      </c>
      <c r="AP53" s="243">
        <f t="shared" si="7"/>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8">IF(ROUND(C53,1)=0,0,B55+C54/$B$40)</f>
        <v>0</v>
      </c>
      <c r="D55" s="243">
        <f t="shared" si="8"/>
        <v>0</v>
      </c>
      <c r="E55" s="243">
        <f t="shared" si="8"/>
        <v>0</v>
      </c>
      <c r="F55" s="243">
        <f t="shared" si="8"/>
        <v>0</v>
      </c>
      <c r="G55" s="243">
        <f t="shared" si="8"/>
        <v>0</v>
      </c>
      <c r="H55" s="243">
        <f t="shared" si="8"/>
        <v>0</v>
      </c>
      <c r="I55" s="243">
        <f t="shared" si="8"/>
        <v>0</v>
      </c>
      <c r="J55" s="243">
        <f t="shared" si="8"/>
        <v>0</v>
      </c>
      <c r="K55" s="243">
        <f t="shared" si="8"/>
        <v>0</v>
      </c>
      <c r="L55" s="243">
        <f t="shared" si="8"/>
        <v>0</v>
      </c>
      <c r="M55" s="243">
        <f t="shared" si="8"/>
        <v>0</v>
      </c>
      <c r="N55" s="243">
        <f t="shared" si="8"/>
        <v>0</v>
      </c>
      <c r="O55" s="243">
        <f t="shared" si="8"/>
        <v>0</v>
      </c>
      <c r="P55" s="243">
        <f t="shared" si="8"/>
        <v>0</v>
      </c>
      <c r="Q55" s="243">
        <f t="shared" si="8"/>
        <v>0</v>
      </c>
      <c r="R55" s="243">
        <f t="shared" si="8"/>
        <v>0</v>
      </c>
      <c r="S55" s="243">
        <f t="shared" si="8"/>
        <v>0</v>
      </c>
      <c r="T55" s="243">
        <f t="shared" si="8"/>
        <v>0</v>
      </c>
      <c r="U55" s="243">
        <f t="shared" si="8"/>
        <v>0</v>
      </c>
      <c r="V55" s="243">
        <f t="shared" si="8"/>
        <v>0</v>
      </c>
      <c r="W55" s="243">
        <f t="shared" si="8"/>
        <v>0</v>
      </c>
      <c r="X55" s="243">
        <f t="shared" si="8"/>
        <v>0</v>
      </c>
      <c r="Y55" s="243">
        <f t="shared" si="8"/>
        <v>0</v>
      </c>
      <c r="Z55" s="243">
        <f t="shared" si="8"/>
        <v>0</v>
      </c>
      <c r="AA55" s="243">
        <f t="shared" si="8"/>
        <v>0</v>
      </c>
      <c r="AB55" s="243">
        <f t="shared" si="8"/>
        <v>0</v>
      </c>
      <c r="AC55" s="243">
        <f t="shared" si="8"/>
        <v>0</v>
      </c>
      <c r="AD55" s="243">
        <f t="shared" si="8"/>
        <v>0</v>
      </c>
      <c r="AE55" s="243">
        <f t="shared" si="8"/>
        <v>0</v>
      </c>
      <c r="AF55" s="243">
        <f t="shared" si="8"/>
        <v>0</v>
      </c>
      <c r="AG55" s="243">
        <f t="shared" si="8"/>
        <v>0</v>
      </c>
      <c r="AH55" s="243">
        <f t="shared" si="8"/>
        <v>0</v>
      </c>
      <c r="AI55" s="243">
        <f t="shared" si="8"/>
        <v>0</v>
      </c>
      <c r="AJ55" s="243">
        <f t="shared" si="8"/>
        <v>0</v>
      </c>
      <c r="AK55" s="243">
        <f t="shared" si="8"/>
        <v>0</v>
      </c>
      <c r="AL55" s="243">
        <f t="shared" si="8"/>
        <v>0</v>
      </c>
      <c r="AM55" s="243">
        <f t="shared" si="8"/>
        <v>0</v>
      </c>
      <c r="AN55" s="243">
        <f t="shared" si="8"/>
        <v>0</v>
      </c>
      <c r="AO55" s="243">
        <f t="shared" si="8"/>
        <v>0</v>
      </c>
      <c r="AP55" s="243">
        <f t="shared" si="8"/>
        <v>0</v>
      </c>
    </row>
    <row r="56" spans="1:45" ht="16.5" thickBot="1" x14ac:dyDescent="0.25">
      <c r="A56" s="244" t="s">
        <v>263</v>
      </c>
      <c r="B56" s="245">
        <f t="shared" ref="B56:AP56" si="9">AVERAGE(SUM(B53:B54),(SUM(B53:B54)-B55))*$B$42</f>
        <v>0</v>
      </c>
      <c r="C56" s="245">
        <f t="shared" si="9"/>
        <v>0</v>
      </c>
      <c r="D56" s="245">
        <f t="shared" si="9"/>
        <v>0</v>
      </c>
      <c r="E56" s="245">
        <f t="shared" si="9"/>
        <v>0</v>
      </c>
      <c r="F56" s="245">
        <f t="shared" si="9"/>
        <v>0</v>
      </c>
      <c r="G56" s="245">
        <f t="shared" si="9"/>
        <v>0</v>
      </c>
      <c r="H56" s="245">
        <f t="shared" si="9"/>
        <v>0</v>
      </c>
      <c r="I56" s="245">
        <f t="shared" si="9"/>
        <v>0</v>
      </c>
      <c r="J56" s="245">
        <f t="shared" si="9"/>
        <v>0</v>
      </c>
      <c r="K56" s="245">
        <f t="shared" si="9"/>
        <v>0</v>
      </c>
      <c r="L56" s="245">
        <f t="shared" si="9"/>
        <v>0</v>
      </c>
      <c r="M56" s="245">
        <f t="shared" si="9"/>
        <v>0</v>
      </c>
      <c r="N56" s="245">
        <f t="shared" si="9"/>
        <v>0</v>
      </c>
      <c r="O56" s="245">
        <f t="shared" si="9"/>
        <v>0</v>
      </c>
      <c r="P56" s="245">
        <f t="shared" si="9"/>
        <v>0</v>
      </c>
      <c r="Q56" s="245">
        <f t="shared" si="9"/>
        <v>0</v>
      </c>
      <c r="R56" s="245">
        <f t="shared" si="9"/>
        <v>0</v>
      </c>
      <c r="S56" s="245">
        <f t="shared" si="9"/>
        <v>0</v>
      </c>
      <c r="T56" s="245">
        <f t="shared" si="9"/>
        <v>0</v>
      </c>
      <c r="U56" s="245">
        <f t="shared" si="9"/>
        <v>0</v>
      </c>
      <c r="V56" s="245">
        <f t="shared" si="9"/>
        <v>0</v>
      </c>
      <c r="W56" s="245">
        <f t="shared" si="9"/>
        <v>0</v>
      </c>
      <c r="X56" s="245">
        <f t="shared" si="9"/>
        <v>0</v>
      </c>
      <c r="Y56" s="245">
        <f t="shared" si="9"/>
        <v>0</v>
      </c>
      <c r="Z56" s="245">
        <f t="shared" si="9"/>
        <v>0</v>
      </c>
      <c r="AA56" s="245">
        <f t="shared" si="9"/>
        <v>0</v>
      </c>
      <c r="AB56" s="245">
        <f t="shared" si="9"/>
        <v>0</v>
      </c>
      <c r="AC56" s="245">
        <f t="shared" si="9"/>
        <v>0</v>
      </c>
      <c r="AD56" s="245">
        <f t="shared" si="9"/>
        <v>0</v>
      </c>
      <c r="AE56" s="245">
        <f t="shared" si="9"/>
        <v>0</v>
      </c>
      <c r="AF56" s="245">
        <f t="shared" si="9"/>
        <v>0</v>
      </c>
      <c r="AG56" s="245">
        <f t="shared" si="9"/>
        <v>0</v>
      </c>
      <c r="AH56" s="245">
        <f t="shared" si="9"/>
        <v>0</v>
      </c>
      <c r="AI56" s="245">
        <f t="shared" si="9"/>
        <v>0</v>
      </c>
      <c r="AJ56" s="245">
        <f t="shared" si="9"/>
        <v>0</v>
      </c>
      <c r="AK56" s="245">
        <f t="shared" si="9"/>
        <v>0</v>
      </c>
      <c r="AL56" s="245">
        <f t="shared" si="9"/>
        <v>0</v>
      </c>
      <c r="AM56" s="245">
        <f t="shared" si="9"/>
        <v>0</v>
      </c>
      <c r="AN56" s="245">
        <f t="shared" si="9"/>
        <v>0</v>
      </c>
      <c r="AO56" s="245">
        <f t="shared" si="9"/>
        <v>0</v>
      </c>
      <c r="AP56" s="245">
        <f t="shared" si="9"/>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10">C58+1</f>
        <v>3</v>
      </c>
      <c r="E58" s="241">
        <f t="shared" si="10"/>
        <v>4</v>
      </c>
      <c r="F58" s="241">
        <f t="shared" si="10"/>
        <v>5</v>
      </c>
      <c r="G58" s="241">
        <f t="shared" si="10"/>
        <v>6</v>
      </c>
      <c r="H58" s="241">
        <f t="shared" si="10"/>
        <v>7</v>
      </c>
      <c r="I58" s="241">
        <f t="shared" si="10"/>
        <v>8</v>
      </c>
      <c r="J58" s="241">
        <f t="shared" si="10"/>
        <v>9</v>
      </c>
      <c r="K58" s="241">
        <f t="shared" si="10"/>
        <v>10</v>
      </c>
      <c r="L58" s="241">
        <f t="shared" si="10"/>
        <v>11</v>
      </c>
      <c r="M58" s="241">
        <f t="shared" si="10"/>
        <v>12</v>
      </c>
      <c r="N58" s="241">
        <f t="shared" si="10"/>
        <v>13</v>
      </c>
      <c r="O58" s="241">
        <f t="shared" si="10"/>
        <v>14</v>
      </c>
      <c r="P58" s="241">
        <f t="shared" si="10"/>
        <v>15</v>
      </c>
      <c r="Q58" s="241">
        <f t="shared" si="10"/>
        <v>16</v>
      </c>
      <c r="R58" s="241">
        <f t="shared" si="10"/>
        <v>17</v>
      </c>
      <c r="S58" s="241">
        <f t="shared" si="10"/>
        <v>18</v>
      </c>
      <c r="T58" s="241">
        <f t="shared" si="10"/>
        <v>19</v>
      </c>
      <c r="U58" s="241">
        <f t="shared" si="10"/>
        <v>20</v>
      </c>
      <c r="V58" s="241">
        <f t="shared" si="10"/>
        <v>21</v>
      </c>
      <c r="W58" s="241">
        <f t="shared" si="10"/>
        <v>22</v>
      </c>
      <c r="X58" s="241">
        <f t="shared" si="10"/>
        <v>23</v>
      </c>
      <c r="Y58" s="241">
        <f t="shared" si="10"/>
        <v>24</v>
      </c>
      <c r="Z58" s="241">
        <f t="shared" si="10"/>
        <v>25</v>
      </c>
      <c r="AA58" s="241">
        <f t="shared" si="10"/>
        <v>26</v>
      </c>
      <c r="AB58" s="241">
        <f t="shared" si="10"/>
        <v>27</v>
      </c>
      <c r="AC58" s="241">
        <f t="shared" si="10"/>
        <v>28</v>
      </c>
      <c r="AD58" s="241">
        <f t="shared" si="10"/>
        <v>29</v>
      </c>
      <c r="AE58" s="241">
        <f t="shared" si="10"/>
        <v>30</v>
      </c>
      <c r="AF58" s="241">
        <f t="shared" si="10"/>
        <v>31</v>
      </c>
      <c r="AG58" s="241">
        <f t="shared" si="10"/>
        <v>32</v>
      </c>
      <c r="AH58" s="241">
        <f t="shared" si="10"/>
        <v>33</v>
      </c>
      <c r="AI58" s="241">
        <f t="shared" si="10"/>
        <v>34</v>
      </c>
      <c r="AJ58" s="241">
        <f t="shared" si="10"/>
        <v>35</v>
      </c>
      <c r="AK58" s="241">
        <f t="shared" si="10"/>
        <v>36</v>
      </c>
      <c r="AL58" s="241">
        <f t="shared" si="10"/>
        <v>37</v>
      </c>
      <c r="AM58" s="241">
        <f t="shared" si="10"/>
        <v>38</v>
      </c>
      <c r="AN58" s="241">
        <f t="shared" si="10"/>
        <v>39</v>
      </c>
      <c r="AO58" s="241">
        <f t="shared" si="10"/>
        <v>40</v>
      </c>
      <c r="AP58" s="241">
        <f t="shared" si="10"/>
        <v>41</v>
      </c>
    </row>
    <row r="59" spans="1:45" ht="14.25" x14ac:dyDescent="0.2">
      <c r="A59" s="249" t="s">
        <v>262</v>
      </c>
      <c r="B59" s="250">
        <f>B50*$B$28</f>
        <v>8233098</v>
      </c>
      <c r="C59" s="250">
        <f>C50*$B$28</f>
        <v>0</v>
      </c>
      <c r="D59" s="250">
        <f t="shared" ref="D59:AP59" si="11">D50*$B$28</f>
        <v>220439.43836271524</v>
      </c>
      <c r="E59" s="250">
        <f t="shared" si="11"/>
        <v>383764.36525688448</v>
      </c>
      <c r="F59" s="250">
        <f t="shared" si="11"/>
        <v>603277.58218382241</v>
      </c>
      <c r="G59" s="250">
        <f>G50*$B$28</f>
        <v>842175.5047286161</v>
      </c>
      <c r="H59" s="250">
        <f t="shared" si="11"/>
        <v>1102197.1918135763</v>
      </c>
      <c r="I59" s="250">
        <f t="shared" si="11"/>
        <v>1615600.6437603401</v>
      </c>
      <c r="J59" s="250">
        <f t="shared" si="11"/>
        <v>1691533.8740170759</v>
      </c>
      <c r="K59" s="250">
        <f t="shared" si="11"/>
        <v>1771035.9660958783</v>
      </c>
      <c r="L59" s="250">
        <f t="shared" si="11"/>
        <v>1854274.6565023842</v>
      </c>
      <c r="M59" s="250">
        <f t="shared" si="11"/>
        <v>1941425.5653579962</v>
      </c>
      <c r="N59" s="250">
        <f t="shared" si="11"/>
        <v>2032672.5669298219</v>
      </c>
      <c r="O59" s="250">
        <f t="shared" si="11"/>
        <v>2128208.177575523</v>
      </c>
      <c r="P59" s="250">
        <f t="shared" si="11"/>
        <v>2228233.9619215727</v>
      </c>
      <c r="Q59" s="250">
        <f t="shared" si="11"/>
        <v>2332960.9581318861</v>
      </c>
      <c r="R59" s="250">
        <f t="shared" si="11"/>
        <v>2442610.1231640847</v>
      </c>
      <c r="S59" s="250">
        <f t="shared" si="11"/>
        <v>2557412.7989527965</v>
      </c>
      <c r="T59" s="250">
        <f t="shared" si="11"/>
        <v>2677611.2005035775</v>
      </c>
      <c r="U59" s="250">
        <f t="shared" si="11"/>
        <v>2803458.9269272457</v>
      </c>
      <c r="V59" s="250">
        <f t="shared" si="11"/>
        <v>2935221.4964928259</v>
      </c>
      <c r="W59" s="250">
        <f t="shared" si="11"/>
        <v>3073176.9068279886</v>
      </c>
      <c r="X59" s="250">
        <f t="shared" si="11"/>
        <v>3217616.2214489039</v>
      </c>
      <c r="Y59" s="250">
        <f t="shared" si="11"/>
        <v>3368844.1838570018</v>
      </c>
      <c r="Z59" s="250">
        <f t="shared" si="11"/>
        <v>3527179.8604982807</v>
      </c>
      <c r="AA59" s="250">
        <f t="shared" si="11"/>
        <v>3692957.3139417004</v>
      </c>
      <c r="AB59" s="250">
        <f t="shared" si="11"/>
        <v>3866526.3076969599</v>
      </c>
      <c r="AC59" s="250">
        <f t="shared" si="11"/>
        <v>4048253.0441587167</v>
      </c>
      <c r="AD59" s="250">
        <f t="shared" si="11"/>
        <v>4238520.9372341763</v>
      </c>
      <c r="AE59" s="250">
        <f t="shared" si="11"/>
        <v>4437731.421284182</v>
      </c>
      <c r="AF59" s="250">
        <f t="shared" si="11"/>
        <v>4646304.7980845384</v>
      </c>
      <c r="AG59" s="250">
        <f t="shared" si="11"/>
        <v>4864681.1235945113</v>
      </c>
      <c r="AH59" s="250">
        <f t="shared" si="11"/>
        <v>5093321.1364034535</v>
      </c>
      <c r="AI59" s="250">
        <f t="shared" si="11"/>
        <v>5332707.2298144158</v>
      </c>
      <c r="AJ59" s="250">
        <f t="shared" si="11"/>
        <v>5583344.4696156932</v>
      </c>
      <c r="AK59" s="250">
        <f t="shared" si="11"/>
        <v>5845761.6596876308</v>
      </c>
      <c r="AL59" s="250">
        <f t="shared" si="11"/>
        <v>6120512.4576929491</v>
      </c>
      <c r="AM59" s="250">
        <f t="shared" si="11"/>
        <v>6408176.5432045171</v>
      </c>
      <c r="AN59" s="250">
        <f t="shared" si="11"/>
        <v>6709360.8407351291</v>
      </c>
      <c r="AO59" s="250">
        <f t="shared" si="11"/>
        <v>7024700.8002496799</v>
      </c>
      <c r="AP59" s="250">
        <f t="shared" si="11"/>
        <v>7354861.7378614154</v>
      </c>
    </row>
    <row r="60" spans="1:45" x14ac:dyDescent="0.2">
      <c r="A60" s="242" t="s">
        <v>261</v>
      </c>
      <c r="B60" s="243">
        <f t="shared" ref="B60:AP60" si="12">SUM(B61:B65)</f>
        <v>0</v>
      </c>
      <c r="C60" s="243">
        <f t="shared" si="12"/>
        <v>-514531.75179999991</v>
      </c>
      <c r="D60" s="243">
        <f>SUM(D61:D65)</f>
        <v>-496789.27759999991</v>
      </c>
      <c r="E60" s="243">
        <f>SUM(E61:E65)</f>
        <v>-517329.26379682124</v>
      </c>
      <c r="F60" s="243">
        <f t="shared" si="12"/>
        <v>-501424.3476958687</v>
      </c>
      <c r="G60" s="243">
        <f t="shared" si="12"/>
        <v>-485567.51436517446</v>
      </c>
      <c r="H60" s="243">
        <f t="shared" si="12"/>
        <v>-469799.3061553376</v>
      </c>
      <c r="I60" s="243">
        <f t="shared" si="12"/>
        <v>-454123.88844703848</v>
      </c>
      <c r="J60" s="243">
        <f t="shared" si="12"/>
        <v>-438545.62239384925</v>
      </c>
      <c r="K60" s="243">
        <f t="shared" si="12"/>
        <v>-423069.07412356016</v>
      </c>
      <c r="L60" s="243">
        <f t="shared" si="12"/>
        <v>-407699.02437196748</v>
      </c>
      <c r="M60" s="243">
        <f t="shared" si="12"/>
        <v>-392440.47856944997</v>
      </c>
      <c r="N60" s="243">
        <f t="shared" si="12"/>
        <v>-377298.67740161414</v>
      </c>
      <c r="O60" s="243">
        <f t="shared" si="12"/>
        <v>-362279.10786629003</v>
      </c>
      <c r="P60" s="243">
        <f t="shared" si="12"/>
        <v>-347387.51485020563</v>
      </c>
      <c r="Q60" s="243">
        <f t="shared" si="12"/>
        <v>-332629.91324976535</v>
      </c>
      <c r="R60" s="243">
        <f t="shared" si="12"/>
        <v>-318012.60066150432</v>
      </c>
      <c r="S60" s="243">
        <f t="shared" si="12"/>
        <v>-303542.17066899507</v>
      </c>
      <c r="T60" s="243">
        <f t="shared" si="12"/>
        <v>-289225.52675423783</v>
      </c>
      <c r="U60" s="243">
        <f t="shared" si="12"/>
        <v>-275069.89686288702</v>
      </c>
      <c r="V60" s="243">
        <f t="shared" si="12"/>
        <v>-261082.84865404275</v>
      </c>
      <c r="W60" s="243">
        <f t="shared" si="12"/>
        <v>-247272.30546678277</v>
      </c>
      <c r="X60" s="243">
        <f t="shared" si="12"/>
        <v>-233646.56303712155</v>
      </c>
      <c r="Y60" s="243">
        <f t="shared" si="12"/>
        <v>-220214.30700066627</v>
      </c>
      <c r="Z60" s="243">
        <f t="shared" si="12"/>
        <v>-206984.63121789761</v>
      </c>
      <c r="AA60" s="243">
        <f t="shared" si="12"/>
        <v>-193967.05696073879</v>
      </c>
      <c r="AB60" s="243">
        <f t="shared" si="12"/>
        <v>-181171.5530008935</v>
      </c>
      <c r="AC60" s="243">
        <f t="shared" si="12"/>
        <v>-168608.55664233552</v>
      </c>
      <c r="AD60" s="243">
        <f t="shared" si="12"/>
        <v>-156288.99574232529</v>
      </c>
      <c r="AE60" s="243">
        <f t="shared" si="12"/>
        <v>-144224.31176741459</v>
      </c>
      <c r="AF60" s="243">
        <f t="shared" si="12"/>
        <v>-132426.48393308307</v>
      </c>
      <c r="AG60" s="243">
        <f t="shared" si="12"/>
        <v>-138650.52867793816</v>
      </c>
      <c r="AH60" s="243">
        <f t="shared" si="12"/>
        <v>-145167.10352580127</v>
      </c>
      <c r="AI60" s="243">
        <f t="shared" si="12"/>
        <v>-151989.95739151392</v>
      </c>
      <c r="AJ60" s="243">
        <f t="shared" si="12"/>
        <v>-159133.48538891505</v>
      </c>
      <c r="AK60" s="243">
        <f t="shared" si="12"/>
        <v>-166612.75920219405</v>
      </c>
      <c r="AL60" s="243">
        <f t="shared" si="12"/>
        <v>-174443.55888469718</v>
      </c>
      <c r="AM60" s="243">
        <f t="shared" si="12"/>
        <v>-182642.40615227792</v>
      </c>
      <c r="AN60" s="243">
        <f t="shared" si="12"/>
        <v>-191226.59924143497</v>
      </c>
      <c r="AO60" s="243">
        <f t="shared" si="12"/>
        <v>-200214.24940578244</v>
      </c>
      <c r="AP60" s="243">
        <f t="shared" si="12"/>
        <v>-209624.31912785422</v>
      </c>
    </row>
    <row r="61" spans="1:45" x14ac:dyDescent="0.2">
      <c r="A61" s="251" t="s">
        <v>260</v>
      </c>
      <c r="B61" s="243"/>
      <c r="C61" s="243">
        <f>-IF(C$47&lt;=$B$30,0,$B$29*(1+C$49)*$B$28)</f>
        <v>0</v>
      </c>
      <c r="D61" s="243">
        <f>-IF(D$47&lt;=$B$30,0,$B$29*(1+D$49)*$B$28)</f>
        <v>0</v>
      </c>
      <c r="E61" s="243">
        <f>-IF(E$47&lt;=$B$30,0,$B$29*(1+E$49)*$B$28)</f>
        <v>-38282.460396821378</v>
      </c>
      <c r="F61" s="243">
        <f t="shared" ref="F61:AP61" si="13">-IF(F$47&lt;=$B$30,0,$B$29*(1+F$49)*$B$28)</f>
        <v>-40120.018495868804</v>
      </c>
      <c r="G61" s="243">
        <f t="shared" si="13"/>
        <v>-42005.659365174637</v>
      </c>
      <c r="H61" s="243">
        <f t="shared" si="13"/>
        <v>-43979.925355337844</v>
      </c>
      <c r="I61" s="243">
        <f t="shared" si="13"/>
        <v>-46046.981847038718</v>
      </c>
      <c r="J61" s="243">
        <f t="shared" si="13"/>
        <v>-48211.189993849533</v>
      </c>
      <c r="K61" s="243">
        <f t="shared" si="13"/>
        <v>-50477.11592356045</v>
      </c>
      <c r="L61" s="243">
        <f t="shared" si="13"/>
        <v>-52849.540371967785</v>
      </c>
      <c r="M61" s="243">
        <f t="shared" si="13"/>
        <v>-55333.468769450272</v>
      </c>
      <c r="N61" s="243">
        <f t="shared" si="13"/>
        <v>-57934.141801614431</v>
      </c>
      <c r="O61" s="243">
        <f t="shared" si="13"/>
        <v>-60657.046466290296</v>
      </c>
      <c r="P61" s="243">
        <f t="shared" si="13"/>
        <v>-63507.927650205937</v>
      </c>
      <c r="Q61" s="243">
        <f t="shared" si="13"/>
        <v>-66492.800249765613</v>
      </c>
      <c r="R61" s="243">
        <f t="shared" si="13"/>
        <v>-69617.961861504591</v>
      </c>
      <c r="S61" s="243">
        <f t="shared" si="13"/>
        <v>-72890.006068995295</v>
      </c>
      <c r="T61" s="243">
        <f t="shared" si="13"/>
        <v>-76315.836354238068</v>
      </c>
      <c r="U61" s="243">
        <f t="shared" si="13"/>
        <v>-79902.680662887258</v>
      </c>
      <c r="V61" s="243">
        <f t="shared" si="13"/>
        <v>-83658.106654042946</v>
      </c>
      <c r="W61" s="243">
        <f t="shared" si="13"/>
        <v>-87590.03766678297</v>
      </c>
      <c r="X61" s="243">
        <f t="shared" si="13"/>
        <v>-91706.769437121751</v>
      </c>
      <c r="Y61" s="243">
        <f t="shared" si="13"/>
        <v>-96016.987600666471</v>
      </c>
      <c r="Z61" s="243">
        <f t="shared" si="13"/>
        <v>-100529.78601789779</v>
      </c>
      <c r="AA61" s="243">
        <f t="shared" si="13"/>
        <v>-105254.68596073898</v>
      </c>
      <c r="AB61" s="243">
        <f t="shared" si="13"/>
        <v>-110201.6562008937</v>
      </c>
      <c r="AC61" s="243">
        <f t="shared" si="13"/>
        <v>-115381.1340423357</v>
      </c>
      <c r="AD61" s="243">
        <f t="shared" si="13"/>
        <v>-120804.04734232547</v>
      </c>
      <c r="AE61" s="243">
        <f t="shared" si="13"/>
        <v>-126481.83756741477</v>
      </c>
      <c r="AF61" s="243">
        <f t="shared" si="13"/>
        <v>-132426.48393308325</v>
      </c>
      <c r="AG61" s="243">
        <f t="shared" si="13"/>
        <v>-138650.52867793816</v>
      </c>
      <c r="AH61" s="243">
        <f t="shared" si="13"/>
        <v>-145167.10352580127</v>
      </c>
      <c r="AI61" s="243">
        <f t="shared" si="13"/>
        <v>-151989.95739151392</v>
      </c>
      <c r="AJ61" s="243">
        <f t="shared" si="13"/>
        <v>-159133.48538891505</v>
      </c>
      <c r="AK61" s="243">
        <f t="shared" si="13"/>
        <v>-166612.75920219405</v>
      </c>
      <c r="AL61" s="243">
        <f t="shared" si="13"/>
        <v>-174443.55888469718</v>
      </c>
      <c r="AM61" s="243">
        <f t="shared" si="13"/>
        <v>-182642.40615227792</v>
      </c>
      <c r="AN61" s="243">
        <f t="shared" si="13"/>
        <v>-191226.59924143497</v>
      </c>
      <c r="AO61" s="243">
        <f t="shared" si="13"/>
        <v>-200214.24940578244</v>
      </c>
      <c r="AP61" s="243">
        <f t="shared" si="13"/>
        <v>-209624.31912785422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546</v>
      </c>
      <c r="B65" s="243"/>
      <c r="C65" s="339">
        <f>-($B$25+C67)*0.022</f>
        <v>-514531.75179999991</v>
      </c>
      <c r="D65" s="339">
        <f>-($B$25+D67+C67)*0.022</f>
        <v>-496789.27759999991</v>
      </c>
      <c r="E65" s="340">
        <f>-($B$25+E67+C67+D67)*0.022</f>
        <v>-479046.80339999986</v>
      </c>
      <c r="F65" s="340">
        <f>-($B$25+F67+D67+E67+C67)*0.022</f>
        <v>-461304.32919999986</v>
      </c>
      <c r="G65" s="340">
        <f>-($B$25+G67+E67+F67+D67+C67)*0.022</f>
        <v>-443561.85499999981</v>
      </c>
      <c r="H65" s="340">
        <f>-($B$25+H67+F67+G67+E67+C67+D67)*0.022</f>
        <v>-425819.38079999975</v>
      </c>
      <c r="I65" s="340">
        <f>-($B$25+C67+I67+G67+H67+F67+D67+E67)*0.022</f>
        <v>-408076.90659999975</v>
      </c>
      <c r="J65" s="340">
        <f>-($B$25+D67+J67+H67+I67+G67+E67+F67+C67)*0.022</f>
        <v>-390334.4323999997</v>
      </c>
      <c r="K65" s="340">
        <f>-($B$25+E67+K67+I67+J67+H67+F67+G67+C67+D67)*0.022</f>
        <v>-372591.9581999997</v>
      </c>
      <c r="L65" s="340">
        <f>-($B$25+F67+L67+J67+K67+I67+G67+H67+E67+D67+C67)*0.022</f>
        <v>-354849.48399999971</v>
      </c>
      <c r="M65" s="340">
        <f>-($B$25+G67+M67+K67+L67+J67+H67+I67+F67+E67+C67+D67)*0.022</f>
        <v>-337107.00979999971</v>
      </c>
      <c r="N65" s="340">
        <f>-($B$25+H67+N67+L67+M67+K67+I67+J67+G67+F67+E67+C67+D67)*0.022</f>
        <v>-319364.53559999971</v>
      </c>
      <c r="O65" s="340">
        <f>-($B$25+I67+O67+M67+N67+L67+J67+K67+H67+G67+F67+D67+C67+E67)*0.022</f>
        <v>-301622.06139999971</v>
      </c>
      <c r="P65" s="340">
        <f>-($B$25+J67+P67+N67+O67+M67+K67+L67+I67+H67+G67+E67+F67+C67+D67)*0.022</f>
        <v>-283879.58719999972</v>
      </c>
      <c r="Q65" s="340">
        <f>-($B$25+K67+Q67+O67+P67+N67+L67+M67+J67+I67+H67+F67+G67+D67+C67+E67)*0.022</f>
        <v>-266137.11299999972</v>
      </c>
      <c r="R65" s="340">
        <f>-($B$25+L67+R67+P67+Q67+O67+M67+N67+K67+J67+I67+G67+H67+E67+D67+C67+F67)*0.022</f>
        <v>-248394.63879999975</v>
      </c>
      <c r="S65" s="340">
        <f>-($B$25+M67+S67+Q67+R67+P67+N67+O67+L67+K67+J67+H67+I67+F67+E67+D67+C67+G67)*0.022</f>
        <v>-230652.16459999976</v>
      </c>
      <c r="T65" s="340">
        <f>-($B$25+N67+T67+R67+S67+Q67+O67+P67+M67+L67+K67+I67+J67+G67+F67+E67+D67+C67+H67)*0.022</f>
        <v>-212909.69039999976</v>
      </c>
      <c r="U65" s="340">
        <f>-($B$25+O67+U67+S67+T67+R67+P67+Q67+N67+M67+L67+J67+K67+H67+G67+F67+E67+C67+D67++I67)*0.022</f>
        <v>-195167.21619999976</v>
      </c>
      <c r="V65" s="340">
        <f>-($B$25+P67+V67+T67+U67+S67+Q67+R67+O67+N67+M67+K67+L67+I67+H67+G67+F67+D67+E67+C67+J67)*0.022</f>
        <v>-177424.74199999979</v>
      </c>
      <c r="W65" s="340">
        <f>-($B$25+Q67+W67+U67+V67+T67+R67+S67+P67+O67+N67+L67+M67+J67+I67+H67+G67+E67+F67+D67+C67+K67)*0.022</f>
        <v>-159682.2677999998</v>
      </c>
      <c r="X65" s="340">
        <f>-($B$25+R67+X67+V67+W67+U67+S67+T67+Q67+P67+O67+M67+N67+K67+J67+I67+H67+F67+G67+E67+D67+C67+L67)*0.022</f>
        <v>-141939.7935999998</v>
      </c>
      <c r="Y65" s="340">
        <f>-($B$25+S67+Y67+W67+X67+V67+T67+U67+R67+Q67+P67+N67+O67+L67+K67+J67+I67+G67+H67+F67+E67+D67+C67+M67)*0.022</f>
        <v>-124197.31939999982</v>
      </c>
      <c r="Z65" s="340">
        <f>-($B$25+T67+Z67+X67+Y67+W67+U67+V67+S67+R67+Q67+O67+P67+M67+L67+K67+J67+H67+I67+G67+F67+E67+D67+C67+N67)*0.022</f>
        <v>-106454.84519999982</v>
      </c>
      <c r="AA65" s="340">
        <f>-($B$25+U67+AA67+Y67+Z67+X67+V67+W67+T67+S67+R67+P67+Q67+N67+M67+L67+K67+I67+J67+H67+G67+F67+E67+D67+C67+O67)*0.022</f>
        <v>-88712.370999999825</v>
      </c>
      <c r="AB65" s="340">
        <f>-($B$25+V67+AB67+Z67+AA67+Y67+W67+X67+U67+T67+S67+Q67+R67+O67+N67+M67+L67+J67+K67+I67+H67+G67+F67+E67+D67+C67+P67)*0.022</f>
        <v>-70969.896799999813</v>
      </c>
      <c r="AC65" s="340">
        <f>-($B$25+W67+AC67+AA67+AB67+Z67+X67+Y67+V67+U67+T67+R67+S67+P67+O67+N67+M67+K67+L67+J67+I67+H67+G67+F67+E67+D67+C67+Q67)*0.022</f>
        <v>-53227.422599999816</v>
      </c>
      <c r="AD65" s="340">
        <f>-($B$25+X67+AD67+AB67+AC67+AA67+Y67+Z67+W67+V67+U67+S67+T67+Q67+P67+O67+N67+L67+M67+K67+J67+I67+H67+G67+F67+E67+D67+C67+R67)*0.022</f>
        <v>-35484.948399999819</v>
      </c>
      <c r="AE65" s="340">
        <f>-($B$25+Y67+AE67+AC67+AD67+AB67+Z67+AA67+X67+W67+V67+T67+U67+R67+Q67+P67+O67+M67+N67+L67+K67+J67+I67+H67+G67+F67+E67+D67+C67+S67)*0.022</f>
        <v>-17742.474199999819</v>
      </c>
      <c r="AF65" s="340">
        <f>-($B$25+Z67+AF67+AD67+AE67+AC67+AA67+AB67+Y67+X67+W67+U67+V67+S67+R67+Q67+P67+N67+O67+M67+L67+K67+J67+I67+H67+G67+F67+E67+D67+C67+T67)*0.022</f>
        <v>1.7927959561347959E-10</v>
      </c>
      <c r="AG65" s="243"/>
      <c r="AH65" s="243"/>
      <c r="AI65" s="243"/>
      <c r="AJ65" s="243"/>
      <c r="AK65" s="243"/>
      <c r="AL65" s="243"/>
      <c r="AM65" s="243"/>
      <c r="AN65" s="243"/>
      <c r="AO65" s="243"/>
      <c r="AP65" s="243"/>
    </row>
    <row r="66" spans="1:45" ht="28.5" x14ac:dyDescent="0.2">
      <c r="A66" s="252" t="s">
        <v>547</v>
      </c>
      <c r="B66" s="250">
        <f t="shared" ref="B66:AO66" si="14">B59+B60</f>
        <v>8233098</v>
      </c>
      <c r="C66" s="250">
        <f t="shared" si="14"/>
        <v>-514531.75179999991</v>
      </c>
      <c r="D66" s="250">
        <f t="shared" si="14"/>
        <v>-276349.83923728467</v>
      </c>
      <c r="E66" s="250">
        <f t="shared" si="14"/>
        <v>-133564.89853993675</v>
      </c>
      <c r="F66" s="250">
        <f t="shared" si="14"/>
        <v>101853.23448795371</v>
      </c>
      <c r="G66" s="250">
        <f t="shared" si="14"/>
        <v>356607.99036344164</v>
      </c>
      <c r="H66" s="250">
        <f t="shared" si="14"/>
        <v>632397.88565823867</v>
      </c>
      <c r="I66" s="250">
        <f t="shared" si="14"/>
        <v>1161476.7553133015</v>
      </c>
      <c r="J66" s="250">
        <f t="shared" si="14"/>
        <v>1252988.2516232266</v>
      </c>
      <c r="K66" s="250">
        <f t="shared" si="14"/>
        <v>1347966.8919723181</v>
      </c>
      <c r="L66" s="250">
        <f t="shared" si="14"/>
        <v>1446575.6321304168</v>
      </c>
      <c r="M66" s="250">
        <f t="shared" si="14"/>
        <v>1548985.0867885463</v>
      </c>
      <c r="N66" s="250">
        <f t="shared" si="14"/>
        <v>1655373.8895282077</v>
      </c>
      <c r="O66" s="250">
        <f t="shared" si="14"/>
        <v>1765929.069709233</v>
      </c>
      <c r="P66" s="250">
        <f t="shared" si="14"/>
        <v>1880846.4470713669</v>
      </c>
      <c r="Q66" s="250">
        <f t="shared" si="14"/>
        <v>2000331.0448821208</v>
      </c>
      <c r="R66" s="250">
        <f t="shared" si="14"/>
        <v>2124597.5225025807</v>
      </c>
      <c r="S66" s="250">
        <f t="shared" si="14"/>
        <v>2253870.6282838015</v>
      </c>
      <c r="T66" s="250">
        <f t="shared" si="14"/>
        <v>2388385.6737493398</v>
      </c>
      <c r="U66" s="250">
        <f t="shared" si="14"/>
        <v>2528389.0300643588</v>
      </c>
      <c r="V66" s="250">
        <f t="shared" si="14"/>
        <v>2674138.647838783</v>
      </c>
      <c r="W66" s="250">
        <f t="shared" si="14"/>
        <v>2825904.6013612058</v>
      </c>
      <c r="X66" s="250">
        <f t="shared" si="14"/>
        <v>2983969.6584117822</v>
      </c>
      <c r="Y66" s="250">
        <f t="shared" si="14"/>
        <v>3148629.8768563354</v>
      </c>
      <c r="Z66" s="250">
        <f t="shared" si="14"/>
        <v>3320195.2292803833</v>
      </c>
      <c r="AA66" s="250">
        <f t="shared" si="14"/>
        <v>3498990.2569809617</v>
      </c>
      <c r="AB66" s="250">
        <f t="shared" si="14"/>
        <v>3685354.7546960665</v>
      </c>
      <c r="AC66" s="250">
        <f t="shared" si="14"/>
        <v>3879644.4875163813</v>
      </c>
      <c r="AD66" s="250">
        <f t="shared" si="14"/>
        <v>4082231.9414918511</v>
      </c>
      <c r="AE66" s="250">
        <f t="shared" si="14"/>
        <v>4293507.1095167678</v>
      </c>
      <c r="AF66" s="250">
        <f t="shared" si="14"/>
        <v>4513878.3141514556</v>
      </c>
      <c r="AG66" s="250">
        <f t="shared" si="14"/>
        <v>4726030.5949165728</v>
      </c>
      <c r="AH66" s="250">
        <f t="shared" si="14"/>
        <v>4948154.032877652</v>
      </c>
      <c r="AI66" s="250">
        <f t="shared" si="14"/>
        <v>5180717.2724229023</v>
      </c>
      <c r="AJ66" s="250">
        <f t="shared" si="14"/>
        <v>5424210.9842267781</v>
      </c>
      <c r="AK66" s="250">
        <f t="shared" si="14"/>
        <v>5679148.9004854364</v>
      </c>
      <c r="AL66" s="250">
        <f t="shared" si="14"/>
        <v>5946068.8988082521</v>
      </c>
      <c r="AM66" s="250">
        <f t="shared" si="14"/>
        <v>6225534.1370522389</v>
      </c>
      <c r="AN66" s="250">
        <f t="shared" si="14"/>
        <v>6518134.2414936945</v>
      </c>
      <c r="AO66" s="250">
        <f t="shared" si="14"/>
        <v>6824486.5508438973</v>
      </c>
      <c r="AP66" s="250">
        <f>AP59+AP60</f>
        <v>7145237.4187335614</v>
      </c>
    </row>
    <row r="67" spans="1:45" x14ac:dyDescent="0.2">
      <c r="A67" s="251" t="s">
        <v>255</v>
      </c>
      <c r="B67" s="253"/>
      <c r="C67" s="334">
        <f>-($B$25)*$B$28/$B$27</f>
        <v>-806476.1</v>
      </c>
      <c r="D67" s="334">
        <f>C67</f>
        <v>-806476.1</v>
      </c>
      <c r="E67" s="334">
        <f t="shared" ref="E67:L67" si="15">D67</f>
        <v>-806476.1</v>
      </c>
      <c r="F67" s="334">
        <f t="shared" si="15"/>
        <v>-806476.1</v>
      </c>
      <c r="G67" s="334">
        <f t="shared" si="15"/>
        <v>-806476.1</v>
      </c>
      <c r="H67" s="334">
        <f t="shared" si="15"/>
        <v>-806476.1</v>
      </c>
      <c r="I67" s="334">
        <f t="shared" si="15"/>
        <v>-806476.1</v>
      </c>
      <c r="J67" s="334">
        <f t="shared" si="15"/>
        <v>-806476.1</v>
      </c>
      <c r="K67" s="334">
        <f t="shared" si="15"/>
        <v>-806476.1</v>
      </c>
      <c r="L67" s="334">
        <f t="shared" si="15"/>
        <v>-806476.1</v>
      </c>
      <c r="M67" s="243">
        <f t="shared" ref="M67:AP67" si="16">L67</f>
        <v>-806476.1</v>
      </c>
      <c r="N67" s="243">
        <f t="shared" si="16"/>
        <v>-806476.1</v>
      </c>
      <c r="O67" s="243">
        <f t="shared" si="16"/>
        <v>-806476.1</v>
      </c>
      <c r="P67" s="243">
        <f t="shared" si="16"/>
        <v>-806476.1</v>
      </c>
      <c r="Q67" s="243">
        <f t="shared" si="16"/>
        <v>-806476.1</v>
      </c>
      <c r="R67" s="243">
        <f t="shared" si="16"/>
        <v>-806476.1</v>
      </c>
      <c r="S67" s="243">
        <f t="shared" si="16"/>
        <v>-806476.1</v>
      </c>
      <c r="T67" s="243">
        <f t="shared" si="16"/>
        <v>-806476.1</v>
      </c>
      <c r="U67" s="243">
        <f t="shared" si="16"/>
        <v>-806476.1</v>
      </c>
      <c r="V67" s="243">
        <f t="shared" si="16"/>
        <v>-806476.1</v>
      </c>
      <c r="W67" s="243">
        <f t="shared" si="16"/>
        <v>-806476.1</v>
      </c>
      <c r="X67" s="243">
        <f t="shared" si="16"/>
        <v>-806476.1</v>
      </c>
      <c r="Y67" s="243">
        <f t="shared" si="16"/>
        <v>-806476.1</v>
      </c>
      <c r="Z67" s="243">
        <f t="shared" si="16"/>
        <v>-806476.1</v>
      </c>
      <c r="AA67" s="243">
        <f t="shared" si="16"/>
        <v>-806476.1</v>
      </c>
      <c r="AB67" s="243">
        <f t="shared" si="16"/>
        <v>-806476.1</v>
      </c>
      <c r="AC67" s="243">
        <f t="shared" si="16"/>
        <v>-806476.1</v>
      </c>
      <c r="AD67" s="243">
        <f t="shared" si="16"/>
        <v>-806476.1</v>
      </c>
      <c r="AE67" s="243">
        <f t="shared" si="16"/>
        <v>-806476.1</v>
      </c>
      <c r="AF67" s="243">
        <f t="shared" si="16"/>
        <v>-806476.1</v>
      </c>
      <c r="AG67" s="243">
        <f t="shared" si="16"/>
        <v>-806476.1</v>
      </c>
      <c r="AH67" s="243">
        <f t="shared" si="16"/>
        <v>-806476.1</v>
      </c>
      <c r="AI67" s="243">
        <f t="shared" si="16"/>
        <v>-806476.1</v>
      </c>
      <c r="AJ67" s="243">
        <f t="shared" si="16"/>
        <v>-806476.1</v>
      </c>
      <c r="AK67" s="243">
        <f t="shared" si="16"/>
        <v>-806476.1</v>
      </c>
      <c r="AL67" s="243">
        <f t="shared" si="16"/>
        <v>-806476.1</v>
      </c>
      <c r="AM67" s="243">
        <f t="shared" si="16"/>
        <v>-806476.1</v>
      </c>
      <c r="AN67" s="243">
        <f t="shared" si="16"/>
        <v>-806476.1</v>
      </c>
      <c r="AO67" s="243">
        <f t="shared" si="16"/>
        <v>-806476.1</v>
      </c>
      <c r="AP67" s="243">
        <f t="shared" si="16"/>
        <v>-806476.1</v>
      </c>
      <c r="AQ67" s="254"/>
      <c r="AR67" s="255"/>
      <c r="AS67" s="255"/>
    </row>
    <row r="68" spans="1:45" ht="28.5" x14ac:dyDescent="0.2">
      <c r="A68" s="252" t="s">
        <v>548</v>
      </c>
      <c r="B68" s="250">
        <f t="shared" ref="B68:J68" si="17">B66+B67</f>
        <v>8233098</v>
      </c>
      <c r="C68" s="250">
        <f>C66+C67</f>
        <v>-1321007.8517999998</v>
      </c>
      <c r="D68" s="250">
        <f>D66+D67</f>
        <v>-1082825.9392372847</v>
      </c>
      <c r="E68" s="250">
        <f t="shared" si="17"/>
        <v>-940040.99853993673</v>
      </c>
      <c r="F68" s="250">
        <f>F66+C67</f>
        <v>-704622.86551204626</v>
      </c>
      <c r="G68" s="250">
        <f t="shared" si="17"/>
        <v>-449868.10963655834</v>
      </c>
      <c r="H68" s="250">
        <f t="shared" si="17"/>
        <v>-174078.21434176131</v>
      </c>
      <c r="I68" s="250">
        <f t="shared" si="17"/>
        <v>355000.65531330148</v>
      </c>
      <c r="J68" s="250">
        <f t="shared" si="17"/>
        <v>446512.15162322659</v>
      </c>
      <c r="K68" s="250">
        <f>K66+K67</f>
        <v>541490.79197231808</v>
      </c>
      <c r="L68" s="250">
        <f>L66+L67</f>
        <v>640099.53213041683</v>
      </c>
      <c r="M68" s="250">
        <f t="shared" ref="M68:AO68" si="18">M66+M67</f>
        <v>742508.98678854632</v>
      </c>
      <c r="N68" s="250">
        <f t="shared" si="18"/>
        <v>848897.78952820774</v>
      </c>
      <c r="O68" s="250">
        <f t="shared" si="18"/>
        <v>959452.96970923303</v>
      </c>
      <c r="P68" s="250">
        <f t="shared" si="18"/>
        <v>1074370.3470713669</v>
      </c>
      <c r="Q68" s="250">
        <f t="shared" si="18"/>
        <v>1193854.9448821209</v>
      </c>
      <c r="R68" s="250">
        <f t="shared" si="18"/>
        <v>1318121.4225025806</v>
      </c>
      <c r="S68" s="250">
        <f t="shared" si="18"/>
        <v>1447394.5282838014</v>
      </c>
      <c r="T68" s="250">
        <f t="shared" si="18"/>
        <v>1581909.5737493397</v>
      </c>
      <c r="U68" s="250">
        <f t="shared" si="18"/>
        <v>1721912.9300643587</v>
      </c>
      <c r="V68" s="250">
        <f t="shared" si="18"/>
        <v>1867662.5478387829</v>
      </c>
      <c r="W68" s="250">
        <f t="shared" si="18"/>
        <v>2019428.5013612057</v>
      </c>
      <c r="X68" s="250">
        <f t="shared" si="18"/>
        <v>2177493.5584117821</v>
      </c>
      <c r="Y68" s="250">
        <f t="shared" si="18"/>
        <v>2342153.7768563353</v>
      </c>
      <c r="Z68" s="250">
        <f t="shared" si="18"/>
        <v>2513719.1292803832</v>
      </c>
      <c r="AA68" s="250">
        <f t="shared" si="18"/>
        <v>2692514.1569809616</v>
      </c>
      <c r="AB68" s="250">
        <f t="shared" si="18"/>
        <v>2878878.6546960664</v>
      </c>
      <c r="AC68" s="250">
        <f t="shared" si="18"/>
        <v>3073168.3875163812</v>
      </c>
      <c r="AD68" s="250">
        <f t="shared" si="18"/>
        <v>3275755.841491851</v>
      </c>
      <c r="AE68" s="250">
        <f t="shared" si="18"/>
        <v>3487031.0095167677</v>
      </c>
      <c r="AF68" s="250">
        <f t="shared" si="18"/>
        <v>3707402.2141514556</v>
      </c>
      <c r="AG68" s="250">
        <f t="shared" si="18"/>
        <v>3919554.4949165727</v>
      </c>
      <c r="AH68" s="250">
        <f t="shared" si="18"/>
        <v>4141677.9328776519</v>
      </c>
      <c r="AI68" s="250">
        <f t="shared" si="18"/>
        <v>4374241.1724229027</v>
      </c>
      <c r="AJ68" s="250">
        <f t="shared" si="18"/>
        <v>4617734.8842267785</v>
      </c>
      <c r="AK68" s="250">
        <f t="shared" si="18"/>
        <v>4872672.8004854368</v>
      </c>
      <c r="AL68" s="250">
        <f t="shared" si="18"/>
        <v>5139592.7988082524</v>
      </c>
      <c r="AM68" s="250">
        <f t="shared" si="18"/>
        <v>5419058.0370522393</v>
      </c>
      <c r="AN68" s="250">
        <f t="shared" si="18"/>
        <v>5711658.1414936949</v>
      </c>
      <c r="AO68" s="250">
        <f t="shared" si="18"/>
        <v>6018010.4508438976</v>
      </c>
      <c r="AP68" s="250">
        <f>AP66+AP67</f>
        <v>6338761.3187335618</v>
      </c>
    </row>
    <row r="69" spans="1:45" x14ac:dyDescent="0.2">
      <c r="A69" s="251" t="s">
        <v>254</v>
      </c>
      <c r="B69" s="243">
        <f t="shared" ref="B69:AO69" si="19">-B56</f>
        <v>0</v>
      </c>
      <c r="C69" s="243">
        <f t="shared" si="19"/>
        <v>0</v>
      </c>
      <c r="D69" s="243">
        <f t="shared" si="19"/>
        <v>0</v>
      </c>
      <c r="E69" s="243">
        <f t="shared" si="19"/>
        <v>0</v>
      </c>
      <c r="F69" s="243">
        <f t="shared" si="19"/>
        <v>0</v>
      </c>
      <c r="G69" s="243">
        <f t="shared" si="19"/>
        <v>0</v>
      </c>
      <c r="H69" s="243">
        <f t="shared" si="19"/>
        <v>0</v>
      </c>
      <c r="I69" s="243">
        <f t="shared" si="19"/>
        <v>0</v>
      </c>
      <c r="J69" s="243">
        <f t="shared" si="19"/>
        <v>0</v>
      </c>
      <c r="K69" s="243">
        <f t="shared" si="19"/>
        <v>0</v>
      </c>
      <c r="L69" s="243">
        <f t="shared" si="19"/>
        <v>0</v>
      </c>
      <c r="M69" s="243">
        <f t="shared" si="19"/>
        <v>0</v>
      </c>
      <c r="N69" s="243">
        <f t="shared" si="19"/>
        <v>0</v>
      </c>
      <c r="O69" s="243">
        <f t="shared" si="19"/>
        <v>0</v>
      </c>
      <c r="P69" s="243">
        <f t="shared" si="19"/>
        <v>0</v>
      </c>
      <c r="Q69" s="243">
        <f t="shared" si="19"/>
        <v>0</v>
      </c>
      <c r="R69" s="243">
        <f t="shared" si="19"/>
        <v>0</v>
      </c>
      <c r="S69" s="243">
        <f t="shared" si="19"/>
        <v>0</v>
      </c>
      <c r="T69" s="243">
        <f t="shared" si="19"/>
        <v>0</v>
      </c>
      <c r="U69" s="243">
        <f t="shared" si="19"/>
        <v>0</v>
      </c>
      <c r="V69" s="243">
        <f t="shared" si="19"/>
        <v>0</v>
      </c>
      <c r="W69" s="243">
        <f t="shared" si="19"/>
        <v>0</v>
      </c>
      <c r="X69" s="243">
        <f t="shared" si="19"/>
        <v>0</v>
      </c>
      <c r="Y69" s="243">
        <f t="shared" si="19"/>
        <v>0</v>
      </c>
      <c r="Z69" s="243">
        <f t="shared" si="19"/>
        <v>0</v>
      </c>
      <c r="AA69" s="243">
        <f t="shared" si="19"/>
        <v>0</v>
      </c>
      <c r="AB69" s="243">
        <f t="shared" si="19"/>
        <v>0</v>
      </c>
      <c r="AC69" s="243">
        <f t="shared" si="19"/>
        <v>0</v>
      </c>
      <c r="AD69" s="243">
        <f t="shared" si="19"/>
        <v>0</v>
      </c>
      <c r="AE69" s="243">
        <f t="shared" si="19"/>
        <v>0</v>
      </c>
      <c r="AF69" s="243">
        <f t="shared" si="19"/>
        <v>0</v>
      </c>
      <c r="AG69" s="243">
        <f t="shared" si="19"/>
        <v>0</v>
      </c>
      <c r="AH69" s="243">
        <f t="shared" si="19"/>
        <v>0</v>
      </c>
      <c r="AI69" s="243">
        <f t="shared" si="19"/>
        <v>0</v>
      </c>
      <c r="AJ69" s="243">
        <f t="shared" si="19"/>
        <v>0</v>
      </c>
      <c r="AK69" s="243">
        <f t="shared" si="19"/>
        <v>0</v>
      </c>
      <c r="AL69" s="243">
        <f t="shared" si="19"/>
        <v>0</v>
      </c>
      <c r="AM69" s="243">
        <f t="shared" si="19"/>
        <v>0</v>
      </c>
      <c r="AN69" s="243">
        <f t="shared" si="19"/>
        <v>0</v>
      </c>
      <c r="AO69" s="243">
        <f t="shared" si="19"/>
        <v>0</v>
      </c>
      <c r="AP69" s="243">
        <f>-AP56</f>
        <v>0</v>
      </c>
    </row>
    <row r="70" spans="1:45" ht="14.25" x14ac:dyDescent="0.2">
      <c r="A70" s="252" t="s">
        <v>258</v>
      </c>
      <c r="B70" s="250">
        <f t="shared" ref="B70:AO70" si="20">B68+B69</f>
        <v>8233098</v>
      </c>
      <c r="C70" s="250">
        <f t="shared" si="20"/>
        <v>-1321007.8517999998</v>
      </c>
      <c r="D70" s="250">
        <f t="shared" si="20"/>
        <v>-1082825.9392372847</v>
      </c>
      <c r="E70" s="250">
        <f t="shared" si="20"/>
        <v>-940040.99853993673</v>
      </c>
      <c r="F70" s="250">
        <f t="shared" si="20"/>
        <v>-704622.86551204626</v>
      </c>
      <c r="G70" s="250">
        <f t="shared" si="20"/>
        <v>-449868.10963655834</v>
      </c>
      <c r="H70" s="250">
        <f t="shared" si="20"/>
        <v>-174078.21434176131</v>
      </c>
      <c r="I70" s="250">
        <f t="shared" si="20"/>
        <v>355000.65531330148</v>
      </c>
      <c r="J70" s="250">
        <f t="shared" si="20"/>
        <v>446512.15162322659</v>
      </c>
      <c r="K70" s="250">
        <f t="shared" si="20"/>
        <v>541490.79197231808</v>
      </c>
      <c r="L70" s="250">
        <f t="shared" si="20"/>
        <v>640099.53213041683</v>
      </c>
      <c r="M70" s="250">
        <f t="shared" si="20"/>
        <v>742508.98678854632</v>
      </c>
      <c r="N70" s="250">
        <f t="shared" si="20"/>
        <v>848897.78952820774</v>
      </c>
      <c r="O70" s="250">
        <f t="shared" si="20"/>
        <v>959452.96970923303</v>
      </c>
      <c r="P70" s="250">
        <f t="shared" si="20"/>
        <v>1074370.3470713669</v>
      </c>
      <c r="Q70" s="250">
        <f t="shared" si="20"/>
        <v>1193854.9448821209</v>
      </c>
      <c r="R70" s="250">
        <f t="shared" si="20"/>
        <v>1318121.4225025806</v>
      </c>
      <c r="S70" s="250">
        <f t="shared" si="20"/>
        <v>1447394.5282838014</v>
      </c>
      <c r="T70" s="250">
        <f t="shared" si="20"/>
        <v>1581909.5737493397</v>
      </c>
      <c r="U70" s="250">
        <f t="shared" si="20"/>
        <v>1721912.9300643587</v>
      </c>
      <c r="V70" s="250">
        <f t="shared" si="20"/>
        <v>1867662.5478387829</v>
      </c>
      <c r="W70" s="250">
        <f t="shared" si="20"/>
        <v>2019428.5013612057</v>
      </c>
      <c r="X70" s="250">
        <f t="shared" si="20"/>
        <v>2177493.5584117821</v>
      </c>
      <c r="Y70" s="250">
        <f t="shared" si="20"/>
        <v>2342153.7768563353</v>
      </c>
      <c r="Z70" s="250">
        <f t="shared" si="20"/>
        <v>2513719.1292803832</v>
      </c>
      <c r="AA70" s="250">
        <f t="shared" si="20"/>
        <v>2692514.1569809616</v>
      </c>
      <c r="AB70" s="250">
        <f t="shared" si="20"/>
        <v>2878878.6546960664</v>
      </c>
      <c r="AC70" s="250">
        <f t="shared" si="20"/>
        <v>3073168.3875163812</v>
      </c>
      <c r="AD70" s="250">
        <f t="shared" si="20"/>
        <v>3275755.841491851</v>
      </c>
      <c r="AE70" s="250">
        <f t="shared" si="20"/>
        <v>3487031.0095167677</v>
      </c>
      <c r="AF70" s="250">
        <f t="shared" si="20"/>
        <v>3707402.2141514556</v>
      </c>
      <c r="AG70" s="250">
        <f t="shared" si="20"/>
        <v>3919554.4949165727</v>
      </c>
      <c r="AH70" s="250">
        <f t="shared" si="20"/>
        <v>4141677.9328776519</v>
      </c>
      <c r="AI70" s="250">
        <f t="shared" si="20"/>
        <v>4374241.1724229027</v>
      </c>
      <c r="AJ70" s="250">
        <f t="shared" si="20"/>
        <v>4617734.8842267785</v>
      </c>
      <c r="AK70" s="250">
        <f t="shared" si="20"/>
        <v>4872672.8004854368</v>
      </c>
      <c r="AL70" s="250">
        <f t="shared" si="20"/>
        <v>5139592.7988082524</v>
      </c>
      <c r="AM70" s="250">
        <f t="shared" si="20"/>
        <v>5419058.0370522393</v>
      </c>
      <c r="AN70" s="250">
        <f t="shared" si="20"/>
        <v>5711658.1414936949</v>
      </c>
      <c r="AO70" s="250">
        <f t="shared" si="20"/>
        <v>6018010.4508438976</v>
      </c>
      <c r="AP70" s="250">
        <f>AP68+AP69</f>
        <v>6338761.3187335618</v>
      </c>
    </row>
    <row r="71" spans="1:45" x14ac:dyDescent="0.2">
      <c r="A71" s="251" t="s">
        <v>253</v>
      </c>
      <c r="B71" s="243">
        <f t="shared" ref="B71:AP71" si="21">-B70*$B$36</f>
        <v>-1646619.6</v>
      </c>
      <c r="C71" s="243">
        <f t="shared" si="21"/>
        <v>264201.57035999995</v>
      </c>
      <c r="D71" s="243">
        <f t="shared" si="21"/>
        <v>216565.18784745695</v>
      </c>
      <c r="E71" s="243">
        <f t="shared" si="21"/>
        <v>188008.19970798737</v>
      </c>
      <c r="F71" s="243">
        <f t="shared" si="21"/>
        <v>140924.57310240925</v>
      </c>
      <c r="G71" s="243">
        <f t="shared" si="21"/>
        <v>89973.621927311673</v>
      </c>
      <c r="H71" s="243">
        <f t="shared" si="21"/>
        <v>34815.642868352261</v>
      </c>
      <c r="I71" s="243">
        <f t="shared" si="21"/>
        <v>-71000.131062660294</v>
      </c>
      <c r="J71" s="243">
        <f t="shared" si="21"/>
        <v>-89302.43032464532</v>
      </c>
      <c r="K71" s="243">
        <f t="shared" si="21"/>
        <v>-108298.15839446362</v>
      </c>
      <c r="L71" s="243">
        <f t="shared" si="21"/>
        <v>-128019.90642608337</v>
      </c>
      <c r="M71" s="243">
        <f t="shared" si="21"/>
        <v>-148501.79735770926</v>
      </c>
      <c r="N71" s="243">
        <f t="shared" si="21"/>
        <v>-169779.55790564156</v>
      </c>
      <c r="O71" s="243">
        <f t="shared" si="21"/>
        <v>-191890.59394184663</v>
      </c>
      <c r="P71" s="243">
        <f t="shared" si="21"/>
        <v>-214874.06941427337</v>
      </c>
      <c r="Q71" s="243">
        <f t="shared" si="21"/>
        <v>-238770.98897642421</v>
      </c>
      <c r="R71" s="243">
        <f t="shared" si="21"/>
        <v>-263624.28450051614</v>
      </c>
      <c r="S71" s="243">
        <f t="shared" si="21"/>
        <v>-289478.90565676027</v>
      </c>
      <c r="T71" s="243">
        <f t="shared" si="21"/>
        <v>-316381.91474986798</v>
      </c>
      <c r="U71" s="243">
        <f t="shared" si="21"/>
        <v>-344382.58601287176</v>
      </c>
      <c r="V71" s="243">
        <f t="shared" si="21"/>
        <v>-373532.50956775661</v>
      </c>
      <c r="W71" s="243">
        <f t="shared" si="21"/>
        <v>-403885.70027224114</v>
      </c>
      <c r="X71" s="243">
        <f t="shared" si="21"/>
        <v>-435498.71168235643</v>
      </c>
      <c r="Y71" s="243">
        <f t="shared" si="21"/>
        <v>-468430.75537126709</v>
      </c>
      <c r="Z71" s="243">
        <f t="shared" si="21"/>
        <v>-502743.82585607667</v>
      </c>
      <c r="AA71" s="243">
        <f t="shared" si="21"/>
        <v>-538502.83139619231</v>
      </c>
      <c r="AB71" s="243">
        <f t="shared" si="21"/>
        <v>-575775.7309392133</v>
      </c>
      <c r="AC71" s="243">
        <f t="shared" si="21"/>
        <v>-614633.67750327627</v>
      </c>
      <c r="AD71" s="243">
        <f t="shared" si="21"/>
        <v>-655151.1682983702</v>
      </c>
      <c r="AE71" s="243">
        <f t="shared" si="21"/>
        <v>-697406.20190335356</v>
      </c>
      <c r="AF71" s="243">
        <f t="shared" si="21"/>
        <v>-741480.44283029111</v>
      </c>
      <c r="AG71" s="243">
        <f t="shared" si="21"/>
        <v>-783910.89898331463</v>
      </c>
      <c r="AH71" s="243">
        <f t="shared" si="21"/>
        <v>-828335.58657553047</v>
      </c>
      <c r="AI71" s="243">
        <f t="shared" si="21"/>
        <v>-874848.23448458058</v>
      </c>
      <c r="AJ71" s="243">
        <f t="shared" si="21"/>
        <v>-923546.9768453557</v>
      </c>
      <c r="AK71" s="243">
        <f t="shared" si="21"/>
        <v>-974534.56009708741</v>
      </c>
      <c r="AL71" s="243">
        <f t="shared" si="21"/>
        <v>-1027918.5597616505</v>
      </c>
      <c r="AM71" s="243">
        <f t="shared" si="21"/>
        <v>-1083811.6074104479</v>
      </c>
      <c r="AN71" s="243">
        <f t="shared" si="21"/>
        <v>-1142331.628298739</v>
      </c>
      <c r="AO71" s="243">
        <f t="shared" si="21"/>
        <v>-1203602.0901687795</v>
      </c>
      <c r="AP71" s="243">
        <f t="shared" si="21"/>
        <v>-1267752.2637467124</v>
      </c>
    </row>
    <row r="72" spans="1:45" ht="15" thickBot="1" x14ac:dyDescent="0.25">
      <c r="A72" s="256" t="s">
        <v>257</v>
      </c>
      <c r="B72" s="257">
        <f t="shared" ref="B72:AO72" si="22">B70+B71</f>
        <v>6586478.4000000004</v>
      </c>
      <c r="C72" s="257">
        <f t="shared" si="22"/>
        <v>-1056806.2814399998</v>
      </c>
      <c r="D72" s="257">
        <f t="shared" si="22"/>
        <v>-866260.75138982781</v>
      </c>
      <c r="E72" s="257">
        <f t="shared" si="22"/>
        <v>-752032.79883194936</v>
      </c>
      <c r="F72" s="257">
        <f t="shared" si="22"/>
        <v>-563698.29240963701</v>
      </c>
      <c r="G72" s="257">
        <f t="shared" si="22"/>
        <v>-359894.48770924669</v>
      </c>
      <c r="H72" s="257">
        <f t="shared" si="22"/>
        <v>-139262.57147340904</v>
      </c>
      <c r="I72" s="257">
        <f t="shared" si="22"/>
        <v>284000.52425064117</v>
      </c>
      <c r="J72" s="257">
        <f t="shared" si="22"/>
        <v>357209.72129858128</v>
      </c>
      <c r="K72" s="257">
        <f t="shared" si="22"/>
        <v>433192.63357785449</v>
      </c>
      <c r="L72" s="257">
        <f t="shared" si="22"/>
        <v>512079.62570433348</v>
      </c>
      <c r="M72" s="257">
        <f t="shared" si="22"/>
        <v>594007.18943083705</v>
      </c>
      <c r="N72" s="257">
        <f t="shared" si="22"/>
        <v>679118.23162256624</v>
      </c>
      <c r="O72" s="257">
        <f t="shared" si="22"/>
        <v>767562.3757673864</v>
      </c>
      <c r="P72" s="257">
        <f t="shared" si="22"/>
        <v>859496.27765709348</v>
      </c>
      <c r="Q72" s="257">
        <f t="shared" si="22"/>
        <v>955083.95590569673</v>
      </c>
      <c r="R72" s="257">
        <f t="shared" si="22"/>
        <v>1054497.1380020645</v>
      </c>
      <c r="S72" s="257">
        <f t="shared" si="22"/>
        <v>1157915.6226270411</v>
      </c>
      <c r="T72" s="257">
        <f t="shared" si="22"/>
        <v>1265527.6589994717</v>
      </c>
      <c r="U72" s="257">
        <f t="shared" si="22"/>
        <v>1377530.344051487</v>
      </c>
      <c r="V72" s="257">
        <f t="shared" si="22"/>
        <v>1494130.0382710262</v>
      </c>
      <c r="W72" s="257">
        <f t="shared" si="22"/>
        <v>1615542.8010889646</v>
      </c>
      <c r="X72" s="257">
        <f t="shared" si="22"/>
        <v>1741994.8467294257</v>
      </c>
      <c r="Y72" s="257">
        <f t="shared" si="22"/>
        <v>1873723.0214850684</v>
      </c>
      <c r="Z72" s="257">
        <f t="shared" si="22"/>
        <v>2010975.3034243067</v>
      </c>
      <c r="AA72" s="257">
        <f t="shared" si="22"/>
        <v>2154011.3255847692</v>
      </c>
      <c r="AB72" s="257">
        <f t="shared" si="22"/>
        <v>2303102.9237568532</v>
      </c>
      <c r="AC72" s="257">
        <f t="shared" si="22"/>
        <v>2458534.7100131051</v>
      </c>
      <c r="AD72" s="257">
        <f t="shared" si="22"/>
        <v>2620604.6731934808</v>
      </c>
      <c r="AE72" s="257">
        <f t="shared" si="22"/>
        <v>2789624.8076134142</v>
      </c>
      <c r="AF72" s="257">
        <f t="shared" si="22"/>
        <v>2965921.7713211644</v>
      </c>
      <c r="AG72" s="257">
        <f t="shared" si="22"/>
        <v>3135643.5959332581</v>
      </c>
      <c r="AH72" s="257">
        <f t="shared" si="22"/>
        <v>3313342.3463021214</v>
      </c>
      <c r="AI72" s="257">
        <f t="shared" si="22"/>
        <v>3499392.9379383223</v>
      </c>
      <c r="AJ72" s="257">
        <f t="shared" si="22"/>
        <v>3694187.9073814228</v>
      </c>
      <c r="AK72" s="257">
        <f t="shared" si="22"/>
        <v>3898138.2403883496</v>
      </c>
      <c r="AL72" s="257">
        <f t="shared" si="22"/>
        <v>4111674.239046602</v>
      </c>
      <c r="AM72" s="257">
        <f t="shared" si="22"/>
        <v>4335246.4296417916</v>
      </c>
      <c r="AN72" s="257">
        <f t="shared" si="22"/>
        <v>4569326.5131949559</v>
      </c>
      <c r="AO72" s="257">
        <f t="shared" si="22"/>
        <v>4814408.3606751179</v>
      </c>
      <c r="AP72" s="257">
        <f>AP70+AP71</f>
        <v>5071009.0549868494</v>
      </c>
    </row>
    <row r="73" spans="1:45" s="248" customFormat="1" ht="16.5" thickBot="1" x14ac:dyDescent="0.25">
      <c r="A73" s="246"/>
      <c r="B73" s="258">
        <f>G141</f>
        <v>0.5</v>
      </c>
      <c r="C73" s="258">
        <f>H141</f>
        <v>1.5</v>
      </c>
      <c r="D73" s="258">
        <f t="shared" ref="D73:AP73" si="23">I141</f>
        <v>2.5</v>
      </c>
      <c r="E73" s="258">
        <f t="shared" si="23"/>
        <v>3.5</v>
      </c>
      <c r="F73" s="258">
        <f t="shared" si="23"/>
        <v>4.5</v>
      </c>
      <c r="G73" s="258">
        <f t="shared" si="23"/>
        <v>5.5</v>
      </c>
      <c r="H73" s="258">
        <f t="shared" si="23"/>
        <v>6.5</v>
      </c>
      <c r="I73" s="258">
        <f t="shared" si="23"/>
        <v>7.5</v>
      </c>
      <c r="J73" s="258">
        <f t="shared" si="23"/>
        <v>8.5</v>
      </c>
      <c r="K73" s="258">
        <f t="shared" si="23"/>
        <v>9.5</v>
      </c>
      <c r="L73" s="258">
        <f t="shared" si="23"/>
        <v>10.5</v>
      </c>
      <c r="M73" s="258">
        <f t="shared" si="23"/>
        <v>11.5</v>
      </c>
      <c r="N73" s="258">
        <f t="shared" si="23"/>
        <v>12.5</v>
      </c>
      <c r="O73" s="258">
        <f t="shared" si="23"/>
        <v>13.5</v>
      </c>
      <c r="P73" s="258">
        <f t="shared" si="23"/>
        <v>14.5</v>
      </c>
      <c r="Q73" s="258">
        <f t="shared" si="23"/>
        <v>15.5</v>
      </c>
      <c r="R73" s="258">
        <f t="shared" si="23"/>
        <v>16.5</v>
      </c>
      <c r="S73" s="258">
        <f t="shared" si="23"/>
        <v>17.5</v>
      </c>
      <c r="T73" s="258">
        <f t="shared" si="23"/>
        <v>18.5</v>
      </c>
      <c r="U73" s="258">
        <f t="shared" si="23"/>
        <v>19.5</v>
      </c>
      <c r="V73" s="258">
        <f t="shared" si="23"/>
        <v>20.5</v>
      </c>
      <c r="W73" s="258">
        <f t="shared" si="23"/>
        <v>21.5</v>
      </c>
      <c r="X73" s="258">
        <f t="shared" si="23"/>
        <v>22.5</v>
      </c>
      <c r="Y73" s="258">
        <f t="shared" si="23"/>
        <v>23.5</v>
      </c>
      <c r="Z73" s="258">
        <f t="shared" si="23"/>
        <v>24.5</v>
      </c>
      <c r="AA73" s="258">
        <f t="shared" si="23"/>
        <v>25.5</v>
      </c>
      <c r="AB73" s="258">
        <f t="shared" si="23"/>
        <v>26.5</v>
      </c>
      <c r="AC73" s="258">
        <f t="shared" si="23"/>
        <v>27.5</v>
      </c>
      <c r="AD73" s="258">
        <f t="shared" si="23"/>
        <v>28.5</v>
      </c>
      <c r="AE73" s="258">
        <f t="shared" si="23"/>
        <v>29.5</v>
      </c>
      <c r="AF73" s="258">
        <f t="shared" si="23"/>
        <v>30.5</v>
      </c>
      <c r="AG73" s="258">
        <f t="shared" si="23"/>
        <v>31.5</v>
      </c>
      <c r="AH73" s="258">
        <f t="shared" si="23"/>
        <v>32.5</v>
      </c>
      <c r="AI73" s="258">
        <f t="shared" si="23"/>
        <v>33.5</v>
      </c>
      <c r="AJ73" s="258">
        <f t="shared" si="23"/>
        <v>34.5</v>
      </c>
      <c r="AK73" s="258">
        <f t="shared" si="23"/>
        <v>35.5</v>
      </c>
      <c r="AL73" s="258">
        <f t="shared" si="23"/>
        <v>36.5</v>
      </c>
      <c r="AM73" s="258">
        <f t="shared" si="23"/>
        <v>37.5</v>
      </c>
      <c r="AN73" s="258">
        <f t="shared" si="23"/>
        <v>38.5</v>
      </c>
      <c r="AO73" s="258">
        <f t="shared" si="23"/>
        <v>39.5</v>
      </c>
      <c r="AP73" s="258">
        <f t="shared" si="23"/>
        <v>40.5</v>
      </c>
      <c r="AQ73" s="190"/>
      <c r="AR73" s="190"/>
      <c r="AS73" s="190"/>
    </row>
    <row r="74" spans="1:45" x14ac:dyDescent="0.2">
      <c r="A74" s="240" t="s">
        <v>256</v>
      </c>
      <c r="B74" s="241">
        <f t="shared" ref="B74:AO74" si="24">B58</f>
        <v>1</v>
      </c>
      <c r="C74" s="241">
        <f t="shared" si="24"/>
        <v>2</v>
      </c>
      <c r="D74" s="241">
        <f t="shared" si="24"/>
        <v>3</v>
      </c>
      <c r="E74" s="241">
        <f t="shared" si="24"/>
        <v>4</v>
      </c>
      <c r="F74" s="241">
        <f t="shared" si="24"/>
        <v>5</v>
      </c>
      <c r="G74" s="241">
        <f t="shared" si="24"/>
        <v>6</v>
      </c>
      <c r="H74" s="241">
        <f t="shared" si="24"/>
        <v>7</v>
      </c>
      <c r="I74" s="241">
        <f t="shared" si="24"/>
        <v>8</v>
      </c>
      <c r="J74" s="241">
        <f t="shared" si="24"/>
        <v>9</v>
      </c>
      <c r="K74" s="241">
        <f t="shared" si="24"/>
        <v>10</v>
      </c>
      <c r="L74" s="241">
        <f t="shared" si="24"/>
        <v>11</v>
      </c>
      <c r="M74" s="241">
        <f t="shared" si="24"/>
        <v>12</v>
      </c>
      <c r="N74" s="241">
        <f t="shared" si="24"/>
        <v>13</v>
      </c>
      <c r="O74" s="241">
        <f t="shared" si="24"/>
        <v>14</v>
      </c>
      <c r="P74" s="241">
        <f t="shared" si="24"/>
        <v>15</v>
      </c>
      <c r="Q74" s="241">
        <f t="shared" si="24"/>
        <v>16</v>
      </c>
      <c r="R74" s="241">
        <f t="shared" si="24"/>
        <v>17</v>
      </c>
      <c r="S74" s="241">
        <f t="shared" si="24"/>
        <v>18</v>
      </c>
      <c r="T74" s="241">
        <f t="shared" si="24"/>
        <v>19</v>
      </c>
      <c r="U74" s="241">
        <f t="shared" si="24"/>
        <v>20</v>
      </c>
      <c r="V74" s="241">
        <f t="shared" si="24"/>
        <v>21</v>
      </c>
      <c r="W74" s="241">
        <f t="shared" si="24"/>
        <v>22</v>
      </c>
      <c r="X74" s="241">
        <f t="shared" si="24"/>
        <v>23</v>
      </c>
      <c r="Y74" s="241">
        <f t="shared" si="24"/>
        <v>24</v>
      </c>
      <c r="Z74" s="241">
        <f t="shared" si="24"/>
        <v>25</v>
      </c>
      <c r="AA74" s="241">
        <f t="shared" si="24"/>
        <v>26</v>
      </c>
      <c r="AB74" s="241">
        <f t="shared" si="24"/>
        <v>27</v>
      </c>
      <c r="AC74" s="241">
        <f t="shared" si="24"/>
        <v>28</v>
      </c>
      <c r="AD74" s="241">
        <f t="shared" si="24"/>
        <v>29</v>
      </c>
      <c r="AE74" s="241">
        <f t="shared" si="24"/>
        <v>30</v>
      </c>
      <c r="AF74" s="241">
        <f t="shared" si="24"/>
        <v>31</v>
      </c>
      <c r="AG74" s="241">
        <f t="shared" si="24"/>
        <v>32</v>
      </c>
      <c r="AH74" s="241">
        <f t="shared" si="24"/>
        <v>33</v>
      </c>
      <c r="AI74" s="241">
        <f t="shared" si="24"/>
        <v>34</v>
      </c>
      <c r="AJ74" s="241">
        <f t="shared" si="24"/>
        <v>35</v>
      </c>
      <c r="AK74" s="241">
        <f t="shared" si="24"/>
        <v>36</v>
      </c>
      <c r="AL74" s="241">
        <f t="shared" si="24"/>
        <v>37</v>
      </c>
      <c r="AM74" s="241">
        <f t="shared" si="24"/>
        <v>38</v>
      </c>
      <c r="AN74" s="241">
        <f t="shared" si="24"/>
        <v>39</v>
      </c>
      <c r="AO74" s="241">
        <f t="shared" si="24"/>
        <v>40</v>
      </c>
      <c r="AP74" s="241">
        <f>AP58</f>
        <v>41</v>
      </c>
    </row>
    <row r="75" spans="1:45" ht="28.5" x14ac:dyDescent="0.2">
      <c r="A75" s="249" t="s">
        <v>548</v>
      </c>
      <c r="B75" s="250">
        <f t="shared" ref="B75:AO75" si="25">B68</f>
        <v>8233098</v>
      </c>
      <c r="C75" s="250">
        <f t="shared" si="25"/>
        <v>-1321007.8517999998</v>
      </c>
      <c r="D75" s="250">
        <f>D68</f>
        <v>-1082825.9392372847</v>
      </c>
      <c r="E75" s="250">
        <f t="shared" si="25"/>
        <v>-940040.99853993673</v>
      </c>
      <c r="F75" s="250">
        <f t="shared" si="25"/>
        <v>-704622.86551204626</v>
      </c>
      <c r="G75" s="250">
        <f t="shared" si="25"/>
        <v>-449868.10963655834</v>
      </c>
      <c r="H75" s="250">
        <f t="shared" si="25"/>
        <v>-174078.21434176131</v>
      </c>
      <c r="I75" s="250">
        <f t="shared" si="25"/>
        <v>355000.65531330148</v>
      </c>
      <c r="J75" s="250">
        <f t="shared" si="25"/>
        <v>446512.15162322659</v>
      </c>
      <c r="K75" s="250">
        <f t="shared" si="25"/>
        <v>541490.79197231808</v>
      </c>
      <c r="L75" s="250">
        <f t="shared" si="25"/>
        <v>640099.53213041683</v>
      </c>
      <c r="M75" s="250">
        <f t="shared" si="25"/>
        <v>742508.98678854632</v>
      </c>
      <c r="N75" s="250">
        <f t="shared" si="25"/>
        <v>848897.78952820774</v>
      </c>
      <c r="O75" s="250">
        <f t="shared" si="25"/>
        <v>959452.96970923303</v>
      </c>
      <c r="P75" s="250">
        <f t="shared" si="25"/>
        <v>1074370.3470713669</v>
      </c>
      <c r="Q75" s="250">
        <f t="shared" si="25"/>
        <v>1193854.9448821209</v>
      </c>
      <c r="R75" s="250">
        <f t="shared" si="25"/>
        <v>1318121.4225025806</v>
      </c>
      <c r="S75" s="250">
        <f t="shared" si="25"/>
        <v>1447394.5282838014</v>
      </c>
      <c r="T75" s="250">
        <f t="shared" si="25"/>
        <v>1581909.5737493397</v>
      </c>
      <c r="U75" s="250">
        <f t="shared" si="25"/>
        <v>1721912.9300643587</v>
      </c>
      <c r="V75" s="250">
        <f t="shared" si="25"/>
        <v>1867662.5478387829</v>
      </c>
      <c r="W75" s="250">
        <f t="shared" si="25"/>
        <v>2019428.5013612057</v>
      </c>
      <c r="X75" s="250">
        <f t="shared" si="25"/>
        <v>2177493.5584117821</v>
      </c>
      <c r="Y75" s="250">
        <f t="shared" si="25"/>
        <v>2342153.7768563353</v>
      </c>
      <c r="Z75" s="250">
        <f t="shared" si="25"/>
        <v>2513719.1292803832</v>
      </c>
      <c r="AA75" s="250">
        <f t="shared" si="25"/>
        <v>2692514.1569809616</v>
      </c>
      <c r="AB75" s="250">
        <f t="shared" si="25"/>
        <v>2878878.6546960664</v>
      </c>
      <c r="AC75" s="250">
        <f t="shared" si="25"/>
        <v>3073168.3875163812</v>
      </c>
      <c r="AD75" s="250">
        <f t="shared" si="25"/>
        <v>3275755.841491851</v>
      </c>
      <c r="AE75" s="250">
        <f t="shared" si="25"/>
        <v>3487031.0095167677</v>
      </c>
      <c r="AF75" s="250">
        <f t="shared" si="25"/>
        <v>3707402.2141514556</v>
      </c>
      <c r="AG75" s="250">
        <f t="shared" si="25"/>
        <v>3919554.4949165727</v>
      </c>
      <c r="AH75" s="250">
        <f t="shared" si="25"/>
        <v>4141677.9328776519</v>
      </c>
      <c r="AI75" s="250">
        <f t="shared" si="25"/>
        <v>4374241.1724229027</v>
      </c>
      <c r="AJ75" s="250">
        <f t="shared" si="25"/>
        <v>4617734.8842267785</v>
      </c>
      <c r="AK75" s="250">
        <f t="shared" si="25"/>
        <v>4872672.8004854368</v>
      </c>
      <c r="AL75" s="250">
        <f t="shared" si="25"/>
        <v>5139592.7988082524</v>
      </c>
      <c r="AM75" s="250">
        <f t="shared" si="25"/>
        <v>5419058.0370522393</v>
      </c>
      <c r="AN75" s="250">
        <f t="shared" si="25"/>
        <v>5711658.1414936949</v>
      </c>
      <c r="AO75" s="250">
        <f t="shared" si="25"/>
        <v>6018010.4508438976</v>
      </c>
      <c r="AP75" s="250">
        <f>AP68</f>
        <v>6338761.3187335618</v>
      </c>
    </row>
    <row r="76" spans="1:45" x14ac:dyDescent="0.2">
      <c r="A76" s="251" t="s">
        <v>255</v>
      </c>
      <c r="B76" s="243">
        <f t="shared" ref="B76:AO76" si="26">-B67</f>
        <v>0</v>
      </c>
      <c r="C76" s="243">
        <f>-C67</f>
        <v>806476.1</v>
      </c>
      <c r="D76" s="243">
        <f t="shared" si="26"/>
        <v>806476.1</v>
      </c>
      <c r="E76" s="243">
        <f t="shared" si="26"/>
        <v>806476.1</v>
      </c>
      <c r="F76" s="243">
        <f>-C67</f>
        <v>806476.1</v>
      </c>
      <c r="G76" s="243">
        <f t="shared" si="26"/>
        <v>806476.1</v>
      </c>
      <c r="H76" s="243">
        <f t="shared" si="26"/>
        <v>806476.1</v>
      </c>
      <c r="I76" s="243">
        <f t="shared" si="26"/>
        <v>806476.1</v>
      </c>
      <c r="J76" s="243">
        <f t="shared" si="26"/>
        <v>806476.1</v>
      </c>
      <c r="K76" s="243">
        <f t="shared" si="26"/>
        <v>806476.1</v>
      </c>
      <c r="L76" s="243">
        <f>-L67</f>
        <v>806476.1</v>
      </c>
      <c r="M76" s="243">
        <f>-M67</f>
        <v>806476.1</v>
      </c>
      <c r="N76" s="243">
        <f t="shared" si="26"/>
        <v>806476.1</v>
      </c>
      <c r="O76" s="243">
        <f t="shared" si="26"/>
        <v>806476.1</v>
      </c>
      <c r="P76" s="243">
        <f t="shared" si="26"/>
        <v>806476.1</v>
      </c>
      <c r="Q76" s="243">
        <f t="shared" si="26"/>
        <v>806476.1</v>
      </c>
      <c r="R76" s="243">
        <f t="shared" si="26"/>
        <v>806476.1</v>
      </c>
      <c r="S76" s="243">
        <f t="shared" si="26"/>
        <v>806476.1</v>
      </c>
      <c r="T76" s="243">
        <f t="shared" si="26"/>
        <v>806476.1</v>
      </c>
      <c r="U76" s="243">
        <f t="shared" si="26"/>
        <v>806476.1</v>
      </c>
      <c r="V76" s="243">
        <f t="shared" si="26"/>
        <v>806476.1</v>
      </c>
      <c r="W76" s="243">
        <f t="shared" si="26"/>
        <v>806476.1</v>
      </c>
      <c r="X76" s="243">
        <f t="shared" si="26"/>
        <v>806476.1</v>
      </c>
      <c r="Y76" s="243">
        <f t="shared" si="26"/>
        <v>806476.1</v>
      </c>
      <c r="Z76" s="243">
        <f t="shared" si="26"/>
        <v>806476.1</v>
      </c>
      <c r="AA76" s="243">
        <f t="shared" si="26"/>
        <v>806476.1</v>
      </c>
      <c r="AB76" s="243">
        <f t="shared" si="26"/>
        <v>806476.1</v>
      </c>
      <c r="AC76" s="243">
        <f t="shared" si="26"/>
        <v>806476.1</v>
      </c>
      <c r="AD76" s="243">
        <f t="shared" si="26"/>
        <v>806476.1</v>
      </c>
      <c r="AE76" s="243">
        <f t="shared" si="26"/>
        <v>806476.1</v>
      </c>
      <c r="AF76" s="243">
        <f t="shared" si="26"/>
        <v>806476.1</v>
      </c>
      <c r="AG76" s="243">
        <f t="shared" si="26"/>
        <v>806476.1</v>
      </c>
      <c r="AH76" s="243">
        <f t="shared" si="26"/>
        <v>806476.1</v>
      </c>
      <c r="AI76" s="243">
        <f t="shared" si="26"/>
        <v>806476.1</v>
      </c>
      <c r="AJ76" s="243">
        <f t="shared" si="26"/>
        <v>806476.1</v>
      </c>
      <c r="AK76" s="243">
        <f t="shared" si="26"/>
        <v>806476.1</v>
      </c>
      <c r="AL76" s="243">
        <f t="shared" si="26"/>
        <v>806476.1</v>
      </c>
      <c r="AM76" s="243">
        <f t="shared" si="26"/>
        <v>806476.1</v>
      </c>
      <c r="AN76" s="243">
        <f t="shared" si="26"/>
        <v>806476.1</v>
      </c>
      <c r="AO76" s="243">
        <f t="shared" si="26"/>
        <v>806476.1</v>
      </c>
      <c r="AP76" s="243">
        <f>-AP67</f>
        <v>806476.1</v>
      </c>
    </row>
    <row r="77" spans="1:45" x14ac:dyDescent="0.2">
      <c r="A77" s="251" t="s">
        <v>254</v>
      </c>
      <c r="B77" s="243">
        <f t="shared" ref="B77:AO77" si="27">B69</f>
        <v>0</v>
      </c>
      <c r="C77" s="243">
        <f t="shared" si="27"/>
        <v>0</v>
      </c>
      <c r="D77" s="243">
        <f t="shared" si="27"/>
        <v>0</v>
      </c>
      <c r="E77" s="243">
        <f t="shared" si="27"/>
        <v>0</v>
      </c>
      <c r="F77" s="243">
        <f t="shared" si="27"/>
        <v>0</v>
      </c>
      <c r="G77" s="243">
        <f t="shared" si="27"/>
        <v>0</v>
      </c>
      <c r="H77" s="243">
        <f t="shared" si="27"/>
        <v>0</v>
      </c>
      <c r="I77" s="243">
        <f t="shared" si="27"/>
        <v>0</v>
      </c>
      <c r="J77" s="243">
        <f t="shared" si="27"/>
        <v>0</v>
      </c>
      <c r="K77" s="243">
        <f t="shared" si="27"/>
        <v>0</v>
      </c>
      <c r="L77" s="243">
        <f t="shared" si="27"/>
        <v>0</v>
      </c>
      <c r="M77" s="243">
        <f t="shared" si="27"/>
        <v>0</v>
      </c>
      <c r="N77" s="243">
        <f t="shared" si="27"/>
        <v>0</v>
      </c>
      <c r="O77" s="243">
        <f t="shared" si="27"/>
        <v>0</v>
      </c>
      <c r="P77" s="243">
        <f t="shared" si="27"/>
        <v>0</v>
      </c>
      <c r="Q77" s="243">
        <f t="shared" si="27"/>
        <v>0</v>
      </c>
      <c r="R77" s="243">
        <f t="shared" si="27"/>
        <v>0</v>
      </c>
      <c r="S77" s="243">
        <f t="shared" si="27"/>
        <v>0</v>
      </c>
      <c r="T77" s="243">
        <f t="shared" si="27"/>
        <v>0</v>
      </c>
      <c r="U77" s="243">
        <f t="shared" si="27"/>
        <v>0</v>
      </c>
      <c r="V77" s="243">
        <f t="shared" si="27"/>
        <v>0</v>
      </c>
      <c r="W77" s="243">
        <f t="shared" si="27"/>
        <v>0</v>
      </c>
      <c r="X77" s="243">
        <f t="shared" si="27"/>
        <v>0</v>
      </c>
      <c r="Y77" s="243">
        <f t="shared" si="27"/>
        <v>0</v>
      </c>
      <c r="Z77" s="243">
        <f t="shared" si="27"/>
        <v>0</v>
      </c>
      <c r="AA77" s="243">
        <f t="shared" si="27"/>
        <v>0</v>
      </c>
      <c r="AB77" s="243">
        <f t="shared" si="27"/>
        <v>0</v>
      </c>
      <c r="AC77" s="243">
        <f t="shared" si="27"/>
        <v>0</v>
      </c>
      <c r="AD77" s="243">
        <f t="shared" si="27"/>
        <v>0</v>
      </c>
      <c r="AE77" s="243">
        <f t="shared" si="27"/>
        <v>0</v>
      </c>
      <c r="AF77" s="243">
        <f t="shared" si="27"/>
        <v>0</v>
      </c>
      <c r="AG77" s="243">
        <f t="shared" si="27"/>
        <v>0</v>
      </c>
      <c r="AH77" s="243">
        <f t="shared" si="27"/>
        <v>0</v>
      </c>
      <c r="AI77" s="243">
        <f t="shared" si="27"/>
        <v>0</v>
      </c>
      <c r="AJ77" s="243">
        <f t="shared" si="27"/>
        <v>0</v>
      </c>
      <c r="AK77" s="243">
        <f t="shared" si="27"/>
        <v>0</v>
      </c>
      <c r="AL77" s="243">
        <f t="shared" si="27"/>
        <v>0</v>
      </c>
      <c r="AM77" s="243">
        <f t="shared" si="27"/>
        <v>0</v>
      </c>
      <c r="AN77" s="243">
        <f t="shared" si="27"/>
        <v>0</v>
      </c>
      <c r="AO77" s="243">
        <f t="shared" si="27"/>
        <v>0</v>
      </c>
      <c r="AP77" s="243">
        <f>AP69</f>
        <v>0</v>
      </c>
    </row>
    <row r="78" spans="1:45" x14ac:dyDescent="0.2">
      <c r="A78" s="251" t="s">
        <v>253</v>
      </c>
      <c r="B78" s="243">
        <f>IF(SUM($B$71:B71)+SUM($A$78:A78)&gt;0,0,SUM($B$71:B71)-SUM($A$78:A78))</f>
        <v>-1646619.6</v>
      </c>
      <c r="C78" s="243">
        <f>IF(SUM($B$71:C71)+SUM($A$78:B78)&gt;0,0,SUM($B$71:C71)-SUM($A$78:B78))</f>
        <v>264201.57036000001</v>
      </c>
      <c r="D78" s="243">
        <f>IF(SUM($B$71:D71)+SUM($A$78:C78)&gt;0,0,SUM($B$71:D71)-SUM($A$78:C78))</f>
        <v>216565.18784745689</v>
      </c>
      <c r="E78" s="243">
        <f>IF(SUM($B$71:E71)+SUM($A$78:D78)&gt;0,0,SUM($B$71:E71)-SUM($A$78:D78))</f>
        <v>188008.19970798737</v>
      </c>
      <c r="F78" s="243">
        <f>IF(SUM($B$71:F71)+SUM($A$78:E78)&gt;0,0,SUM($B$71:F71)-SUM($A$78:E78))</f>
        <v>140924.57310240925</v>
      </c>
      <c r="G78" s="243">
        <f>IF(SUM($B$71:G71)+SUM($A$78:F78)&gt;0,0,SUM($B$71:G71)-SUM($A$78:F78))</f>
        <v>89973.621927311644</v>
      </c>
      <c r="H78" s="243">
        <f>IF(SUM($B$71:H71)+SUM($A$78:G78)&gt;0,0,SUM($B$71:H71)-SUM($A$78:G78))</f>
        <v>34815.642868352239</v>
      </c>
      <c r="I78" s="243">
        <f>IF(SUM($B$71:I71)+SUM($A$78:H78)&gt;0,0,SUM($B$71:I71)-SUM($A$78:H78))</f>
        <v>-71000.13106266025</v>
      </c>
      <c r="J78" s="243">
        <f>IF(SUM($B$71:J71)+SUM($A$78:I78)&gt;0,0,SUM($B$71:J71)-SUM($A$78:I78))</f>
        <v>-89302.430324645364</v>
      </c>
      <c r="K78" s="243">
        <f>IF(SUM($B$71:K71)+SUM($A$78:J78)&gt;0,0,SUM($B$71:K71)-SUM($A$78:J78))</f>
        <v>-108298.15839446359</v>
      </c>
      <c r="L78" s="243">
        <f>IF(SUM($B$71:L71)+SUM($A$78:K78)&gt;0,0,SUM($B$71:L71)-SUM($A$78:K78))</f>
        <v>-128019.9064260833</v>
      </c>
      <c r="M78" s="243">
        <f>IF(SUM($B$71:M71)+SUM($A$78:L78)&gt;0,0,SUM($B$71:M71)-SUM($A$78:L78))</f>
        <v>-148501.79735770915</v>
      </c>
      <c r="N78" s="243">
        <f>IF(SUM($B$71:N71)+SUM($A$78:M78)&gt;0,0,SUM($B$71:N71)-SUM($A$78:M78))</f>
        <v>-169779.55790564162</v>
      </c>
      <c r="O78" s="243">
        <f>IF(SUM($B$71:O71)+SUM($A$78:N78)&gt;0,0,SUM($B$71:O71)-SUM($A$78:N78))</f>
        <v>-191890.59394184663</v>
      </c>
      <c r="P78" s="243">
        <f>IF(SUM($B$71:P71)+SUM($A$78:O78)&gt;0,0,SUM($B$71:P71)-SUM($A$78:O78))</f>
        <v>-214874.06941427337</v>
      </c>
      <c r="Q78" s="243">
        <f>IF(SUM($B$71:Q71)+SUM($A$78:P78)&gt;0,0,SUM($B$71:Q71)-SUM($A$78:P78))</f>
        <v>-238770.98897642409</v>
      </c>
      <c r="R78" s="243">
        <f>IF(SUM($B$71:R71)+SUM($A$78:Q78)&gt;0,0,SUM($B$71:R71)-SUM($A$78:Q78))</f>
        <v>-263624.28450051602</v>
      </c>
      <c r="S78" s="243">
        <f>IF(SUM($B$71:S71)+SUM($A$78:R78)&gt;0,0,SUM($B$71:S71)-SUM($A$78:R78))</f>
        <v>-289478.90565676009</v>
      </c>
      <c r="T78" s="243">
        <f>IF(SUM($B$71:T71)+SUM($A$78:S78)&gt;0,0,SUM($B$71:T71)-SUM($A$78:S78))</f>
        <v>-316381.91474986821</v>
      </c>
      <c r="U78" s="243">
        <f>IF(SUM($B$71:U71)+SUM($A$78:T78)&gt;0,0,SUM($B$71:U71)-SUM($A$78:T78))</f>
        <v>-344382.58601287194</v>
      </c>
      <c r="V78" s="243">
        <f>IF(SUM($B$71:V71)+SUM($A$78:U78)&gt;0,0,SUM($B$71:V71)-SUM($A$78:U78))</f>
        <v>-373532.50956775667</v>
      </c>
      <c r="W78" s="243">
        <f>IF(SUM($B$71:W71)+SUM($A$78:V78)&gt;0,0,SUM($B$71:W71)-SUM($A$78:V78))</f>
        <v>-403885.70027224114</v>
      </c>
      <c r="X78" s="243">
        <f>IF(SUM($B$71:X71)+SUM($A$78:W78)&gt;0,0,SUM($B$71:X71)-SUM($A$78:W78))</f>
        <v>-435498.71168235596</v>
      </c>
      <c r="Y78" s="243">
        <f>IF(SUM($B$71:Y71)+SUM($A$78:X78)&gt;0,0,SUM($B$71:Y71)-SUM($A$78:X78))</f>
        <v>-468430.75537126698</v>
      </c>
      <c r="Z78" s="243">
        <f>IF(SUM($B$71:Z71)+SUM($A$78:Y78)&gt;0,0,SUM($B$71:Z71)-SUM($A$78:Y78))</f>
        <v>-502743.82585607655</v>
      </c>
      <c r="AA78" s="243">
        <f>IF(SUM($B$71:AA71)+SUM($A$78:Z78)&gt;0,0,SUM($B$71:AA71)-SUM($A$78:Z78))</f>
        <v>-538502.83139619231</v>
      </c>
      <c r="AB78" s="243">
        <f>IF(SUM($B$71:AB71)+SUM($A$78:AA78)&gt;0,0,SUM($B$71:AB71)-SUM($A$78:AA78))</f>
        <v>-575775.73093921319</v>
      </c>
      <c r="AC78" s="243">
        <f>IF(SUM($B$71:AC71)+SUM($A$78:AB78)&gt;0,0,SUM($B$71:AC71)-SUM($A$78:AB78))</f>
        <v>-614633.67750327662</v>
      </c>
      <c r="AD78" s="243">
        <f>IF(SUM($B$71:AD71)+SUM($A$78:AC78)&gt;0,0,SUM($B$71:AD71)-SUM($A$78:AC78))</f>
        <v>-655151.1682983702</v>
      </c>
      <c r="AE78" s="243">
        <f>IF(SUM($B$71:AE71)+SUM($A$78:AD78)&gt;0,0,SUM($B$71:AE71)-SUM($A$78:AD78))</f>
        <v>-697406.20190335345</v>
      </c>
      <c r="AF78" s="243">
        <f>IF(SUM($B$71:AF71)+SUM($A$78:AE78)&gt;0,0,SUM($B$71:AF71)-SUM($A$78:AE78))</f>
        <v>-741480.44283029065</v>
      </c>
      <c r="AG78" s="243">
        <f>IF(SUM($B$71:AG71)+SUM($A$78:AF78)&gt;0,0,SUM($B$71:AG71)-SUM($A$78:AF78))</f>
        <v>-783910.89898331463</v>
      </c>
      <c r="AH78" s="243">
        <f>IF(SUM($B$71:AH71)+SUM($A$78:AG78)&gt;0,0,SUM($B$71:AH71)-SUM($A$78:AG78))</f>
        <v>-828335.58657553047</v>
      </c>
      <c r="AI78" s="243">
        <f>IF(SUM($B$71:AI71)+SUM($A$78:AH78)&gt;0,0,SUM($B$71:AI71)-SUM($A$78:AH78))</f>
        <v>-874848.23448458128</v>
      </c>
      <c r="AJ78" s="243">
        <f>IF(SUM($B$71:AJ71)+SUM($A$78:AI78)&gt;0,0,SUM($B$71:AJ71)-SUM($A$78:AI78))</f>
        <v>-923546.9768453557</v>
      </c>
      <c r="AK78" s="243">
        <f>IF(SUM($B$71:AK71)+SUM($A$78:AJ78)&gt;0,0,SUM($B$71:AK71)-SUM($A$78:AJ78))</f>
        <v>-974534.56009708717</v>
      </c>
      <c r="AL78" s="243">
        <f>IF(SUM($B$71:AL71)+SUM($A$78:AK78)&gt;0,0,SUM($B$71:AL71)-SUM($A$78:AK78))</f>
        <v>-1027918.5597616509</v>
      </c>
      <c r="AM78" s="243">
        <f>IF(SUM($B$71:AM71)+SUM($A$78:AL78)&gt;0,0,SUM($B$71:AM71)-SUM($A$78:AL78))</f>
        <v>-1083811.6074104477</v>
      </c>
      <c r="AN78" s="243">
        <f>IF(SUM($B$71:AN71)+SUM($A$78:AM78)&gt;0,0,SUM($B$71:AN71)-SUM($A$78:AM78))</f>
        <v>-1142331.6282987371</v>
      </c>
      <c r="AO78" s="243">
        <f>IF(SUM($B$71:AO71)+SUM($A$78:AN78)&gt;0,0,SUM($B$71:AO71)-SUM($A$78:AN78))</f>
        <v>-1203602.0901687779</v>
      </c>
      <c r="AP78" s="243">
        <f>IF(SUM($B$71:AP71)+SUM($A$78:AO78)&gt;0,0,SUM($B$71:AP71)-SUM($A$78:AO78))</f>
        <v>-1267752.2637467124</v>
      </c>
    </row>
    <row r="79" spans="1:45" x14ac:dyDescent="0.2">
      <c r="A79" s="251" t="s">
        <v>252</v>
      </c>
      <c r="B79" s="243">
        <f>IF(((SUM($B$59:B59)+SUM($B$61:B64))+SUM($B$81:B81))&lt;0,((SUM($B$59:B59)+SUM($B$61:B64))+SUM($B$81:B81))*0.2-SUM($A$79:A79),IF(SUM(A$79:$B79)&lt;0,0-SUM(A$79:$B79),0))</f>
        <v>-1353380.4000000001</v>
      </c>
      <c r="C79" s="243">
        <f>IF(((SUM($B$59:C59)+SUM($B$61:C64))+SUM($B$81:C81))&lt;0,((SUM($B$59:C59)+SUM($B$61:C64))+SUM($B$81:C81))*0.18-SUM($A$79:B79),IF(SUM($B$79:B79)&lt;0,0-SUM($B$79:B79),0))</f>
        <v>-2389935.7799999993</v>
      </c>
      <c r="D79" s="243">
        <f>IF(((SUM($B$59:D59)+SUM($B$61:D64))+SUM($B$81:D81))&lt;0,((SUM($B$59:D59)+SUM($B$61:D64))+SUM($B$81:D81))*0.2-SUM($A$79:C79),IF(SUM($B$79:C79)&lt;0,0-SUM($B$79:C79),0))</f>
        <v>-371836.13232745696</v>
      </c>
      <c r="E79" s="243">
        <f>IF(((SUM($B$59:E59)+SUM($B$61:E64))+SUM($B$81:E81))&lt;0,((SUM($B$59:E59)+SUM($B$61:E64))+SUM($B$81:E81))*0.2-SUM($A$79:D79),IF(SUM($B$79:D79)&lt;0,0-SUM($B$79:D79),0))</f>
        <v>69096.380972012877</v>
      </c>
      <c r="F79" s="243">
        <f>IF(((SUM($B$59:F59)+SUM($B$61:F64))+SUM($B$81:F81))&lt;0,((SUM($B$59:F59)+SUM($B$61:F64))+SUM($B$81:F81))*0.2-SUM($A$79:E79),IF(SUM($B$79:E79)&lt;0,0-SUM($B$79:E79),0))</f>
        <v>112631.51273758989</v>
      </c>
      <c r="G79" s="243">
        <f>IF(((SUM($B$59:G59)+SUM($B$61:G64))+SUM($B$81:G81))&lt;0,((SUM($B$59:G59)+SUM($B$61:G64))+SUM($B$81:G81))*0.18-SUM($A$79:F79),IF(SUM($B$79:F79)&lt;0,0-SUM($B$79:F79),0))</f>
        <v>537373.0140272053</v>
      </c>
      <c r="H79" s="243">
        <f>IF(((SUM($B$59:H59)+SUM($B$61:H64))+SUM($B$81:H81))&lt;0,((SUM($B$59:H59)+SUM($B$61:H64))+SUM($B$81:H81))*0.18-SUM($A$79:G79),IF(SUM($B$79:G79)&lt;0,0-SUM($B$79:G79),0))</f>
        <v>190479.10796248307</v>
      </c>
      <c r="I79" s="243">
        <f>IF(((SUM($B$59:I59)+SUM($B$61:I64))+SUM($B$81:I81))&lt;0,((SUM($B$59:I59)+SUM($B$61:I64))+SUM($B$81:I81))*0.18-SUM($A$79:H79),IF(SUM($B$79:H79)&lt;0,0-SUM($B$79:H79),0))</f>
        <v>282519.65914439457</v>
      </c>
      <c r="J79" s="243">
        <f>IF(((SUM($B$59:J59)+SUM($B$61:J64))+SUM($B$81:J81))&lt;0,((SUM($B$59:J59)+SUM($B$61:J64))+SUM($B$81:J81))*0.18-SUM($A$79:I79),IF(SUM($B$79:I79)&lt;0,0-SUM($B$79:I79),0))</f>
        <v>295798.08312418032</v>
      </c>
      <c r="K79" s="243">
        <f>IF(((SUM($B$59:K59)+SUM($B$61:K64))+SUM($B$81:K81))&lt;0,((SUM($B$59:K59)+SUM($B$61:K64))+SUM($B$81:K81))*0.18-SUM($A$79:J79),IF(SUM($B$79:J79)&lt;0,0-SUM($B$79:J79),0))</f>
        <v>309700.59303101758</v>
      </c>
      <c r="L79" s="243">
        <f>IF(((SUM($B$59:L59)+SUM($B$61:L64))+SUM($B$81:L81))&lt;0,((SUM($B$59:L59)+SUM($B$61:L64))+SUM($B$81:L81))*0.18-SUM($A$79:K79),IF(SUM($B$79:K79)&lt;0,0-SUM($B$79:K79),0))</f>
        <v>324256.52090347419</v>
      </c>
      <c r="M79" s="243">
        <f>IF(((SUM($B$59:M59)+SUM($B$61:M64))+SUM($B$81:M81))&lt;0,((SUM($B$59:M59)+SUM($B$61:M64))+SUM($B$81:M81))*0.18-SUM($A$79:L79),IF(SUM($B$79:L79)&lt;0,0-SUM($B$79:L79),0))</f>
        <v>339496.57738593873</v>
      </c>
      <c r="N79" s="243">
        <f>IF(((SUM($B$59:N59)+SUM($B$61:N64))+SUM($B$81:N81))&lt;0,((SUM($B$59:N59)+SUM($B$61:N64))+SUM($B$81:N81))*0.18-SUM($A$79:M79),IF(SUM($B$79:M79)&lt;0,0-SUM($B$79:M79),0))</f>
        <v>355452.91652307729</v>
      </c>
      <c r="O79" s="243">
        <f>IF(((SUM($B$59:O59)+SUM($B$61:O64))+SUM($B$81:O81))&lt;0,((SUM($B$59:O59)+SUM($B$61:O64))+SUM($B$81:O81))*0.18-SUM($A$79:N79),IF(SUM($B$79:N79)&lt;0,0-SUM($B$79:N79),0))</f>
        <v>372159.20359966205</v>
      </c>
      <c r="P79" s="243">
        <f>IF(((SUM($B$59:P59)+SUM($B$61:P64))+SUM($B$81:P81))&lt;0,((SUM($B$59:P59)+SUM($B$61:P64))+SUM($B$81:P81))*0.18-SUM($A$79:O79),IF(SUM($B$79:O79)&lt;0,0-SUM($B$79:O79),0))</f>
        <v>389650.68616884598</v>
      </c>
      <c r="Q79" s="243">
        <f>IF(((SUM($B$59:Q59)+SUM($B$61:Q64))+SUM($B$81:Q81))&lt;0,((SUM($B$59:Q59)+SUM($B$61:Q64))+SUM($B$81:Q81))*0.18-SUM($A$79:P79),IF(SUM($B$79:P79)&lt;0,0-SUM($B$79:P79),0))</f>
        <v>407964.26841878239</v>
      </c>
      <c r="R79" s="243">
        <f>IF(((SUM($B$59:R59)+SUM($B$61:R64))+SUM($B$81:R81))&lt;0,((SUM($B$59:R59)+SUM($B$61:R64))+SUM($B$81:R81))*0.18-SUM($A$79:Q79),IF(SUM($B$79:Q79)&lt;0,0-SUM($B$79:Q79),0))</f>
        <v>128573.78832879243</v>
      </c>
      <c r="S79" s="243">
        <f>IF(((SUM($B$59:S59)+SUM($B$61:S64))+SUM($B$81:S81))&lt;0,((SUM($B$59:S59)+SUM($B$61:S64))+SUM($B$81:S81))*0.18-SUM($A$79:R79),IF(SUM($B$79:R79)&lt;0,0-SUM($B$79:R79),0))</f>
        <v>0</v>
      </c>
      <c r="T79" s="243">
        <f>IF(((SUM($B$59:T59)+SUM($B$61:T64))+SUM($B$81:T81))&lt;0,((SUM($B$59:T59)+SUM($B$61:T64))+SUM($B$81:T81))*0.18-SUM($A$79:S79),IF(SUM($B$79:S79)&lt;0,0-SUM($B$79:S79),0))</f>
        <v>0</v>
      </c>
      <c r="U79" s="243">
        <f>IF(((SUM($B$59:U59)+SUM($B$61:U64))+SUM($B$81:U81))&lt;0,((SUM($B$59:U59)+SUM($B$61:U64))+SUM($B$81:U81))*0.18-SUM($A$79:T79),IF(SUM($B$79:T79)&lt;0,0-SUM($B$79:T79),0))</f>
        <v>0</v>
      </c>
      <c r="V79" s="243">
        <f>IF(((SUM($B$59:V59)+SUM($B$61:V64))+SUM($B$81:V81))&lt;0,((SUM($B$59:V59)+SUM($B$61:V64))+SUM($B$81:V81))*0.18-SUM($A$79:U79),IF(SUM($B$79:U79)&lt;0,0-SUM($B$79:U79),0))</f>
        <v>0</v>
      </c>
      <c r="W79" s="243">
        <f>IF(((SUM($B$59:W59)+SUM($B$61:W64))+SUM($B$81:W81))&lt;0,((SUM($B$59:W59)+SUM($B$61:W64))+SUM($B$81:W81))*0.18-SUM($A$79:V79),IF(SUM($B$79:V79)&lt;0,0-SUM($B$79:V79),0))</f>
        <v>0</v>
      </c>
      <c r="X79" s="243">
        <f>IF(((SUM($B$59:X59)+SUM($B$61:X64))+SUM($B$81:X81))&lt;0,((SUM($B$59:X59)+SUM($B$61:X64))+SUM($B$81:X81))*0.18-SUM($A$79:W79),IF(SUM($B$79:W79)&lt;0,0-SUM($B$79:W79),0))</f>
        <v>0</v>
      </c>
      <c r="Y79" s="243">
        <f>IF(((SUM($B$59:Y59)+SUM($B$61:Y64))+SUM($B$81:Y81))&lt;0,((SUM($B$59:Y59)+SUM($B$61:Y64))+SUM($B$81:Y81))*0.18-SUM($A$79:X79),IF(SUM($B$79:X79)&lt;0,0-SUM($B$79:X79),0))</f>
        <v>0</v>
      </c>
      <c r="Z79" s="243">
        <f>IF(((SUM($B$59:Z59)+SUM($B$61:Z64))+SUM($B$81:Z81))&lt;0,((SUM($B$59:Z59)+SUM($B$61:Z64))+SUM($B$81:Z81))*0.18-SUM($A$79:Y79),IF(SUM($B$79:Y79)&lt;0,0-SUM($B$79:Y79),0))</f>
        <v>0</v>
      </c>
      <c r="AA79" s="243">
        <f>IF(((SUM($B$59:AA59)+SUM($B$61:AA64))+SUM($B$81:AA81))&lt;0,((SUM($B$59:AA59)+SUM($B$61:AA64))+SUM($B$81:AA81))*0.18-SUM($A$79:Z79),IF(SUM($B$79:Z79)&lt;0,0-SUM($B$79:Z79),0))</f>
        <v>0</v>
      </c>
      <c r="AB79" s="243">
        <f>IF(((SUM($B$59:AB59)+SUM($B$61:AB64))+SUM($B$81:AB81))&lt;0,((SUM($B$59:AB59)+SUM($B$61:AB64))+SUM($B$81:AB81))*0.18-SUM($A$79:AA79),IF(SUM($B$79:AA79)&lt;0,0-SUM($B$79:AA79),0))</f>
        <v>0</v>
      </c>
      <c r="AC79" s="243">
        <f>IF(((SUM($B$59:AC59)+SUM($B$61:AC64))+SUM($B$81:AC81))&lt;0,((SUM($B$59:AC59)+SUM($B$61:AC64))+SUM($B$81:AC81))*0.18-SUM($A$79:AB79),IF(SUM($B$79:AB79)&lt;0,0-SUM($B$79:AB79),0))</f>
        <v>0</v>
      </c>
      <c r="AD79" s="243">
        <f>IF(((SUM($B$59:AD59)+SUM($B$61:AD64))+SUM($B$81:AD81))&lt;0,((SUM($B$59:AD59)+SUM($B$61:AD64))+SUM($B$81:AD81))*0.18-SUM($A$79:AC79),IF(SUM($B$79:AC79)&lt;0,0-SUM($B$79:AC79),0))</f>
        <v>0</v>
      </c>
      <c r="AE79" s="243">
        <f>IF(((SUM($B$59:AE59)+SUM($B$61:AE64))+SUM($B$81:AE81))&lt;0,((SUM($B$59:AE59)+SUM($B$61:AE64))+SUM($B$81:AE81))*0.18-SUM($A$79:AD79),IF(SUM($B$79:AD79)&lt;0,0-SUM($B$79:AD79),0))</f>
        <v>0</v>
      </c>
      <c r="AF79" s="243">
        <f>IF(((SUM($B$59:AF59)+SUM($B$61:AF64))+SUM($B$81:AF81))&lt;0,((SUM($B$59:AF59)+SUM($B$61:AF64))+SUM($B$81:AF81))*0.18-SUM($A$79:AE79),IF(SUM($B$79:AE79)&lt;0,0-SUM($B$79:AE79),0))</f>
        <v>0</v>
      </c>
      <c r="AG79" s="243">
        <f>IF(((SUM($B$59:AG59)+SUM($B$61:AG64))+SUM($B$81:AG81))&lt;0,((SUM($B$59:AG59)+SUM($B$61:AG64))+SUM($B$81:AG81))*0.18-SUM($A$79:AF79),IF(SUM($B$79:AF79)&lt;0,0-SUM($B$79:AF79),0))</f>
        <v>0</v>
      </c>
      <c r="AH79" s="243">
        <f>IF(((SUM($B$59:AH59)+SUM($B$61:AH64))+SUM($B$81:AH81))&lt;0,((SUM($B$59:AH59)+SUM($B$61:AH64))+SUM($B$81:AH81))*0.18-SUM($A$79:AG79),IF(SUM($B$79:AG79)&lt;0,0-SUM($B$79:AG79),0))</f>
        <v>0</v>
      </c>
      <c r="AI79" s="243">
        <f>IF(((SUM($B$59:AI59)+SUM($B$61:AI64))+SUM($B$81:AI81))&lt;0,((SUM($B$59:AI59)+SUM($B$61:AI64))+SUM($B$81:AI81))*0.18-SUM($A$79:AH79),IF(SUM($B$79:AH79)&lt;0,0-SUM($B$79:AH79),0))</f>
        <v>0</v>
      </c>
      <c r="AJ79" s="243">
        <f>IF(((SUM($B$59:AJ59)+SUM($B$61:AJ64))+SUM($B$81:AJ81))&lt;0,((SUM($B$59:AJ59)+SUM($B$61:AJ64))+SUM($B$81:AJ81))*0.18-SUM($A$79:AI79),IF(SUM($B$79:AI79)&lt;0,0-SUM($B$79:AI79),0))</f>
        <v>0</v>
      </c>
      <c r="AK79" s="243">
        <f>IF(((SUM($B$59:AK59)+SUM($B$61:AK64))+SUM($B$81:AK81))&lt;0,((SUM($B$59:AK59)+SUM($B$61:AK64))+SUM($B$81:AK81))*0.18-SUM($A$79:AJ79),IF(SUM($B$79:AJ79)&lt;0,0-SUM($B$79:AJ79),0))</f>
        <v>0</v>
      </c>
      <c r="AL79" s="243">
        <f>IF(((SUM($B$59:AL59)+SUM($B$61:AL64))+SUM($B$81:AL81))&lt;0,((SUM($B$59:AL59)+SUM($B$61:AL64))+SUM($B$81:AL81))*0.18-SUM($A$79:AK79),IF(SUM($B$79:AK79)&lt;0,0-SUM($B$79:AK79),0))</f>
        <v>0</v>
      </c>
      <c r="AM79" s="243">
        <f>IF(((SUM($B$59:AM59)+SUM($B$61:AM64))+SUM($B$81:AM81))&lt;0,((SUM($B$59:AM59)+SUM($B$61:AM64))+SUM($B$81:AM81))*0.18-SUM($A$79:AL79),IF(SUM($B$79:AL79)&lt;0,0-SUM($B$79:AL79),0))</f>
        <v>0</v>
      </c>
      <c r="AN79" s="243">
        <f>IF(((SUM($B$59:AN59)+SUM($B$61:AN64))+SUM($B$81:AN81))&lt;0,((SUM($B$59:AN59)+SUM($B$61:AN64))+SUM($B$81:AN81))*0.18-SUM($A$79:AM79),IF(SUM($B$79:AM79)&lt;0,0-SUM($B$79:AM79),0))</f>
        <v>0</v>
      </c>
      <c r="AO79" s="243">
        <f>IF(((SUM($B$59:AO59)+SUM($B$61:AO64))+SUM($B$81:AO81))&lt;0,((SUM($B$59:AO59)+SUM($B$61:AO64))+SUM($B$81:AO81))*0.18-SUM($A$79:AN79),IF(SUM($B$79:AN79)&lt;0,0-SUM($B$79:AN79),0))</f>
        <v>0</v>
      </c>
      <c r="AP79" s="243">
        <f>IF(((SUM($B$59:AP59)+SUM($B$61:AP64))+SUM($B$81:AP81))&lt;0,((SUM($B$59:AP59)+SUM($B$61:AP64))+SUM($B$81:AP81))*0.18-SUM($A$79:AO79),IF(SUM($B$79:AO79)&lt;0,0-SUM($B$79:AO79),0))</f>
        <v>0</v>
      </c>
    </row>
    <row r="80" spans="1:45" x14ac:dyDescent="0.2">
      <c r="A80" s="251" t="s">
        <v>251</v>
      </c>
      <c r="B80" s="243">
        <f>-B59*(B39)</f>
        <v>0</v>
      </c>
      <c r="C80" s="243">
        <f t="shared" ref="C80:AP80" si="28">-(C59-B59)*$B$39</f>
        <v>0</v>
      </c>
      <c r="D80" s="243">
        <f t="shared" si="28"/>
        <v>0</v>
      </c>
      <c r="E80" s="243">
        <f t="shared" si="28"/>
        <v>0</v>
      </c>
      <c r="F80" s="243">
        <f t="shared" si="28"/>
        <v>0</v>
      </c>
      <c r="G80" s="243">
        <f t="shared" si="28"/>
        <v>0</v>
      </c>
      <c r="H80" s="243">
        <f t="shared" si="28"/>
        <v>0</v>
      </c>
      <c r="I80" s="243">
        <f t="shared" si="28"/>
        <v>0</v>
      </c>
      <c r="J80" s="243">
        <f t="shared" si="28"/>
        <v>0</v>
      </c>
      <c r="K80" s="243">
        <f t="shared" si="28"/>
        <v>0</v>
      </c>
      <c r="L80" s="243">
        <f t="shared" si="28"/>
        <v>0</v>
      </c>
      <c r="M80" s="243">
        <f t="shared" si="28"/>
        <v>0</v>
      </c>
      <c r="N80" s="243">
        <f t="shared" si="28"/>
        <v>0</v>
      </c>
      <c r="O80" s="243">
        <f t="shared" si="28"/>
        <v>0</v>
      </c>
      <c r="P80" s="243">
        <f t="shared" si="28"/>
        <v>0</v>
      </c>
      <c r="Q80" s="243">
        <f t="shared" si="28"/>
        <v>0</v>
      </c>
      <c r="R80" s="243">
        <f t="shared" si="28"/>
        <v>0</v>
      </c>
      <c r="S80" s="243">
        <f t="shared" si="28"/>
        <v>0</v>
      </c>
      <c r="T80" s="243">
        <f t="shared" si="28"/>
        <v>0</v>
      </c>
      <c r="U80" s="243">
        <f t="shared" si="28"/>
        <v>0</v>
      </c>
      <c r="V80" s="243">
        <f t="shared" si="28"/>
        <v>0</v>
      </c>
      <c r="W80" s="243">
        <f t="shared" si="28"/>
        <v>0</v>
      </c>
      <c r="X80" s="243">
        <f t="shared" si="28"/>
        <v>0</v>
      </c>
      <c r="Y80" s="243">
        <f t="shared" si="28"/>
        <v>0</v>
      </c>
      <c r="Z80" s="243">
        <f t="shared" si="28"/>
        <v>0</v>
      </c>
      <c r="AA80" s="243">
        <f t="shared" si="28"/>
        <v>0</v>
      </c>
      <c r="AB80" s="243">
        <f t="shared" si="28"/>
        <v>0</v>
      </c>
      <c r="AC80" s="243">
        <f t="shared" si="28"/>
        <v>0</v>
      </c>
      <c r="AD80" s="243">
        <f t="shared" si="28"/>
        <v>0</v>
      </c>
      <c r="AE80" s="243">
        <f t="shared" si="28"/>
        <v>0</v>
      </c>
      <c r="AF80" s="243">
        <f t="shared" si="28"/>
        <v>0</v>
      </c>
      <c r="AG80" s="243">
        <f t="shared" si="28"/>
        <v>0</v>
      </c>
      <c r="AH80" s="243">
        <f t="shared" si="28"/>
        <v>0</v>
      </c>
      <c r="AI80" s="243">
        <f t="shared" si="28"/>
        <v>0</v>
      </c>
      <c r="AJ80" s="243">
        <f t="shared" si="28"/>
        <v>0</v>
      </c>
      <c r="AK80" s="243">
        <f t="shared" si="28"/>
        <v>0</v>
      </c>
      <c r="AL80" s="243">
        <f t="shared" si="28"/>
        <v>0</v>
      </c>
      <c r="AM80" s="243">
        <f t="shared" si="28"/>
        <v>0</v>
      </c>
      <c r="AN80" s="243">
        <f t="shared" si="28"/>
        <v>0</v>
      </c>
      <c r="AO80" s="243">
        <f t="shared" si="28"/>
        <v>0</v>
      </c>
      <c r="AP80" s="243">
        <f t="shared" si="28"/>
        <v>0</v>
      </c>
    </row>
    <row r="81" spans="1:44" x14ac:dyDescent="0.2">
      <c r="A81" s="251" t="s">
        <v>433</v>
      </c>
      <c r="B81" s="243">
        <f>'6.2. Паспорт фин осв ввод'!N24*-1000000</f>
        <v>-15000000</v>
      </c>
      <c r="C81" s="243">
        <f>'6.2. Паспорт фин осв ввод'!R24*-1000000</f>
        <v>-14029299</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-29029299</v>
      </c>
      <c r="AR81" s="255"/>
    </row>
    <row r="82" spans="1:44" x14ac:dyDescent="0.2">
      <c r="A82" s="251" t="s">
        <v>250</v>
      </c>
      <c r="B82" s="243">
        <f t="shared" ref="B82:AO82" si="29">B54-B55</f>
        <v>0</v>
      </c>
      <c r="C82" s="243">
        <f t="shared" si="29"/>
        <v>0</v>
      </c>
      <c r="D82" s="243">
        <f t="shared" si="29"/>
        <v>0</v>
      </c>
      <c r="E82" s="243">
        <f t="shared" si="29"/>
        <v>0</v>
      </c>
      <c r="F82" s="243">
        <f t="shared" si="29"/>
        <v>0</v>
      </c>
      <c r="G82" s="243">
        <f t="shared" si="29"/>
        <v>0</v>
      </c>
      <c r="H82" s="243">
        <f t="shared" si="29"/>
        <v>0</v>
      </c>
      <c r="I82" s="243">
        <f t="shared" si="29"/>
        <v>0</v>
      </c>
      <c r="J82" s="243">
        <f t="shared" si="29"/>
        <v>0</v>
      </c>
      <c r="K82" s="243">
        <f t="shared" si="29"/>
        <v>0</v>
      </c>
      <c r="L82" s="243">
        <f t="shared" si="29"/>
        <v>0</v>
      </c>
      <c r="M82" s="243">
        <f t="shared" si="29"/>
        <v>0</v>
      </c>
      <c r="N82" s="243">
        <f t="shared" si="29"/>
        <v>0</v>
      </c>
      <c r="O82" s="243">
        <f t="shared" si="29"/>
        <v>0</v>
      </c>
      <c r="P82" s="243">
        <f t="shared" si="29"/>
        <v>0</v>
      </c>
      <c r="Q82" s="243">
        <f t="shared" si="29"/>
        <v>0</v>
      </c>
      <c r="R82" s="243">
        <f t="shared" si="29"/>
        <v>0</v>
      </c>
      <c r="S82" s="243">
        <f t="shared" si="29"/>
        <v>0</v>
      </c>
      <c r="T82" s="243">
        <f t="shared" si="29"/>
        <v>0</v>
      </c>
      <c r="U82" s="243">
        <f t="shared" si="29"/>
        <v>0</v>
      </c>
      <c r="V82" s="243">
        <f t="shared" si="29"/>
        <v>0</v>
      </c>
      <c r="W82" s="243">
        <f t="shared" si="29"/>
        <v>0</v>
      </c>
      <c r="X82" s="243">
        <f t="shared" si="29"/>
        <v>0</v>
      </c>
      <c r="Y82" s="243">
        <f t="shared" si="29"/>
        <v>0</v>
      </c>
      <c r="Z82" s="243">
        <f t="shared" si="29"/>
        <v>0</v>
      </c>
      <c r="AA82" s="243">
        <f t="shared" si="29"/>
        <v>0</v>
      </c>
      <c r="AB82" s="243">
        <f t="shared" si="29"/>
        <v>0</v>
      </c>
      <c r="AC82" s="243">
        <f t="shared" si="29"/>
        <v>0</v>
      </c>
      <c r="AD82" s="243">
        <f t="shared" si="29"/>
        <v>0</v>
      </c>
      <c r="AE82" s="243">
        <f t="shared" si="29"/>
        <v>0</v>
      </c>
      <c r="AF82" s="243">
        <f t="shared" si="29"/>
        <v>0</v>
      </c>
      <c r="AG82" s="243">
        <f t="shared" si="29"/>
        <v>0</v>
      </c>
      <c r="AH82" s="243">
        <f t="shared" si="29"/>
        <v>0</v>
      </c>
      <c r="AI82" s="243">
        <f t="shared" si="29"/>
        <v>0</v>
      </c>
      <c r="AJ82" s="243">
        <f t="shared" si="29"/>
        <v>0</v>
      </c>
      <c r="AK82" s="243">
        <f t="shared" si="29"/>
        <v>0</v>
      </c>
      <c r="AL82" s="243">
        <f t="shared" si="29"/>
        <v>0</v>
      </c>
      <c r="AM82" s="243">
        <f t="shared" si="29"/>
        <v>0</v>
      </c>
      <c r="AN82" s="243">
        <f t="shared" si="29"/>
        <v>0</v>
      </c>
      <c r="AO82" s="243">
        <f t="shared" si="29"/>
        <v>0</v>
      </c>
      <c r="AP82" s="243">
        <f>AP54-AP55</f>
        <v>0</v>
      </c>
    </row>
    <row r="83" spans="1:44" ht="14.25" x14ac:dyDescent="0.2">
      <c r="A83" s="252" t="s">
        <v>249</v>
      </c>
      <c r="B83" s="250">
        <f>SUM(B75:B82)</f>
        <v>-9766902</v>
      </c>
      <c r="C83" s="250">
        <f t="shared" ref="C83:V83" si="30">SUM(C75:C82)</f>
        <v>-16669564.961439999</v>
      </c>
      <c r="D83" s="250">
        <f t="shared" si="30"/>
        <v>-431620.78371728479</v>
      </c>
      <c r="E83" s="250">
        <f t="shared" si="30"/>
        <v>123539.68214006349</v>
      </c>
      <c r="F83" s="250">
        <f t="shared" si="30"/>
        <v>355409.32032795285</v>
      </c>
      <c r="G83" s="250">
        <f t="shared" si="30"/>
        <v>983954.62631795858</v>
      </c>
      <c r="H83" s="250">
        <f t="shared" si="30"/>
        <v>857692.63648907398</v>
      </c>
      <c r="I83" s="250">
        <f t="shared" si="30"/>
        <v>1372996.2833950357</v>
      </c>
      <c r="J83" s="250">
        <f t="shared" si="30"/>
        <v>1459483.9044227614</v>
      </c>
      <c r="K83" s="250">
        <f t="shared" si="30"/>
        <v>1549369.326608872</v>
      </c>
      <c r="L83" s="250">
        <f t="shared" si="30"/>
        <v>1642812.2466078077</v>
      </c>
      <c r="M83" s="250">
        <f t="shared" si="30"/>
        <v>1739979.8668167759</v>
      </c>
      <c r="N83" s="250">
        <f t="shared" si="30"/>
        <v>1841047.2481456434</v>
      </c>
      <c r="O83" s="250">
        <f t="shared" si="30"/>
        <v>1946197.6793670484</v>
      </c>
      <c r="P83" s="250">
        <f t="shared" si="30"/>
        <v>2055623.0638259395</v>
      </c>
      <c r="Q83" s="250">
        <f t="shared" si="30"/>
        <v>2169524.3243244793</v>
      </c>
      <c r="R83" s="250">
        <f t="shared" si="30"/>
        <v>1989547.0263308571</v>
      </c>
      <c r="S83" s="250">
        <f t="shared" si="30"/>
        <v>1964391.7226270414</v>
      </c>
      <c r="T83" s="250">
        <f t="shared" si="30"/>
        <v>2072003.7589994716</v>
      </c>
      <c r="U83" s="250">
        <f t="shared" si="30"/>
        <v>2184006.4440514869</v>
      </c>
      <c r="V83" s="250">
        <f t="shared" si="30"/>
        <v>2300606.1382710263</v>
      </c>
      <c r="W83" s="250">
        <f>SUM(W75:W82)</f>
        <v>2422018.9010889647</v>
      </c>
      <c r="X83" s="250">
        <f>SUM(X75:X82)</f>
        <v>2548470.9467294263</v>
      </c>
      <c r="Y83" s="250">
        <f>SUM(Y75:Y82)</f>
        <v>2680199.1214850685</v>
      </c>
      <c r="Z83" s="250">
        <f>SUM(Z75:Z82)</f>
        <v>2817451.4034243068</v>
      </c>
      <c r="AA83" s="250">
        <f t="shared" ref="AA83:AP83" si="31">SUM(AA75:AA82)</f>
        <v>2960487.4255847693</v>
      </c>
      <c r="AB83" s="250">
        <f t="shared" si="31"/>
        <v>3109579.0237568533</v>
      </c>
      <c r="AC83" s="250">
        <f t="shared" si="31"/>
        <v>3265010.8100131047</v>
      </c>
      <c r="AD83" s="250">
        <f t="shared" si="31"/>
        <v>3427080.7731934809</v>
      </c>
      <c r="AE83" s="250">
        <f t="shared" si="31"/>
        <v>3596100.9076134143</v>
      </c>
      <c r="AF83" s="250">
        <f t="shared" si="31"/>
        <v>3772397.871321165</v>
      </c>
      <c r="AG83" s="250">
        <f t="shared" si="31"/>
        <v>3942119.6959332582</v>
      </c>
      <c r="AH83" s="250">
        <f t="shared" si="31"/>
        <v>4119818.4463021215</v>
      </c>
      <c r="AI83" s="250">
        <f t="shared" si="31"/>
        <v>4305869.037938321</v>
      </c>
      <c r="AJ83" s="250">
        <f t="shared" si="31"/>
        <v>4500664.0073814224</v>
      </c>
      <c r="AK83" s="250">
        <f t="shared" si="31"/>
        <v>4704614.3403883493</v>
      </c>
      <c r="AL83" s="250">
        <f t="shared" si="31"/>
        <v>4918150.3390466012</v>
      </c>
      <c r="AM83" s="250">
        <f t="shared" si="31"/>
        <v>5141722.5296417912</v>
      </c>
      <c r="AN83" s="250">
        <f t="shared" si="31"/>
        <v>5375802.6131949574</v>
      </c>
      <c r="AO83" s="250">
        <f t="shared" si="31"/>
        <v>5620884.4606751194</v>
      </c>
      <c r="AP83" s="250">
        <f t="shared" si="31"/>
        <v>5877485.1549868491</v>
      </c>
    </row>
    <row r="84" spans="1:44" ht="14.25" x14ac:dyDescent="0.2">
      <c r="A84" s="252" t="s">
        <v>549</v>
      </c>
      <c r="B84" s="250">
        <f>SUM($B$83:B83)</f>
        <v>-9766902</v>
      </c>
      <c r="C84" s="250">
        <f>SUM($B$83:C83)</f>
        <v>-26436466.961439997</v>
      </c>
      <c r="D84" s="250">
        <f>SUM($B$83:D83)</f>
        <v>-26868087.745157283</v>
      </c>
      <c r="E84" s="250">
        <f>SUM($B$83:E83)</f>
        <v>-26744548.063017219</v>
      </c>
      <c r="F84" s="250">
        <f>SUM($B$83:F83)</f>
        <v>-26389138.742689267</v>
      </c>
      <c r="G84" s="250">
        <f>SUM($B$83:G83)</f>
        <v>-25405184.116371308</v>
      </c>
      <c r="H84" s="250">
        <f>SUM($B$83:H83)</f>
        <v>-24547491.479882233</v>
      </c>
      <c r="I84" s="250">
        <f>SUM($B$83:I83)</f>
        <v>-23174495.196487196</v>
      </c>
      <c r="J84" s="250">
        <f>SUM($B$83:J83)</f>
        <v>-21715011.292064436</v>
      </c>
      <c r="K84" s="250">
        <f>SUM($B$83:K83)</f>
        <v>-20165641.965455562</v>
      </c>
      <c r="L84" s="250">
        <f>SUM($B$83:L83)</f>
        <v>-18522829.718847755</v>
      </c>
      <c r="M84" s="250">
        <f>SUM($B$83:M83)</f>
        <v>-16782849.852030978</v>
      </c>
      <c r="N84" s="250">
        <f>SUM($B$83:N83)</f>
        <v>-14941802.603885334</v>
      </c>
      <c r="O84" s="250">
        <f>SUM($B$83:O83)</f>
        <v>-12995604.924518285</v>
      </c>
      <c r="P84" s="250">
        <f>SUM($B$83:P83)</f>
        <v>-10939981.860692346</v>
      </c>
      <c r="Q84" s="250">
        <f>SUM($B$83:Q83)</f>
        <v>-8770457.5363678671</v>
      </c>
      <c r="R84" s="250">
        <f>SUM($B$83:R83)</f>
        <v>-6780910.5100370105</v>
      </c>
      <c r="S84" s="250">
        <f>SUM($B$83:S83)</f>
        <v>-4816518.7874099687</v>
      </c>
      <c r="T84" s="250">
        <f>SUM($B$83:T83)</f>
        <v>-2744515.0284104971</v>
      </c>
      <c r="U84" s="250">
        <f>SUM($B$83:U83)</f>
        <v>-560508.58435901022</v>
      </c>
      <c r="V84" s="250">
        <f>SUM($B$83:V83)</f>
        <v>1740097.5539120161</v>
      </c>
      <c r="W84" s="250">
        <f>SUM($B$83:W83)</f>
        <v>4162116.4550009808</v>
      </c>
      <c r="X84" s="250">
        <f>SUM($B$83:X83)</f>
        <v>6710587.401730407</v>
      </c>
      <c r="Y84" s="250">
        <f>SUM($B$83:Y83)</f>
        <v>9390786.5232154764</v>
      </c>
      <c r="Z84" s="250">
        <f>SUM($B$83:Z83)</f>
        <v>12208237.926639784</v>
      </c>
      <c r="AA84" s="250">
        <f>SUM($B$83:AA83)</f>
        <v>15168725.352224553</v>
      </c>
      <c r="AB84" s="250">
        <f>SUM($B$83:AB83)</f>
        <v>18278304.375981405</v>
      </c>
      <c r="AC84" s="250">
        <f>SUM($B$83:AC83)</f>
        <v>21543315.18599451</v>
      </c>
      <c r="AD84" s="250">
        <f>SUM($B$83:AD83)</f>
        <v>24970395.959187992</v>
      </c>
      <c r="AE84" s="250">
        <f>SUM($B$83:AE83)</f>
        <v>28566496.866801407</v>
      </c>
      <c r="AF84" s="250">
        <f>SUM($B$83:AF83)</f>
        <v>32338894.738122571</v>
      </c>
      <c r="AG84" s="250">
        <f>SUM($B$83:AG83)</f>
        <v>36281014.434055828</v>
      </c>
      <c r="AH84" s="250">
        <f>SUM($B$83:AH83)</f>
        <v>40400832.880357951</v>
      </c>
      <c r="AI84" s="250">
        <f>SUM($B$83:AI83)</f>
        <v>44706701.91829627</v>
      </c>
      <c r="AJ84" s="250">
        <f>SUM($B$83:AJ83)</f>
        <v>49207365.925677694</v>
      </c>
      <c r="AK84" s="250">
        <f>SUM($B$83:AK83)</f>
        <v>53911980.266066045</v>
      </c>
      <c r="AL84" s="250">
        <f>SUM($B$83:AL83)</f>
        <v>58830130.605112642</v>
      </c>
      <c r="AM84" s="250">
        <f>SUM($B$83:AM83)</f>
        <v>63971853.134754434</v>
      </c>
      <c r="AN84" s="250">
        <f>SUM($B$83:AN83)</f>
        <v>69347655.747949392</v>
      </c>
      <c r="AO84" s="250">
        <f>SUM($B$83:AO83)</f>
        <v>74968540.208624512</v>
      </c>
      <c r="AP84" s="250">
        <f>SUM($B$83:AP83)</f>
        <v>80846025.363611355</v>
      </c>
    </row>
    <row r="85" spans="1:44" x14ac:dyDescent="0.2">
      <c r="A85" s="251" t="s">
        <v>434</v>
      </c>
      <c r="B85" s="335">
        <f>1/POWER((1+$B$44),B73)</f>
        <v>0.95402649883562884</v>
      </c>
      <c r="C85" s="335">
        <f t="shared" ref="C85:AP85" si="32">1/POWER((1+$B$44),C73)</f>
        <v>0.86832301705254278</v>
      </c>
      <c r="D85" s="335">
        <f t="shared" si="32"/>
        <v>0.79031857381682236</v>
      </c>
      <c r="E85" s="335">
        <f t="shared" si="32"/>
        <v>0.71932153801476506</v>
      </c>
      <c r="F85" s="335">
        <f t="shared" si="32"/>
        <v>0.65470241013449082</v>
      </c>
      <c r="G85" s="335">
        <f t="shared" si="32"/>
        <v>0.59588824077044755</v>
      </c>
      <c r="H85" s="335">
        <f t="shared" si="32"/>
        <v>0.54235755053285484</v>
      </c>
      <c r="I85" s="335">
        <f t="shared" si="32"/>
        <v>0.49363570631915432</v>
      </c>
      <c r="J85" s="335">
        <f t="shared" si="32"/>
        <v>0.44929071295090039</v>
      </c>
      <c r="K85" s="335">
        <f t="shared" si="32"/>
        <v>0.40892938286238317</v>
      </c>
      <c r="L85" s="335">
        <f t="shared" si="32"/>
        <v>0.37219384987929666</v>
      </c>
      <c r="M85" s="335">
        <f t="shared" si="32"/>
        <v>0.3387583961766602</v>
      </c>
      <c r="N85" s="335">
        <f t="shared" si="32"/>
        <v>0.30832656428202437</v>
      </c>
      <c r="O85" s="335">
        <f t="shared" si="32"/>
        <v>0.28062852851736092</v>
      </c>
      <c r="P85" s="335">
        <f t="shared" si="32"/>
        <v>0.25541870257336935</v>
      </c>
      <c r="Q85" s="335">
        <f t="shared" si="32"/>
        <v>0.23247356200361272</v>
      </c>
      <c r="R85" s="335">
        <f t="shared" si="32"/>
        <v>0.21158966233149432</v>
      </c>
      <c r="S85" s="335">
        <f t="shared" si="32"/>
        <v>0.19258183519750091</v>
      </c>
      <c r="T85" s="335">
        <f t="shared" si="32"/>
        <v>0.17528154655274497</v>
      </c>
      <c r="U85" s="335">
        <f t="shared" si="32"/>
        <v>0.15953540234162647</v>
      </c>
      <c r="V85" s="335">
        <f t="shared" si="32"/>
        <v>0.14520378842416171</v>
      </c>
      <c r="W85" s="335">
        <f t="shared" si="32"/>
        <v>0.13215963267876735</v>
      </c>
      <c r="X85" s="335">
        <f t="shared" si="32"/>
        <v>0.12028727830960895</v>
      </c>
      <c r="Y85" s="335">
        <f t="shared" si="32"/>
        <v>0.10948145836862559</v>
      </c>
      <c r="Z85" s="335">
        <f t="shared" si="32"/>
        <v>9.9646362399768443E-2</v>
      </c>
      <c r="AA85" s="335">
        <f t="shared" si="32"/>
        <v>9.0694786929797461E-2</v>
      </c>
      <c r="AB85" s="335">
        <f t="shared" si="32"/>
        <v>8.2547362273411681E-2</v>
      </c>
      <c r="AC85" s="335">
        <f t="shared" si="32"/>
        <v>7.5131848797134526E-2</v>
      </c>
      <c r="AD85" s="335">
        <f t="shared" si="32"/>
        <v>6.8382496402234039E-2</v>
      </c>
      <c r="AE85" s="335">
        <f t="shared" si="32"/>
        <v>6.2239461547496142E-2</v>
      </c>
      <c r="AF85" s="335">
        <f t="shared" si="32"/>
        <v>5.6648276642847148E-2</v>
      </c>
      <c r="AG85" s="335">
        <f t="shared" si="32"/>
        <v>5.1559367109171889E-2</v>
      </c>
      <c r="AH85" s="335">
        <f t="shared" si="32"/>
        <v>4.6927611822309881E-2</v>
      </c>
      <c r="AI85" s="335">
        <f t="shared" si="32"/>
        <v>4.2711943043879028E-2</v>
      </c>
      <c r="AJ85" s="335">
        <f t="shared" si="32"/>
        <v>3.88749822916893E-2</v>
      </c>
      <c r="AK85" s="335">
        <f t="shared" si="32"/>
        <v>3.5382708921169827E-2</v>
      </c>
      <c r="AL85" s="335">
        <f t="shared" si="32"/>
        <v>3.2204158479266255E-2</v>
      </c>
      <c r="AM85" s="335">
        <f t="shared" si="32"/>
        <v>2.9311148156244884E-2</v>
      </c>
      <c r="AN85" s="335">
        <f t="shared" si="32"/>
        <v>2.6678026901105743E-2</v>
      </c>
      <c r="AO85" s="335">
        <f t="shared" si="32"/>
        <v>2.4281447984987482E-2</v>
      </c>
      <c r="AP85" s="335">
        <f t="shared" si="32"/>
        <v>2.2100161995983875E-2</v>
      </c>
    </row>
    <row r="86" spans="1:44" ht="28.5" x14ac:dyDescent="0.2">
      <c r="A86" s="249" t="s">
        <v>550</v>
      </c>
      <c r="B86" s="250">
        <f>B83*B85</f>
        <v>-9317883.3195307013</v>
      </c>
      <c r="C86" s="250">
        <f>C83*C85</f>
        <v>-14474566.940270934</v>
      </c>
      <c r="D86" s="250">
        <f t="shared" ref="D86:AO86" si="33">D83*D85</f>
        <v>-341117.92221714364</v>
      </c>
      <c r="E86" s="250">
        <f t="shared" si="33"/>
        <v>88864.754162845682</v>
      </c>
      <c r="F86" s="250">
        <f t="shared" si="33"/>
        <v>232687.33860297201</v>
      </c>
      <c r="G86" s="250">
        <f t="shared" si="33"/>
        <v>586326.99127455149</v>
      </c>
      <c r="H86" s="250">
        <f t="shared" si="33"/>
        <v>465176.07743628044</v>
      </c>
      <c r="I86" s="250">
        <f t="shared" si="33"/>
        <v>677759.99012728222</v>
      </c>
      <c r="J86" s="250">
        <f t="shared" si="33"/>
        <v>655732.56395846629</v>
      </c>
      <c r="K86" s="250">
        <f t="shared" si="33"/>
        <v>633582.64255607221</v>
      </c>
      <c r="L86" s="250">
        <f t="shared" si="33"/>
        <v>611444.6146938164</v>
      </c>
      <c r="M86" s="250">
        <f t="shared" si="33"/>
        <v>589432.7890625298</v>
      </c>
      <c r="N86" s="250">
        <f t="shared" si="33"/>
        <v>567643.77270162175</v>
      </c>
      <c r="O86" s="250">
        <f t="shared" si="33"/>
        <v>546158.59096467739</v>
      </c>
      <c r="P86" s="250">
        <f t="shared" si="33"/>
        <v>525044.57594231586</v>
      </c>
      <c r="Q86" s="250">
        <f t="shared" si="33"/>
        <v>504357.04752919282</v>
      </c>
      <c r="R86" s="250">
        <f t="shared" si="33"/>
        <v>420967.5834939747</v>
      </c>
      <c r="S86" s="250">
        <f t="shared" si="33"/>
        <v>378306.16299029579</v>
      </c>
      <c r="T86" s="250">
        <f t="shared" si="33"/>
        <v>363184.02334052842</v>
      </c>
      <c r="U86" s="250">
        <f t="shared" si="33"/>
        <v>348426.3467684589</v>
      </c>
      <c r="V86" s="250">
        <f t="shared" si="33"/>
        <v>334056.72694883379</v>
      </c>
      <c r="W86" s="250">
        <f t="shared" si="33"/>
        <v>320093.12830894929</v>
      </c>
      <c r="X86" s="250">
        <f t="shared" si="33"/>
        <v>306548.63403319509</v>
      </c>
      <c r="Y86" s="250">
        <f t="shared" si="33"/>
        <v>293432.10853849439</v>
      </c>
      <c r="Z86" s="250">
        <f t="shared" si="33"/>
        <v>280748.78358935466</v>
      </c>
      <c r="AA86" s="250">
        <f t="shared" si="33"/>
        <v>268500.77627175528</v>
      </c>
      <c r="AB86" s="250">
        <f t="shared" si="33"/>
        <v>256687.5461918588</v>
      </c>
      <c r="AC86" s="250">
        <f t="shared" si="33"/>
        <v>245306.29849891432</v>
      </c>
      <c r="AD86" s="250">
        <f t="shared" si="33"/>
        <v>234352.33864306865</v>
      </c>
      <c r="AE86" s="250">
        <f t="shared" si="33"/>
        <v>223819.38416032109</v>
      </c>
      <c r="AF86" s="250">
        <f t="shared" si="33"/>
        <v>213699.83822148904</v>
      </c>
      <c r="AG86" s="250">
        <f t="shared" si="33"/>
        <v>203253.19659091992</v>
      </c>
      <c r="AH86" s="250">
        <f t="shared" si="33"/>
        <v>193333.24082645777</v>
      </c>
      <c r="AI86" s="250">
        <f t="shared" si="33"/>
        <v>183912.03310282374</v>
      </c>
      <c r="AJ86" s="250">
        <f t="shared" si="33"/>
        <v>174963.23358779619</v>
      </c>
      <c r="AK86" s="250">
        <f t="shared" si="33"/>
        <v>166461.99979232234</v>
      </c>
      <c r="AL86" s="250">
        <f t="shared" si="33"/>
        <v>158384.89294351381</v>
      </c>
      <c r="AM86" s="250">
        <f t="shared" si="33"/>
        <v>150709.79084463278</v>
      </c>
      <c r="AN86" s="250">
        <f t="shared" si="33"/>
        <v>143415.80672984963</v>
      </c>
      <c r="AO86" s="250">
        <f t="shared" si="33"/>
        <v>136483.21366150733</v>
      </c>
      <c r="AP86" s="250">
        <f>AP83*AP85</f>
        <v>129893.37405419975</v>
      </c>
    </row>
    <row r="87" spans="1:44" ht="14.25" x14ac:dyDescent="0.2">
      <c r="A87" s="249" t="s">
        <v>551</v>
      </c>
      <c r="B87" s="250">
        <f>SUM($B$86:B86)</f>
        <v>-9317883.3195307013</v>
      </c>
      <c r="C87" s="250">
        <f>SUM($B$86:C86)</f>
        <v>-23792450.259801634</v>
      </c>
      <c r="D87" s="250">
        <f>SUM($B$86:D86)</f>
        <v>-24133568.182018775</v>
      </c>
      <c r="E87" s="250">
        <f>SUM($B$86:E86)</f>
        <v>-24044703.427855931</v>
      </c>
      <c r="F87" s="250">
        <f>SUM($B$86:F86)</f>
        <v>-23812016.08925296</v>
      </c>
      <c r="G87" s="250">
        <f>SUM($B$86:G86)</f>
        <v>-23225689.097978409</v>
      </c>
      <c r="H87" s="250">
        <f>SUM($B$86:H86)</f>
        <v>-22760513.02054213</v>
      </c>
      <c r="I87" s="250">
        <f>SUM($B$86:I86)</f>
        <v>-22082753.03041485</v>
      </c>
      <c r="J87" s="250">
        <f>SUM($B$86:J86)</f>
        <v>-21427020.466456383</v>
      </c>
      <c r="K87" s="250">
        <f>SUM($B$86:K86)</f>
        <v>-20793437.823900312</v>
      </c>
      <c r="L87" s="250">
        <f>SUM($B$86:L86)</f>
        <v>-20181993.209206495</v>
      </c>
      <c r="M87" s="250">
        <f>SUM($B$86:M86)</f>
        <v>-19592560.420143966</v>
      </c>
      <c r="N87" s="250">
        <f>SUM($B$86:N86)</f>
        <v>-19024916.647442345</v>
      </c>
      <c r="O87" s="250">
        <f>SUM($B$86:O86)</f>
        <v>-18478758.056477666</v>
      </c>
      <c r="P87" s="250">
        <f>SUM($B$86:P86)</f>
        <v>-17953713.480535351</v>
      </c>
      <c r="Q87" s="250">
        <f>SUM($B$86:Q86)</f>
        <v>-17449356.433006156</v>
      </c>
      <c r="R87" s="250">
        <f>SUM($B$86:R86)</f>
        <v>-17028388.849512182</v>
      </c>
      <c r="S87" s="250">
        <f>SUM($B$86:S86)</f>
        <v>-16650082.686521886</v>
      </c>
      <c r="T87" s="250">
        <f>SUM($B$86:T86)</f>
        <v>-16286898.663181357</v>
      </c>
      <c r="U87" s="250">
        <f>SUM($B$86:U86)</f>
        <v>-15938472.316412898</v>
      </c>
      <c r="V87" s="250">
        <f>SUM($B$86:V86)</f>
        <v>-15604415.589464065</v>
      </c>
      <c r="W87" s="250">
        <f>SUM($B$86:W86)</f>
        <v>-15284322.461155115</v>
      </c>
      <c r="X87" s="250">
        <f>SUM($B$86:X86)</f>
        <v>-14977773.827121919</v>
      </c>
      <c r="Y87" s="250">
        <f>SUM($B$86:Y86)</f>
        <v>-14684341.718583426</v>
      </c>
      <c r="Z87" s="250">
        <f>SUM($B$86:Z86)</f>
        <v>-14403592.934994072</v>
      </c>
      <c r="AA87" s="250">
        <f>SUM($B$86:AA86)</f>
        <v>-14135092.158722317</v>
      </c>
      <c r="AB87" s="250">
        <f>SUM($B$86:AB86)</f>
        <v>-13878404.612530459</v>
      </c>
      <c r="AC87" s="250">
        <f>SUM($B$86:AC86)</f>
        <v>-13633098.314031545</v>
      </c>
      <c r="AD87" s="250">
        <f>SUM($B$86:AD86)</f>
        <v>-13398745.975388477</v>
      </c>
      <c r="AE87" s="250">
        <f>SUM($B$86:AE86)</f>
        <v>-13174926.591228155</v>
      </c>
      <c r="AF87" s="250">
        <f>SUM($B$86:AF86)</f>
        <v>-12961226.753006667</v>
      </c>
      <c r="AG87" s="250">
        <f>SUM($B$86:AG86)</f>
        <v>-12757973.556415748</v>
      </c>
      <c r="AH87" s="250">
        <f>SUM($B$86:AH86)</f>
        <v>-12564640.31558929</v>
      </c>
      <c r="AI87" s="250">
        <f>SUM($B$86:AI86)</f>
        <v>-12380728.282486467</v>
      </c>
      <c r="AJ87" s="250">
        <f>SUM($B$86:AJ86)</f>
        <v>-12205765.048898671</v>
      </c>
      <c r="AK87" s="250">
        <f>SUM($B$86:AK86)</f>
        <v>-12039303.049106348</v>
      </c>
      <c r="AL87" s="250">
        <f>SUM($B$86:AL86)</f>
        <v>-11880918.156162834</v>
      </c>
      <c r="AM87" s="250">
        <f>SUM($B$86:AM86)</f>
        <v>-11730208.365318201</v>
      </c>
      <c r="AN87" s="250">
        <f>SUM($B$86:AN86)</f>
        <v>-11586792.558588352</v>
      </c>
      <c r="AO87" s="250">
        <f>SUM($B$86:AO86)</f>
        <v>-11450309.344926845</v>
      </c>
      <c r="AP87" s="250">
        <f>SUM($B$86:AP86)</f>
        <v>-11320415.970872646</v>
      </c>
    </row>
    <row r="88" spans="1:44" ht="14.25" x14ac:dyDescent="0.2">
      <c r="A88" s="249" t="s">
        <v>552</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4.9811533103096828E-3</v>
      </c>
      <c r="W88" s="259">
        <f>IF((ISERR(IRR($B$83:W83))),0,IF(IRR($B$83:W83)&lt;0,0,IRR($B$83:W83)))</f>
        <v>1.1009693170852763E-2</v>
      </c>
      <c r="X88" s="259">
        <f>IF((ISERR(IRR($B$83:X83))),0,IF(IRR($B$83:X83)&lt;0,0,IRR($B$83:X83)))</f>
        <v>1.6429745705019094E-2</v>
      </c>
      <c r="Y88" s="259">
        <f>IF((ISERR(IRR($B$83:Y83))),0,IF(IRR($B$83:Y83)&lt;0,0,IRR($B$83:Y83)))</f>
        <v>2.1314457018797528E-2</v>
      </c>
      <c r="Z88" s="259">
        <f>IF((ISERR(IRR($B$83:Z83))),0,IF(IRR($B$83:Z83)&lt;0,0,IRR($B$83:Z83)))</f>
        <v>2.572760281498887E-2</v>
      </c>
      <c r="AA88" s="259">
        <f>IF((ISERR(IRR($B$83:AA83))),0,IF(IRR($B$83:AA83)&lt;0,0,IRR($B$83:AA83)))</f>
        <v>2.9724586336417502E-2</v>
      </c>
      <c r="AB88" s="259">
        <f>IF((ISERR(IRR($B$83:AB83))),0,IF(IRR($B$83:AB83)&lt;0,0,IRR($B$83:AB83)))</f>
        <v>3.3353475519989351E-2</v>
      </c>
      <c r="AC88" s="259">
        <f>IF((ISERR(IRR($B$83:AC83))),0,IF(IRR($B$83:AC83)&lt;0,0,IRR($B$83:AC83)))</f>
        <v>3.6655983039960427E-2</v>
      </c>
      <c r="AD88" s="259">
        <f>IF((ISERR(IRR($B$83:AD83))),0,IF(IRR($B$83:AD83)&lt;0,0,IRR($B$83:AD83)))</f>
        <v>3.9668349159408089E-2</v>
      </c>
      <c r="AE88" s="259">
        <f>IF((ISERR(IRR($B$83:AE83))),0,IF(IRR($B$83:AE83)&lt;0,0,IRR($B$83:AE83)))</f>
        <v>4.2422116191126902E-2</v>
      </c>
      <c r="AF88" s="259">
        <f>IF((ISERR(IRR($B$83:AF83))),0,IF(IRR($B$83:AF83)&lt;0,0,IRR($B$83:AF83)))</f>
        <v>4.4944797501812239E-2</v>
      </c>
      <c r="AG88" s="259">
        <f>IF((ISERR(IRR($B$83:AG83))),0,IF(IRR($B$83:AG83)&lt;0,0,IRR($B$83:AG83)))</f>
        <v>4.7252491648659412E-2</v>
      </c>
      <c r="AH88" s="259">
        <f>IF((ISERR(IRR($B$83:AH83))),0,IF(IRR($B$83:AH83)&lt;0,0,IRR($B$83:AH83)))</f>
        <v>4.9368826046211289E-2</v>
      </c>
      <c r="AI88" s="259">
        <f>IF((ISERR(IRR($B$83:AI83))),0,IF(IRR($B$83:AI83)&lt;0,0,IRR($B$83:AI83)))</f>
        <v>5.1314203711327222E-2</v>
      </c>
      <c r="AJ88" s="259">
        <f>IF((ISERR(IRR($B$83:AJ83))),0,IF(IRR($B$83:AJ83)&lt;0,0,IRR($B$83:AJ83)))</f>
        <v>5.3106332071270135E-2</v>
      </c>
      <c r="AK88" s="259">
        <f>IF((ISERR(IRR($B$83:AK83))),0,IF(IRR($B$83:AK83)&lt;0,0,IRR($B$83:AK83)))</f>
        <v>5.4760649966511865E-2</v>
      </c>
      <c r="AL88" s="259">
        <f>IF((ISERR(IRR($B$83:AL83))),0,IF(IRR($B$83:AL83)&lt;0,0,IRR($B$83:AL83)))</f>
        <v>5.6290675469491402E-2</v>
      </c>
      <c r="AM88" s="259">
        <f>IF((ISERR(IRR($B$83:AM83))),0,IF(IRR($B$83:AM83)&lt;0,0,IRR($B$83:AM83)))</f>
        <v>5.7708291417536861E-2</v>
      </c>
      <c r="AN88" s="259">
        <f>IF((ISERR(IRR($B$83:AN83))),0,IF(IRR($B$83:AN83)&lt;0,0,IRR($B$83:AN83)))</f>
        <v>5.9023981463034669E-2</v>
      </c>
      <c r="AO88" s="259">
        <f>IF((ISERR(IRR($B$83:AO83))),0,IF(IRR($B$83:AO83)&lt;0,0,IRR($B$83:AO83)))</f>
        <v>6.0247026462673769E-2</v>
      </c>
      <c r="AP88" s="259">
        <f>IF((ISERR(IRR($B$83:AP83))),0,IF(IRR($B$83:AP83)&lt;0,0,IRR($B$83:AP83)))</f>
        <v>6.1385668823992212E-2</v>
      </c>
    </row>
    <row r="89" spans="1:44" ht="14.25" x14ac:dyDescent="0.2">
      <c r="A89" s="249" t="s">
        <v>553</v>
      </c>
      <c r="B89" s="260">
        <f>IF(AND(B84&gt;0,A84&lt;0),(B74-(B84/(B84-A84))),0)</f>
        <v>0</v>
      </c>
      <c r="C89" s="260">
        <f t="shared" ref="C89:AP89" si="34">IF(AND(C84&gt;0,B84&lt;0),(C74-(C84/(C84-B84))),0)</f>
        <v>0</v>
      </c>
      <c r="D89" s="260">
        <f>IF(AND(D84&gt;0,C84&lt;0),(D74-(D84/(D84-C84))),0)</f>
        <v>0</v>
      </c>
      <c r="E89" s="260">
        <f t="shared" si="34"/>
        <v>0</v>
      </c>
      <c r="F89" s="260">
        <f t="shared" si="34"/>
        <v>0</v>
      </c>
      <c r="G89" s="260">
        <f t="shared" si="34"/>
        <v>0</v>
      </c>
      <c r="H89" s="260">
        <f>IF(AND(H84&gt;0,G84&lt;0),(H74-(H84/(H84-G84))),0)</f>
        <v>0</v>
      </c>
      <c r="I89" s="260">
        <f t="shared" si="34"/>
        <v>0</v>
      </c>
      <c r="J89" s="260">
        <f t="shared" si="34"/>
        <v>0</v>
      </c>
      <c r="K89" s="260">
        <f t="shared" si="34"/>
        <v>0</v>
      </c>
      <c r="L89" s="260">
        <f t="shared" si="34"/>
        <v>0</v>
      </c>
      <c r="M89" s="260">
        <f t="shared" si="34"/>
        <v>0</v>
      </c>
      <c r="N89" s="260">
        <f t="shared" si="34"/>
        <v>0</v>
      </c>
      <c r="O89" s="260">
        <f t="shared" si="34"/>
        <v>0</v>
      </c>
      <c r="P89" s="260">
        <f t="shared" si="34"/>
        <v>0</v>
      </c>
      <c r="Q89" s="260">
        <f t="shared" si="34"/>
        <v>0</v>
      </c>
      <c r="R89" s="260">
        <f t="shared" si="34"/>
        <v>0</v>
      </c>
      <c r="S89" s="260">
        <f t="shared" si="34"/>
        <v>0</v>
      </c>
      <c r="T89" s="260">
        <f t="shared" si="34"/>
        <v>0</v>
      </c>
      <c r="U89" s="260">
        <f t="shared" si="34"/>
        <v>0</v>
      </c>
      <c r="V89" s="260">
        <f t="shared" si="34"/>
        <v>20.2436351772843</v>
      </c>
      <c r="W89" s="260">
        <f t="shared" si="34"/>
        <v>0</v>
      </c>
      <c r="X89" s="260">
        <f t="shared" si="34"/>
        <v>0</v>
      </c>
      <c r="Y89" s="260">
        <f t="shared" si="34"/>
        <v>0</v>
      </c>
      <c r="Z89" s="260">
        <f t="shared" si="34"/>
        <v>0</v>
      </c>
      <c r="AA89" s="260">
        <f t="shared" si="34"/>
        <v>0</v>
      </c>
      <c r="AB89" s="260">
        <f t="shared" si="34"/>
        <v>0</v>
      </c>
      <c r="AC89" s="260">
        <f t="shared" si="34"/>
        <v>0</v>
      </c>
      <c r="AD89" s="260">
        <f t="shared" si="34"/>
        <v>0</v>
      </c>
      <c r="AE89" s="260">
        <f t="shared" si="34"/>
        <v>0</v>
      </c>
      <c r="AF89" s="260">
        <f t="shared" si="34"/>
        <v>0</v>
      </c>
      <c r="AG89" s="260">
        <f t="shared" si="34"/>
        <v>0</v>
      </c>
      <c r="AH89" s="260">
        <f t="shared" si="34"/>
        <v>0</v>
      </c>
      <c r="AI89" s="260">
        <f t="shared" si="34"/>
        <v>0</v>
      </c>
      <c r="AJ89" s="260">
        <f t="shared" si="34"/>
        <v>0</v>
      </c>
      <c r="AK89" s="260">
        <f t="shared" si="34"/>
        <v>0</v>
      </c>
      <c r="AL89" s="260">
        <f t="shared" si="34"/>
        <v>0</v>
      </c>
      <c r="AM89" s="260">
        <f t="shared" si="34"/>
        <v>0</v>
      </c>
      <c r="AN89" s="260">
        <f t="shared" si="34"/>
        <v>0</v>
      </c>
      <c r="AO89" s="260">
        <f t="shared" si="34"/>
        <v>0</v>
      </c>
      <c r="AP89" s="260">
        <f t="shared" si="34"/>
        <v>0</v>
      </c>
    </row>
    <row r="90" spans="1:44" ht="15" thickBot="1" x14ac:dyDescent="0.25">
      <c r="A90" s="261" t="s">
        <v>554</v>
      </c>
      <c r="B90" s="262">
        <f t="shared" ref="B90:AP90" si="35">IF(AND(B87&gt;0,A87&lt;0),(B74-(B87/(B87-A87))),0)</f>
        <v>0</v>
      </c>
      <c r="C90" s="262">
        <f t="shared" si="35"/>
        <v>0</v>
      </c>
      <c r="D90" s="262">
        <f t="shared" si="35"/>
        <v>0</v>
      </c>
      <c r="E90" s="262">
        <f t="shared" si="35"/>
        <v>0</v>
      </c>
      <c r="F90" s="262">
        <f t="shared" si="35"/>
        <v>0</v>
      </c>
      <c r="G90" s="262">
        <f t="shared" si="35"/>
        <v>0</v>
      </c>
      <c r="H90" s="262">
        <f t="shared" si="35"/>
        <v>0</v>
      </c>
      <c r="I90" s="262">
        <f t="shared" si="35"/>
        <v>0</v>
      </c>
      <c r="J90" s="262">
        <f t="shared" si="35"/>
        <v>0</v>
      </c>
      <c r="K90" s="262">
        <f t="shared" si="35"/>
        <v>0</v>
      </c>
      <c r="L90" s="262">
        <f t="shared" si="35"/>
        <v>0</v>
      </c>
      <c r="M90" s="262">
        <f t="shared" si="35"/>
        <v>0</v>
      </c>
      <c r="N90" s="262">
        <f t="shared" si="35"/>
        <v>0</v>
      </c>
      <c r="O90" s="262">
        <f t="shared" si="35"/>
        <v>0</v>
      </c>
      <c r="P90" s="262">
        <f t="shared" si="35"/>
        <v>0</v>
      </c>
      <c r="Q90" s="262">
        <f t="shared" si="35"/>
        <v>0</v>
      </c>
      <c r="R90" s="262">
        <f t="shared" si="35"/>
        <v>0</v>
      </c>
      <c r="S90" s="262">
        <f t="shared" si="35"/>
        <v>0</v>
      </c>
      <c r="T90" s="262">
        <f t="shared" si="35"/>
        <v>0</v>
      </c>
      <c r="U90" s="262">
        <f t="shared" si="35"/>
        <v>0</v>
      </c>
      <c r="V90" s="262">
        <f t="shared" si="35"/>
        <v>0</v>
      </c>
      <c r="W90" s="262">
        <f t="shared" si="35"/>
        <v>0</v>
      </c>
      <c r="X90" s="262">
        <f t="shared" si="35"/>
        <v>0</v>
      </c>
      <c r="Y90" s="262">
        <f t="shared" si="35"/>
        <v>0</v>
      </c>
      <c r="Z90" s="262">
        <f t="shared" si="35"/>
        <v>0</v>
      </c>
      <c r="AA90" s="262">
        <f t="shared" si="35"/>
        <v>0</v>
      </c>
      <c r="AB90" s="262">
        <f t="shared" si="35"/>
        <v>0</v>
      </c>
      <c r="AC90" s="262">
        <f t="shared" si="35"/>
        <v>0</v>
      </c>
      <c r="AD90" s="262">
        <f t="shared" si="35"/>
        <v>0</v>
      </c>
      <c r="AE90" s="262">
        <f t="shared" si="35"/>
        <v>0</v>
      </c>
      <c r="AF90" s="262">
        <f t="shared" si="35"/>
        <v>0</v>
      </c>
      <c r="AG90" s="262">
        <f t="shared" si="35"/>
        <v>0</v>
      </c>
      <c r="AH90" s="262">
        <f t="shared" si="35"/>
        <v>0</v>
      </c>
      <c r="AI90" s="262">
        <f t="shared" si="35"/>
        <v>0</v>
      </c>
      <c r="AJ90" s="262">
        <f t="shared" si="35"/>
        <v>0</v>
      </c>
      <c r="AK90" s="262">
        <f t="shared" si="35"/>
        <v>0</v>
      </c>
      <c r="AL90" s="262">
        <f t="shared" si="35"/>
        <v>0</v>
      </c>
      <c r="AM90" s="262">
        <f t="shared" si="35"/>
        <v>0</v>
      </c>
      <c r="AN90" s="262">
        <f t="shared" si="35"/>
        <v>0</v>
      </c>
      <c r="AO90" s="262">
        <f t="shared" si="35"/>
        <v>0</v>
      </c>
      <c r="AP90" s="262">
        <f t="shared" si="35"/>
        <v>0</v>
      </c>
    </row>
    <row r="91" spans="1:44" x14ac:dyDescent="0.2">
      <c r="B91" s="263">
        <v>2021</v>
      </c>
      <c r="C91" s="263">
        <f>B91+1</f>
        <v>2022</v>
      </c>
      <c r="D91" s="189">
        <f t="shared" ref="D91:AP92" si="36">C91+1</f>
        <v>2023</v>
      </c>
      <c r="E91" s="189">
        <f t="shared" si="36"/>
        <v>2024</v>
      </c>
      <c r="F91" s="189">
        <f t="shared" si="36"/>
        <v>2025</v>
      </c>
      <c r="G91" s="189">
        <f t="shared" si="36"/>
        <v>2026</v>
      </c>
      <c r="H91" s="189">
        <f t="shared" si="36"/>
        <v>2027</v>
      </c>
      <c r="I91" s="189">
        <f t="shared" si="36"/>
        <v>2028</v>
      </c>
      <c r="J91" s="189">
        <f t="shared" si="36"/>
        <v>2029</v>
      </c>
      <c r="K91" s="189">
        <f t="shared" si="36"/>
        <v>2030</v>
      </c>
      <c r="L91" s="189">
        <f t="shared" si="36"/>
        <v>2031</v>
      </c>
      <c r="M91" s="189">
        <f t="shared" si="36"/>
        <v>2032</v>
      </c>
      <c r="N91" s="189">
        <f t="shared" si="36"/>
        <v>2033</v>
      </c>
      <c r="O91" s="189">
        <f t="shared" si="36"/>
        <v>2034</v>
      </c>
      <c r="P91" s="189">
        <f t="shared" si="36"/>
        <v>2035</v>
      </c>
      <c r="Q91" s="189">
        <f t="shared" si="36"/>
        <v>2036</v>
      </c>
      <c r="R91" s="189">
        <f t="shared" si="36"/>
        <v>2037</v>
      </c>
      <c r="S91" s="189">
        <f t="shared" si="36"/>
        <v>2038</v>
      </c>
      <c r="T91" s="189">
        <f t="shared" si="36"/>
        <v>2039</v>
      </c>
      <c r="U91" s="189">
        <f t="shared" si="36"/>
        <v>2040</v>
      </c>
      <c r="V91" s="189">
        <f t="shared" si="36"/>
        <v>2041</v>
      </c>
      <c r="W91" s="189">
        <f t="shared" si="36"/>
        <v>2042</v>
      </c>
      <c r="X91" s="189">
        <f t="shared" si="36"/>
        <v>2043</v>
      </c>
      <c r="Y91" s="189">
        <f t="shared" si="36"/>
        <v>2044</v>
      </c>
      <c r="Z91" s="189">
        <f t="shared" si="36"/>
        <v>2045</v>
      </c>
      <c r="AA91" s="189">
        <f t="shared" si="36"/>
        <v>2046</v>
      </c>
      <c r="AB91" s="189">
        <f t="shared" si="36"/>
        <v>2047</v>
      </c>
      <c r="AC91" s="189">
        <f t="shared" si="36"/>
        <v>2048</v>
      </c>
      <c r="AD91" s="189">
        <f t="shared" si="36"/>
        <v>2049</v>
      </c>
      <c r="AE91" s="189">
        <f t="shared" si="36"/>
        <v>2050</v>
      </c>
      <c r="AF91" s="189">
        <f t="shared" si="36"/>
        <v>2051</v>
      </c>
      <c r="AG91" s="189">
        <f t="shared" si="36"/>
        <v>2052</v>
      </c>
      <c r="AH91" s="189">
        <f t="shared" si="36"/>
        <v>2053</v>
      </c>
      <c r="AI91" s="189">
        <f t="shared" si="36"/>
        <v>2054</v>
      </c>
      <c r="AJ91" s="189">
        <f t="shared" si="36"/>
        <v>2055</v>
      </c>
      <c r="AK91" s="189">
        <f t="shared" si="36"/>
        <v>2056</v>
      </c>
      <c r="AL91" s="189">
        <f t="shared" si="36"/>
        <v>2057</v>
      </c>
      <c r="AM91" s="189">
        <f t="shared" si="36"/>
        <v>2058</v>
      </c>
      <c r="AN91" s="189">
        <f t="shared" si="36"/>
        <v>2059</v>
      </c>
      <c r="AO91" s="189">
        <f t="shared" si="36"/>
        <v>2060</v>
      </c>
      <c r="AP91" s="189">
        <f t="shared" si="36"/>
        <v>2061</v>
      </c>
    </row>
    <row r="92" spans="1:44" ht="12.75" x14ac:dyDescent="0.2">
      <c r="A92" s="264" t="s">
        <v>555</v>
      </c>
      <c r="B92" s="265">
        <v>1</v>
      </c>
      <c r="C92" s="265">
        <f>B92+1</f>
        <v>2</v>
      </c>
      <c r="D92" s="265">
        <f t="shared" si="36"/>
        <v>3</v>
      </c>
      <c r="E92" s="265">
        <f t="shared" si="36"/>
        <v>4</v>
      </c>
      <c r="F92" s="265">
        <f t="shared" si="36"/>
        <v>5</v>
      </c>
      <c r="G92" s="265">
        <f t="shared" si="36"/>
        <v>6</v>
      </c>
      <c r="H92" s="265">
        <f t="shared" si="36"/>
        <v>7</v>
      </c>
      <c r="I92" s="265">
        <f t="shared" si="36"/>
        <v>8</v>
      </c>
      <c r="J92" s="265">
        <f t="shared" si="36"/>
        <v>9</v>
      </c>
      <c r="K92" s="265">
        <f t="shared" si="36"/>
        <v>10</v>
      </c>
      <c r="L92" s="265">
        <f t="shared" si="36"/>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556</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557</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558</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559</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8" t="s">
        <v>560</v>
      </c>
      <c r="B97" s="408"/>
      <c r="C97" s="408"/>
      <c r="D97" s="408"/>
      <c r="E97" s="408"/>
      <c r="F97" s="408"/>
      <c r="G97" s="408"/>
      <c r="H97" s="408"/>
      <c r="I97" s="408"/>
      <c r="J97" s="408"/>
      <c r="K97" s="408"/>
      <c r="L97" s="40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thickBot="1" x14ac:dyDescent="0.25">
      <c r="C98" s="267"/>
    </row>
    <row r="99" spans="1:71" s="273" customFormat="1" ht="16.5" thickTop="1" x14ac:dyDescent="0.2">
      <c r="A99" s="268" t="s">
        <v>561</v>
      </c>
      <c r="B99" s="269">
        <f>B81*B85</f>
        <v>-14310397.482534433</v>
      </c>
      <c r="C99" s="270">
        <f>C81*C85</f>
        <v>-12181963.234812221</v>
      </c>
      <c r="D99" s="270">
        <f t="shared" ref="D99:AP99" si="37">D81*D85</f>
        <v>0</v>
      </c>
      <c r="E99" s="270">
        <f t="shared" si="37"/>
        <v>0</v>
      </c>
      <c r="F99" s="270">
        <f t="shared" si="37"/>
        <v>0</v>
      </c>
      <c r="G99" s="270">
        <f t="shared" si="37"/>
        <v>0</v>
      </c>
      <c r="H99" s="270">
        <f t="shared" si="37"/>
        <v>0</v>
      </c>
      <c r="I99" s="270">
        <f t="shared" si="37"/>
        <v>0</v>
      </c>
      <c r="J99" s="270">
        <f>J81*J85</f>
        <v>0</v>
      </c>
      <c r="K99" s="270">
        <f t="shared" si="37"/>
        <v>0</v>
      </c>
      <c r="L99" s="270">
        <f>L81*L85</f>
        <v>0</v>
      </c>
      <c r="M99" s="270">
        <f t="shared" si="37"/>
        <v>0</v>
      </c>
      <c r="N99" s="270">
        <f t="shared" si="37"/>
        <v>0</v>
      </c>
      <c r="O99" s="270">
        <f t="shared" si="37"/>
        <v>0</v>
      </c>
      <c r="P99" s="270">
        <f t="shared" si="37"/>
        <v>0</v>
      </c>
      <c r="Q99" s="270">
        <f t="shared" si="37"/>
        <v>0</v>
      </c>
      <c r="R99" s="270">
        <f t="shared" si="37"/>
        <v>0</v>
      </c>
      <c r="S99" s="270">
        <f t="shared" si="37"/>
        <v>0</v>
      </c>
      <c r="T99" s="270">
        <f t="shared" si="37"/>
        <v>0</v>
      </c>
      <c r="U99" s="270">
        <f t="shared" si="37"/>
        <v>0</v>
      </c>
      <c r="V99" s="270">
        <f t="shared" si="37"/>
        <v>0</v>
      </c>
      <c r="W99" s="270">
        <f t="shared" si="37"/>
        <v>0</v>
      </c>
      <c r="X99" s="270">
        <f t="shared" si="37"/>
        <v>0</v>
      </c>
      <c r="Y99" s="270">
        <f t="shared" si="37"/>
        <v>0</v>
      </c>
      <c r="Z99" s="270">
        <f t="shared" si="37"/>
        <v>0</v>
      </c>
      <c r="AA99" s="270">
        <f t="shared" si="37"/>
        <v>0</v>
      </c>
      <c r="AB99" s="270">
        <f t="shared" si="37"/>
        <v>0</v>
      </c>
      <c r="AC99" s="270">
        <f t="shared" si="37"/>
        <v>0</v>
      </c>
      <c r="AD99" s="270">
        <f t="shared" si="37"/>
        <v>0</v>
      </c>
      <c r="AE99" s="270">
        <f t="shared" si="37"/>
        <v>0</v>
      </c>
      <c r="AF99" s="270">
        <f t="shared" si="37"/>
        <v>0</v>
      </c>
      <c r="AG99" s="270">
        <f t="shared" si="37"/>
        <v>0</v>
      </c>
      <c r="AH99" s="270">
        <f t="shared" si="37"/>
        <v>0</v>
      </c>
      <c r="AI99" s="270">
        <f t="shared" si="37"/>
        <v>0</v>
      </c>
      <c r="AJ99" s="270">
        <f t="shared" si="37"/>
        <v>0</v>
      </c>
      <c r="AK99" s="270">
        <f t="shared" si="37"/>
        <v>0</v>
      </c>
      <c r="AL99" s="270">
        <f t="shared" si="37"/>
        <v>0</v>
      </c>
      <c r="AM99" s="270">
        <f t="shared" si="37"/>
        <v>0</v>
      </c>
      <c r="AN99" s="270">
        <f t="shared" si="37"/>
        <v>0</v>
      </c>
      <c r="AO99" s="270">
        <f t="shared" si="37"/>
        <v>0</v>
      </c>
      <c r="AP99" s="270">
        <f t="shared" si="37"/>
        <v>0</v>
      </c>
      <c r="AQ99" s="271">
        <f>SUM(B99:AP99)</f>
        <v>-26492360.717346653</v>
      </c>
      <c r="AR99" s="272"/>
      <c r="AS99" s="272"/>
    </row>
    <row r="100" spans="1:71" s="276" customFormat="1" x14ac:dyDescent="0.2">
      <c r="A100" s="274">
        <f>AQ99</f>
        <v>-26492360.717346653</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x14ac:dyDescent="0.2">
      <c r="A101" s="274">
        <f>AP87</f>
        <v>-11320415.970872646</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x14ac:dyDescent="0.2">
      <c r="A102" s="277" t="s">
        <v>562</v>
      </c>
      <c r="B102" s="278">
        <f>(A101+-A100)/-A100</f>
        <v>0.57269130933053203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x14ac:dyDescent="0.2">
      <c r="A104" s="280" t="s">
        <v>563</v>
      </c>
      <c r="B104" s="280" t="s">
        <v>564</v>
      </c>
      <c r="C104" s="280" t="s">
        <v>565</v>
      </c>
      <c r="D104" s="280" t="s">
        <v>566</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x14ac:dyDescent="0.2">
      <c r="A105" s="282">
        <f>G30/1000/1000</f>
        <v>-20.181993209206496</v>
      </c>
      <c r="B105" s="283">
        <f>L88</f>
        <v>0</v>
      </c>
      <c r="C105" s="284" t="str">
        <f>G28</f>
        <v>не окупается</v>
      </c>
      <c r="D105" s="284" t="str">
        <f>G29</f>
        <v>не окупается</v>
      </c>
      <c r="E105" s="191" t="s">
        <v>567</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x14ac:dyDescent="0.2">
      <c r="A107" s="286"/>
      <c r="B107" s="287">
        <v>2016</v>
      </c>
      <c r="C107" s="287">
        <v>2017</v>
      </c>
      <c r="D107" s="288">
        <f t="shared" ref="D107:AP107" si="38">C107+1</f>
        <v>2018</v>
      </c>
      <c r="E107" s="288">
        <f t="shared" si="38"/>
        <v>2019</v>
      </c>
      <c r="F107" s="288">
        <f t="shared" si="38"/>
        <v>2020</v>
      </c>
      <c r="G107" s="288">
        <f t="shared" si="38"/>
        <v>2021</v>
      </c>
      <c r="H107" s="288">
        <f t="shared" si="38"/>
        <v>2022</v>
      </c>
      <c r="I107" s="288">
        <f t="shared" si="38"/>
        <v>2023</v>
      </c>
      <c r="J107" s="288">
        <f t="shared" si="38"/>
        <v>2024</v>
      </c>
      <c r="K107" s="288">
        <f t="shared" si="38"/>
        <v>2025</v>
      </c>
      <c r="L107" s="288">
        <f t="shared" si="38"/>
        <v>2026</v>
      </c>
      <c r="M107" s="288">
        <f t="shared" si="38"/>
        <v>2027</v>
      </c>
      <c r="N107" s="288">
        <f t="shared" si="38"/>
        <v>2028</v>
      </c>
      <c r="O107" s="288">
        <f t="shared" si="38"/>
        <v>2029</v>
      </c>
      <c r="P107" s="288">
        <f t="shared" si="38"/>
        <v>2030</v>
      </c>
      <c r="Q107" s="288">
        <f t="shared" si="38"/>
        <v>2031</v>
      </c>
      <c r="R107" s="288">
        <f t="shared" si="38"/>
        <v>2032</v>
      </c>
      <c r="S107" s="288">
        <f t="shared" si="38"/>
        <v>2033</v>
      </c>
      <c r="T107" s="288">
        <f t="shared" si="38"/>
        <v>2034</v>
      </c>
      <c r="U107" s="288">
        <f t="shared" si="38"/>
        <v>2035</v>
      </c>
      <c r="V107" s="288">
        <f t="shared" si="38"/>
        <v>2036</v>
      </c>
      <c r="W107" s="288">
        <f t="shared" si="38"/>
        <v>2037</v>
      </c>
      <c r="X107" s="288">
        <f t="shared" si="38"/>
        <v>2038</v>
      </c>
      <c r="Y107" s="288">
        <f t="shared" si="38"/>
        <v>2039</v>
      </c>
      <c r="Z107" s="288">
        <f t="shared" si="38"/>
        <v>2040</v>
      </c>
      <c r="AA107" s="288">
        <f t="shared" si="38"/>
        <v>2041</v>
      </c>
      <c r="AB107" s="288">
        <f t="shared" si="38"/>
        <v>2042</v>
      </c>
      <c r="AC107" s="288">
        <f t="shared" si="38"/>
        <v>2043</v>
      </c>
      <c r="AD107" s="288">
        <f t="shared" si="38"/>
        <v>2044</v>
      </c>
      <c r="AE107" s="288">
        <f t="shared" si="38"/>
        <v>2045</v>
      </c>
      <c r="AF107" s="288">
        <f t="shared" si="38"/>
        <v>2046</v>
      </c>
      <c r="AG107" s="288">
        <f t="shared" si="38"/>
        <v>2047</v>
      </c>
      <c r="AH107" s="288">
        <f t="shared" si="38"/>
        <v>2048</v>
      </c>
      <c r="AI107" s="288">
        <f t="shared" si="38"/>
        <v>2049</v>
      </c>
      <c r="AJ107" s="288">
        <f t="shared" si="38"/>
        <v>2050</v>
      </c>
      <c r="AK107" s="288">
        <f t="shared" si="38"/>
        <v>2051</v>
      </c>
      <c r="AL107" s="288">
        <f t="shared" si="38"/>
        <v>2052</v>
      </c>
      <c r="AM107" s="288">
        <f t="shared" si="38"/>
        <v>2053</v>
      </c>
      <c r="AN107" s="288">
        <f t="shared" si="38"/>
        <v>2054</v>
      </c>
      <c r="AO107" s="288">
        <f t="shared" si="38"/>
        <v>2055</v>
      </c>
      <c r="AP107" s="288">
        <f t="shared" si="38"/>
        <v>2056</v>
      </c>
      <c r="AT107" s="276"/>
      <c r="AU107" s="276"/>
      <c r="AV107" s="276"/>
      <c r="AW107" s="276"/>
      <c r="AX107" s="276"/>
      <c r="AY107" s="276"/>
      <c r="AZ107" s="276"/>
      <c r="BA107" s="276"/>
      <c r="BB107" s="276"/>
      <c r="BC107" s="276"/>
      <c r="BD107" s="276"/>
      <c r="BE107" s="276"/>
      <c r="BF107" s="276"/>
      <c r="BG107" s="276"/>
    </row>
    <row r="108" spans="1:71" ht="12.75" x14ac:dyDescent="0.2">
      <c r="A108" s="289" t="s">
        <v>568</v>
      </c>
      <c r="B108" s="290"/>
      <c r="C108" s="290">
        <f>C109*$B$111*$B$112*1000</f>
        <v>0</v>
      </c>
      <c r="D108" s="290">
        <f>D109*$B$111*$B$112*1000</f>
        <v>0</v>
      </c>
      <c r="E108" s="290">
        <f>E109*$B$111*$B$112*1000</f>
        <v>0</v>
      </c>
      <c r="F108" s="290">
        <f t="shared" ref="F108:AP108" si="39">F109*$B$111*$B$112*1000</f>
        <v>0</v>
      </c>
      <c r="G108" s="290">
        <f>G109*$B$111*$B$112*1000</f>
        <v>0</v>
      </c>
      <c r="H108" s="290">
        <f>H109*$B$111*$B$112*1000</f>
        <v>121268.37672</v>
      </c>
      <c r="I108" s="290">
        <f t="shared" si="39"/>
        <v>242536.75344</v>
      </c>
      <c r="J108" s="290">
        <f t="shared" si="39"/>
        <v>363805.13016</v>
      </c>
      <c r="K108" s="290">
        <f t="shared" si="39"/>
        <v>485073.50688</v>
      </c>
      <c r="L108" s="290">
        <f t="shared" si="39"/>
        <v>606341.88360000006</v>
      </c>
      <c r="M108" s="290">
        <f t="shared" si="39"/>
        <v>848878.63704000006</v>
      </c>
      <c r="N108" s="290">
        <f t="shared" si="39"/>
        <v>848878.63704000006</v>
      </c>
      <c r="O108" s="290">
        <f t="shared" si="39"/>
        <v>848878.63704000006</v>
      </c>
      <c r="P108" s="290">
        <f t="shared" si="39"/>
        <v>848878.63704000006</v>
      </c>
      <c r="Q108" s="290">
        <f t="shared" si="39"/>
        <v>848878.63704000006</v>
      </c>
      <c r="R108" s="290">
        <f t="shared" si="39"/>
        <v>848878.63704000006</v>
      </c>
      <c r="S108" s="290">
        <f t="shared" si="39"/>
        <v>848878.63704000006</v>
      </c>
      <c r="T108" s="290">
        <f t="shared" si="39"/>
        <v>848878.63704000006</v>
      </c>
      <c r="U108" s="290">
        <f t="shared" si="39"/>
        <v>848878.63704000006</v>
      </c>
      <c r="V108" s="290">
        <f t="shared" si="39"/>
        <v>848878.63704000006</v>
      </c>
      <c r="W108" s="290">
        <f t="shared" si="39"/>
        <v>848878.63704000006</v>
      </c>
      <c r="X108" s="290">
        <f t="shared" si="39"/>
        <v>848878.63704000006</v>
      </c>
      <c r="Y108" s="290">
        <f t="shared" si="39"/>
        <v>848878.63704000006</v>
      </c>
      <c r="Z108" s="290">
        <f t="shared" si="39"/>
        <v>848878.63704000006</v>
      </c>
      <c r="AA108" s="290">
        <f t="shared" si="39"/>
        <v>848878.63704000006</v>
      </c>
      <c r="AB108" s="290">
        <f t="shared" si="39"/>
        <v>848878.63704000006</v>
      </c>
      <c r="AC108" s="290">
        <f t="shared" si="39"/>
        <v>848878.63704000006</v>
      </c>
      <c r="AD108" s="290">
        <f t="shared" si="39"/>
        <v>848878.63704000006</v>
      </c>
      <c r="AE108" s="290">
        <f t="shared" si="39"/>
        <v>848878.63704000006</v>
      </c>
      <c r="AF108" s="290">
        <f t="shared" si="39"/>
        <v>848878.63704000006</v>
      </c>
      <c r="AG108" s="290">
        <f t="shared" si="39"/>
        <v>848878.63704000006</v>
      </c>
      <c r="AH108" s="290">
        <f t="shared" si="39"/>
        <v>848878.63704000006</v>
      </c>
      <c r="AI108" s="290">
        <f t="shared" si="39"/>
        <v>848878.63704000006</v>
      </c>
      <c r="AJ108" s="290">
        <f t="shared" si="39"/>
        <v>848878.63704000006</v>
      </c>
      <c r="AK108" s="290">
        <f t="shared" si="39"/>
        <v>848878.63704000006</v>
      </c>
      <c r="AL108" s="290">
        <f t="shared" si="39"/>
        <v>848878.63704000006</v>
      </c>
      <c r="AM108" s="290">
        <f t="shared" si="39"/>
        <v>848878.63704000006</v>
      </c>
      <c r="AN108" s="290">
        <f t="shared" si="39"/>
        <v>848878.63704000006</v>
      </c>
      <c r="AO108" s="290">
        <f t="shared" si="39"/>
        <v>848878.63704000006</v>
      </c>
      <c r="AP108" s="290">
        <f t="shared" si="39"/>
        <v>848878.63704000006</v>
      </c>
      <c r="AT108" s="276"/>
      <c r="AU108" s="276"/>
      <c r="AV108" s="276"/>
      <c r="AW108" s="276"/>
      <c r="AX108" s="276"/>
      <c r="AY108" s="276"/>
      <c r="AZ108" s="276"/>
      <c r="BA108" s="276"/>
      <c r="BB108" s="276"/>
      <c r="BC108" s="276"/>
      <c r="BD108" s="276"/>
      <c r="BE108" s="276"/>
      <c r="BF108" s="276"/>
      <c r="BG108" s="276"/>
    </row>
    <row r="109" spans="1:71" ht="12.75" x14ac:dyDescent="0.2">
      <c r="A109" s="289" t="s">
        <v>569</v>
      </c>
      <c r="B109" s="288"/>
      <c r="C109" s="288">
        <f>B109+$I$120*C113</f>
        <v>0</v>
      </c>
      <c r="D109" s="288">
        <f>C109+$I$120*D113</f>
        <v>0</v>
      </c>
      <c r="E109" s="288">
        <f>D109+$I$120*E113</f>
        <v>0</v>
      </c>
      <c r="F109" s="288">
        <f t="shared" ref="F109:AP109" si="40">E109+$I$120*F113</f>
        <v>0</v>
      </c>
      <c r="G109" s="288">
        <f>F109+$I$120*G113</f>
        <v>0</v>
      </c>
      <c r="H109" s="288">
        <f>G109+$I$120*H113</f>
        <v>3.7200000000000004E-2</v>
      </c>
      <c r="I109" s="288">
        <f t="shared" si="40"/>
        <v>7.4400000000000008E-2</v>
      </c>
      <c r="J109" s="288">
        <f t="shared" si="40"/>
        <v>0.1116</v>
      </c>
      <c r="K109" s="288">
        <f t="shared" si="40"/>
        <v>0.14880000000000002</v>
      </c>
      <c r="L109" s="288">
        <f t="shared" si="40"/>
        <v>0.18600000000000003</v>
      </c>
      <c r="M109" s="288">
        <f t="shared" si="40"/>
        <v>0.26040000000000002</v>
      </c>
      <c r="N109" s="288">
        <f t="shared" si="40"/>
        <v>0.26040000000000002</v>
      </c>
      <c r="O109" s="288">
        <f t="shared" si="40"/>
        <v>0.26040000000000002</v>
      </c>
      <c r="P109" s="288">
        <f t="shared" si="40"/>
        <v>0.26040000000000002</v>
      </c>
      <c r="Q109" s="288">
        <f t="shared" si="40"/>
        <v>0.26040000000000002</v>
      </c>
      <c r="R109" s="288">
        <f t="shared" si="40"/>
        <v>0.26040000000000002</v>
      </c>
      <c r="S109" s="288">
        <f t="shared" si="40"/>
        <v>0.26040000000000002</v>
      </c>
      <c r="T109" s="288">
        <f t="shared" si="40"/>
        <v>0.26040000000000002</v>
      </c>
      <c r="U109" s="288">
        <f t="shared" si="40"/>
        <v>0.26040000000000002</v>
      </c>
      <c r="V109" s="288">
        <f t="shared" si="40"/>
        <v>0.26040000000000002</v>
      </c>
      <c r="W109" s="288">
        <f t="shared" si="40"/>
        <v>0.26040000000000002</v>
      </c>
      <c r="X109" s="288">
        <f t="shared" si="40"/>
        <v>0.26040000000000002</v>
      </c>
      <c r="Y109" s="288">
        <f t="shared" si="40"/>
        <v>0.26040000000000002</v>
      </c>
      <c r="Z109" s="288">
        <f t="shared" si="40"/>
        <v>0.26040000000000002</v>
      </c>
      <c r="AA109" s="288">
        <f t="shared" si="40"/>
        <v>0.26040000000000002</v>
      </c>
      <c r="AB109" s="288">
        <f t="shared" si="40"/>
        <v>0.26040000000000002</v>
      </c>
      <c r="AC109" s="288">
        <f t="shared" si="40"/>
        <v>0.26040000000000002</v>
      </c>
      <c r="AD109" s="288">
        <f t="shared" si="40"/>
        <v>0.26040000000000002</v>
      </c>
      <c r="AE109" s="288">
        <f t="shared" si="40"/>
        <v>0.26040000000000002</v>
      </c>
      <c r="AF109" s="288">
        <f t="shared" si="40"/>
        <v>0.26040000000000002</v>
      </c>
      <c r="AG109" s="288">
        <f t="shared" si="40"/>
        <v>0.26040000000000002</v>
      </c>
      <c r="AH109" s="288">
        <f t="shared" si="40"/>
        <v>0.26040000000000002</v>
      </c>
      <c r="AI109" s="288">
        <f t="shared" si="40"/>
        <v>0.26040000000000002</v>
      </c>
      <c r="AJ109" s="288">
        <f t="shared" si="40"/>
        <v>0.26040000000000002</v>
      </c>
      <c r="AK109" s="288">
        <f t="shared" si="40"/>
        <v>0.26040000000000002</v>
      </c>
      <c r="AL109" s="288">
        <f t="shared" si="40"/>
        <v>0.26040000000000002</v>
      </c>
      <c r="AM109" s="288">
        <f t="shared" si="40"/>
        <v>0.26040000000000002</v>
      </c>
      <c r="AN109" s="288">
        <f t="shared" si="40"/>
        <v>0.26040000000000002</v>
      </c>
      <c r="AO109" s="288">
        <f t="shared" si="40"/>
        <v>0.26040000000000002</v>
      </c>
      <c r="AP109" s="288">
        <f t="shared" si="40"/>
        <v>0.26040000000000002</v>
      </c>
      <c r="AT109" s="276"/>
      <c r="AU109" s="276"/>
      <c r="AV109" s="276"/>
      <c r="AW109" s="276"/>
      <c r="AX109" s="276"/>
      <c r="AY109" s="276"/>
      <c r="AZ109" s="276"/>
      <c r="BA109" s="276"/>
      <c r="BB109" s="276"/>
      <c r="BC109" s="276"/>
      <c r="BD109" s="276"/>
      <c r="BE109" s="276"/>
      <c r="BF109" s="276"/>
      <c r="BG109" s="276"/>
    </row>
    <row r="110" spans="1:71" ht="12.75" x14ac:dyDescent="0.2">
      <c r="A110" s="289" t="s">
        <v>570</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x14ac:dyDescent="0.2">
      <c r="A111" s="289" t="s">
        <v>571</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x14ac:dyDescent="0.2">
      <c r="A112" s="289" t="s">
        <v>572</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x14ac:dyDescent="0.2">
      <c r="A113" s="292" t="s">
        <v>573</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x14ac:dyDescent="0.2">
      <c r="A116" s="286"/>
      <c r="B116" s="409" t="s">
        <v>574</v>
      </c>
      <c r="C116" s="410"/>
      <c r="D116" s="409" t="s">
        <v>575</v>
      </c>
      <c r="E116" s="410"/>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x14ac:dyDescent="0.2">
      <c r="A117" s="289" t="s">
        <v>576</v>
      </c>
      <c r="B117" s="295">
        <v>0</v>
      </c>
      <c r="C117" s="286" t="s">
        <v>577</v>
      </c>
      <c r="D117" s="295">
        <v>4</v>
      </c>
      <c r="E117" s="286" t="s">
        <v>577</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x14ac:dyDescent="0.2">
      <c r="A118" s="289" t="s">
        <v>576</v>
      </c>
      <c r="B118" s="286">
        <f>$B$110*B117</f>
        <v>0</v>
      </c>
      <c r="C118" s="286" t="s">
        <v>126</v>
      </c>
      <c r="D118" s="286">
        <f>$B$110*D117</f>
        <v>3.72</v>
      </c>
      <c r="E118" s="286" t="s">
        <v>126</v>
      </c>
      <c r="F118" s="289" t="s">
        <v>578</v>
      </c>
      <c r="G118" s="286">
        <v>0.8</v>
      </c>
      <c r="H118" s="286" t="s">
        <v>577</v>
      </c>
      <c r="I118" s="286">
        <f>$B$110*G118</f>
        <v>0.74400000000000011</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x14ac:dyDescent="0.2">
      <c r="A119" s="286"/>
      <c r="B119" s="286"/>
      <c r="C119" s="286"/>
      <c r="D119" s="286"/>
      <c r="E119" s="286"/>
      <c r="F119" s="289" t="s">
        <v>579</v>
      </c>
      <c r="G119" s="323">
        <f>I119/$B$110</f>
        <v>0</v>
      </c>
      <c r="H119" s="286" t="s">
        <v>577</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x14ac:dyDescent="0.2">
      <c r="A120" s="296"/>
      <c r="B120" s="297"/>
      <c r="C120" s="297"/>
      <c r="D120" s="297"/>
      <c r="E120" s="297"/>
      <c r="F120" s="298" t="s">
        <v>580</v>
      </c>
      <c r="G120" s="286">
        <f>G118</f>
        <v>0.8</v>
      </c>
      <c r="H120" s="286" t="s">
        <v>577</v>
      </c>
      <c r="I120" s="291">
        <f>I118</f>
        <v>0.74400000000000011</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x14ac:dyDescent="0.2">
      <c r="A122" s="300" t="s">
        <v>581</v>
      </c>
      <c r="B122" s="332">
        <f>'6.2. Паспорт фин осв ввод'!F27</f>
        <v>0</v>
      </c>
      <c r="C122" s="191"/>
      <c r="D122" s="401" t="s">
        <v>284</v>
      </c>
      <c r="E122" s="301" t="s">
        <v>582</v>
      </c>
      <c r="F122" s="302">
        <v>35</v>
      </c>
      <c r="G122" s="402"/>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x14ac:dyDescent="0.2">
      <c r="A123" s="300" t="s">
        <v>284</v>
      </c>
      <c r="B123" s="303">
        <v>30</v>
      </c>
      <c r="C123" s="191"/>
      <c r="D123" s="401"/>
      <c r="E123" s="301" t="s">
        <v>583</v>
      </c>
      <c r="F123" s="302">
        <v>30</v>
      </c>
      <c r="G123" s="402"/>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x14ac:dyDescent="0.2">
      <c r="A124" s="300" t="s">
        <v>584</v>
      </c>
      <c r="B124" s="303" t="s">
        <v>540</v>
      </c>
      <c r="C124" s="304" t="s">
        <v>585</v>
      </c>
      <c r="D124" s="401"/>
      <c r="E124" s="301" t="s">
        <v>586</v>
      </c>
      <c r="F124" s="302">
        <v>30</v>
      </c>
      <c r="G124" s="402"/>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x14ac:dyDescent="0.2">
      <c r="A125" s="305"/>
      <c r="B125" s="306"/>
      <c r="C125" s="304"/>
      <c r="D125" s="401"/>
      <c r="E125" s="301" t="s">
        <v>587</v>
      </c>
      <c r="F125" s="302">
        <v>30</v>
      </c>
      <c r="G125" s="402"/>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x14ac:dyDescent="0.2">
      <c r="A126" s="300" t="s">
        <v>588</v>
      </c>
      <c r="B126" s="307">
        <f>C126+D126</f>
        <v>29033139.599999998</v>
      </c>
      <c r="C126" s="307">
        <f>'6.2. Паспорт фин осв ввод'!D24*1000000</f>
        <v>29033139.599999998</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x14ac:dyDescent="0.2">
      <c r="A127" s="300" t="s">
        <v>589</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x14ac:dyDescent="0.2">
      <c r="A129" s="300" t="s">
        <v>590</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x14ac:dyDescent="0.2">
      <c r="A131" s="312" t="s">
        <v>625</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x14ac:dyDescent="0.2">
      <c r="A134" s="300" t="s">
        <v>591</v>
      </c>
      <c r="C134" s="191"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x14ac:dyDescent="0.2">
      <c r="A135" s="300"/>
      <c r="B135" s="314">
        <v>2016</v>
      </c>
      <c r="C135" s="314">
        <f>B135+1</f>
        <v>2017</v>
      </c>
      <c r="D135" s="314">
        <f t="shared" ref="D135:AY135" si="41">C135+1</f>
        <v>2018</v>
      </c>
      <c r="E135" s="314">
        <f t="shared" si="41"/>
        <v>2019</v>
      </c>
      <c r="F135" s="314">
        <f t="shared" si="41"/>
        <v>2020</v>
      </c>
      <c r="G135" s="314">
        <f t="shared" si="41"/>
        <v>2021</v>
      </c>
      <c r="H135" s="314">
        <f t="shared" si="41"/>
        <v>2022</v>
      </c>
      <c r="I135" s="314">
        <f t="shared" si="41"/>
        <v>2023</v>
      </c>
      <c r="J135" s="314">
        <f t="shared" si="41"/>
        <v>2024</v>
      </c>
      <c r="K135" s="314">
        <f t="shared" si="41"/>
        <v>2025</v>
      </c>
      <c r="L135" s="314">
        <f t="shared" si="41"/>
        <v>2026</v>
      </c>
      <c r="M135" s="314">
        <f t="shared" si="41"/>
        <v>2027</v>
      </c>
      <c r="N135" s="314">
        <f t="shared" si="41"/>
        <v>2028</v>
      </c>
      <c r="O135" s="314">
        <f t="shared" si="41"/>
        <v>2029</v>
      </c>
      <c r="P135" s="314">
        <f t="shared" si="41"/>
        <v>2030</v>
      </c>
      <c r="Q135" s="314">
        <f t="shared" si="41"/>
        <v>2031</v>
      </c>
      <c r="R135" s="314">
        <f t="shared" si="41"/>
        <v>2032</v>
      </c>
      <c r="S135" s="314">
        <f t="shared" si="41"/>
        <v>2033</v>
      </c>
      <c r="T135" s="314">
        <f t="shared" si="41"/>
        <v>2034</v>
      </c>
      <c r="U135" s="314">
        <f t="shared" si="41"/>
        <v>2035</v>
      </c>
      <c r="V135" s="314">
        <f t="shared" si="41"/>
        <v>2036</v>
      </c>
      <c r="W135" s="314">
        <f t="shared" si="41"/>
        <v>2037</v>
      </c>
      <c r="X135" s="314">
        <f t="shared" si="41"/>
        <v>2038</v>
      </c>
      <c r="Y135" s="314">
        <f t="shared" si="41"/>
        <v>2039</v>
      </c>
      <c r="Z135" s="314">
        <f t="shared" si="41"/>
        <v>2040</v>
      </c>
      <c r="AA135" s="314">
        <f t="shared" si="41"/>
        <v>2041</v>
      </c>
      <c r="AB135" s="314">
        <f t="shared" si="41"/>
        <v>2042</v>
      </c>
      <c r="AC135" s="314">
        <f t="shared" si="41"/>
        <v>2043</v>
      </c>
      <c r="AD135" s="314">
        <f t="shared" si="41"/>
        <v>2044</v>
      </c>
      <c r="AE135" s="314">
        <f t="shared" si="41"/>
        <v>2045</v>
      </c>
      <c r="AF135" s="314">
        <f t="shared" si="41"/>
        <v>2046</v>
      </c>
      <c r="AG135" s="314">
        <f t="shared" si="41"/>
        <v>2047</v>
      </c>
      <c r="AH135" s="314">
        <f t="shared" si="41"/>
        <v>2048</v>
      </c>
      <c r="AI135" s="314">
        <f t="shared" si="41"/>
        <v>2049</v>
      </c>
      <c r="AJ135" s="314">
        <f t="shared" si="41"/>
        <v>2050</v>
      </c>
      <c r="AK135" s="314">
        <f t="shared" si="41"/>
        <v>2051</v>
      </c>
      <c r="AL135" s="314">
        <f t="shared" si="41"/>
        <v>2052</v>
      </c>
      <c r="AM135" s="314">
        <f t="shared" si="41"/>
        <v>2053</v>
      </c>
      <c r="AN135" s="314">
        <f t="shared" si="41"/>
        <v>2054</v>
      </c>
      <c r="AO135" s="314">
        <f t="shared" si="41"/>
        <v>2055</v>
      </c>
      <c r="AP135" s="314">
        <f t="shared" si="41"/>
        <v>2056</v>
      </c>
      <c r="AQ135" s="314">
        <f t="shared" si="41"/>
        <v>2057</v>
      </c>
      <c r="AR135" s="314">
        <f t="shared" si="41"/>
        <v>2058</v>
      </c>
      <c r="AS135" s="314">
        <f t="shared" si="41"/>
        <v>2059</v>
      </c>
      <c r="AT135" s="314">
        <f t="shared" si="41"/>
        <v>2060</v>
      </c>
      <c r="AU135" s="314">
        <f t="shared" si="41"/>
        <v>2061</v>
      </c>
      <c r="AV135" s="314">
        <f t="shared" si="41"/>
        <v>2062</v>
      </c>
      <c r="AW135" s="314">
        <f t="shared" si="41"/>
        <v>2063</v>
      </c>
      <c r="AX135" s="314">
        <f t="shared" si="41"/>
        <v>2064</v>
      </c>
      <c r="AY135" s="314">
        <f t="shared" si="41"/>
        <v>2065</v>
      </c>
    </row>
    <row r="136" spans="1:51" ht="12.75" x14ac:dyDescent="0.2">
      <c r="A136" s="300" t="s">
        <v>592</v>
      </c>
      <c r="B136" s="315"/>
      <c r="C136" s="316"/>
      <c r="D136" s="316">
        <v>5.2999999999999999E-2</v>
      </c>
      <c r="E136" s="316">
        <v>6.8000000000000005E-2</v>
      </c>
      <c r="F136" s="316">
        <v>5.6000000000000001E-2</v>
      </c>
      <c r="G136" s="316">
        <v>4.9000000000000002E-2</v>
      </c>
      <c r="H136" s="316">
        <v>0.13900000000000001</v>
      </c>
      <c r="I136" s="316">
        <v>5.8999999999999997E-2</v>
      </c>
      <c r="J136" s="316">
        <v>5.2999999999999999E-2</v>
      </c>
      <c r="K136" s="316">
        <v>4.8000000000000001E-2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2">AI136</f>
        <v>4.7E-2</v>
      </c>
      <c r="AK136" s="316">
        <f t="shared" si="42"/>
        <v>4.7E-2</v>
      </c>
      <c r="AL136" s="316">
        <f t="shared" si="42"/>
        <v>4.7E-2</v>
      </c>
      <c r="AM136" s="316">
        <f t="shared" si="42"/>
        <v>4.7E-2</v>
      </c>
      <c r="AN136" s="316">
        <f t="shared" si="42"/>
        <v>4.7E-2</v>
      </c>
      <c r="AO136" s="316">
        <f t="shared" si="42"/>
        <v>4.7E-2</v>
      </c>
      <c r="AP136" s="316">
        <f t="shared" si="42"/>
        <v>4.7E-2</v>
      </c>
      <c r="AQ136" s="316">
        <f t="shared" si="42"/>
        <v>4.7E-2</v>
      </c>
      <c r="AR136" s="316">
        <f t="shared" si="42"/>
        <v>4.7E-2</v>
      </c>
      <c r="AS136" s="316">
        <f t="shared" si="42"/>
        <v>4.7E-2</v>
      </c>
      <c r="AT136" s="316">
        <f t="shared" si="42"/>
        <v>4.7E-2</v>
      </c>
      <c r="AU136" s="316">
        <f t="shared" si="42"/>
        <v>4.7E-2</v>
      </c>
      <c r="AV136" s="316">
        <f t="shared" si="42"/>
        <v>4.7E-2</v>
      </c>
      <c r="AW136" s="316">
        <f t="shared" si="42"/>
        <v>4.7E-2</v>
      </c>
      <c r="AX136" s="316">
        <f t="shared" si="42"/>
        <v>4.7E-2</v>
      </c>
      <c r="AY136" s="316">
        <f t="shared" si="42"/>
        <v>4.7E-2</v>
      </c>
    </row>
    <row r="137" spans="1:51" ht="15" x14ac:dyDescent="0.2">
      <c r="A137" s="300" t="s">
        <v>593</v>
      </c>
      <c r="B137" s="317"/>
      <c r="C137" s="318">
        <f>(1+B137)*(1+C136)-1</f>
        <v>0</v>
      </c>
      <c r="D137" s="318">
        <f>(1+C137)*(1+D136)-1</f>
        <v>5.2999999999999936E-2</v>
      </c>
      <c r="E137" s="318">
        <f>(1+D137)*(1+E136)-1</f>
        <v>0.12460399999999994</v>
      </c>
      <c r="F137" s="318">
        <f t="shared" ref="F137:AY137" si="43">(1+E137)*(1+F136)-1</f>
        <v>0.18758182400000001</v>
      </c>
      <c r="G137" s="318">
        <f>(1+F137)*(1+G136)-1</f>
        <v>0.24577333337599994</v>
      </c>
      <c r="H137" s="318">
        <f t="shared" si="43"/>
        <v>0.41893582671526386</v>
      </c>
      <c r="I137" s="318">
        <f t="shared" si="43"/>
        <v>0.50265304049146442</v>
      </c>
      <c r="J137" s="318">
        <f t="shared" si="43"/>
        <v>0.5822936516375119</v>
      </c>
      <c r="K137" s="318">
        <f t="shared" si="43"/>
        <v>0.65824374691611265</v>
      </c>
      <c r="L137" s="318">
        <f t="shared" si="43"/>
        <v>0.73618120302116985</v>
      </c>
      <c r="M137" s="318">
        <f t="shared" si="43"/>
        <v>0.8177817195631647</v>
      </c>
      <c r="N137" s="318">
        <f t="shared" si="43"/>
        <v>0.90321746038263329</v>
      </c>
      <c r="O137" s="318">
        <f t="shared" si="43"/>
        <v>0.99266868102061689</v>
      </c>
      <c r="P137" s="318">
        <f t="shared" si="43"/>
        <v>1.0863241090285856</v>
      </c>
      <c r="Q137" s="318">
        <f t="shared" si="43"/>
        <v>1.1843813421529288</v>
      </c>
      <c r="R137" s="318">
        <f t="shared" si="43"/>
        <v>1.2870472652341163</v>
      </c>
      <c r="S137" s="318">
        <f t="shared" si="43"/>
        <v>1.3945384867001196</v>
      </c>
      <c r="T137" s="318">
        <f t="shared" si="43"/>
        <v>1.5070817955750249</v>
      </c>
      <c r="U137" s="318">
        <f t="shared" si="43"/>
        <v>1.6249146399670509</v>
      </c>
      <c r="V137" s="318">
        <f t="shared" si="43"/>
        <v>1.7482856280455019</v>
      </c>
      <c r="W137" s="318">
        <f t="shared" si="43"/>
        <v>1.8774550525636404</v>
      </c>
      <c r="X137" s="318">
        <f t="shared" si="43"/>
        <v>2.0126954400341313</v>
      </c>
      <c r="Y137" s="318">
        <f t="shared" si="43"/>
        <v>2.154292125715735</v>
      </c>
      <c r="Z137" s="318">
        <f t="shared" si="43"/>
        <v>2.3025438556243745</v>
      </c>
      <c r="AA137" s="318">
        <f t="shared" si="43"/>
        <v>2.4577634168387199</v>
      </c>
      <c r="AB137" s="318">
        <f t="shared" si="43"/>
        <v>2.6202782974301395</v>
      </c>
      <c r="AC137" s="318">
        <f t="shared" si="43"/>
        <v>2.7904313774093557</v>
      </c>
      <c r="AD137" s="318">
        <f t="shared" si="43"/>
        <v>2.968581652147595</v>
      </c>
      <c r="AE137" s="318">
        <f t="shared" si="43"/>
        <v>3.1551049897985317</v>
      </c>
      <c r="AF137" s="318">
        <f t="shared" si="43"/>
        <v>3.3503949243190627</v>
      </c>
      <c r="AG137" s="318">
        <f t="shared" si="43"/>
        <v>3.5548634857620582</v>
      </c>
      <c r="AH137" s="318">
        <f t="shared" si="43"/>
        <v>3.7689420695928746</v>
      </c>
      <c r="AI137" s="318">
        <f t="shared" si="43"/>
        <v>3.9930823468637398</v>
      </c>
      <c r="AJ137" s="318">
        <f t="shared" si="43"/>
        <v>4.2277572171663351</v>
      </c>
      <c r="AK137" s="318">
        <f t="shared" si="43"/>
        <v>4.4734618063731526</v>
      </c>
      <c r="AL137" s="318">
        <f t="shared" si="43"/>
        <v>4.7307145112726907</v>
      </c>
      <c r="AM137" s="318">
        <f t="shared" si="43"/>
        <v>5.0000580933025072</v>
      </c>
      <c r="AN137" s="318">
        <f t="shared" si="43"/>
        <v>5.2820608236877247</v>
      </c>
      <c r="AO137" s="318">
        <f t="shared" si="43"/>
        <v>5.5773176824010475</v>
      </c>
      <c r="AP137" s="318">
        <f t="shared" si="43"/>
        <v>5.8864516134738967</v>
      </c>
      <c r="AQ137" s="318">
        <f t="shared" si="43"/>
        <v>6.2101148393071695</v>
      </c>
      <c r="AR137" s="318">
        <f t="shared" si="43"/>
        <v>6.548990236754606</v>
      </c>
      <c r="AS137" s="318">
        <f t="shared" si="43"/>
        <v>6.9037927778820718</v>
      </c>
      <c r="AT137" s="318">
        <f t="shared" si="43"/>
        <v>7.2752710384425292</v>
      </c>
      <c r="AU137" s="318">
        <f t="shared" si="43"/>
        <v>7.6642087772493284</v>
      </c>
      <c r="AV137" s="318">
        <f t="shared" si="43"/>
        <v>8.0714265897800459</v>
      </c>
      <c r="AW137" s="318">
        <f>(1+AV137)*(1+AW136)-1</f>
        <v>8.4977836394997066</v>
      </c>
      <c r="AX137" s="318">
        <f t="shared" si="43"/>
        <v>8.9441794705561914</v>
      </c>
      <c r="AY137" s="318">
        <f t="shared" si="43"/>
        <v>9.4115559056723317</v>
      </c>
    </row>
    <row r="138" spans="1:5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x14ac:dyDescent="0.2">
      <c r="A139" s="299"/>
      <c r="B139" s="315">
        <v>2016</v>
      </c>
      <c r="C139" s="315">
        <f>B139+1</f>
        <v>2017</v>
      </c>
      <c r="D139" s="315">
        <f t="shared" ref="D139:S140" si="44">C139+1</f>
        <v>2018</v>
      </c>
      <c r="E139" s="315">
        <f t="shared" si="44"/>
        <v>2019</v>
      </c>
      <c r="F139" s="315">
        <f t="shared" si="44"/>
        <v>2020</v>
      </c>
      <c r="G139" s="315">
        <f t="shared" si="44"/>
        <v>2021</v>
      </c>
      <c r="H139" s="315">
        <f t="shared" si="44"/>
        <v>2022</v>
      </c>
      <c r="I139" s="315">
        <f t="shared" si="44"/>
        <v>2023</v>
      </c>
      <c r="J139" s="315">
        <f t="shared" si="44"/>
        <v>2024</v>
      </c>
      <c r="K139" s="315">
        <f t="shared" si="44"/>
        <v>2025</v>
      </c>
      <c r="L139" s="315">
        <f t="shared" si="44"/>
        <v>2026</v>
      </c>
      <c r="M139" s="315">
        <f t="shared" si="44"/>
        <v>2027</v>
      </c>
      <c r="N139" s="315">
        <f t="shared" si="44"/>
        <v>2028</v>
      </c>
      <c r="O139" s="315">
        <f t="shared" si="44"/>
        <v>2029</v>
      </c>
      <c r="P139" s="315">
        <f t="shared" si="44"/>
        <v>2030</v>
      </c>
      <c r="Q139" s="315">
        <f t="shared" si="44"/>
        <v>2031</v>
      </c>
      <c r="R139" s="315">
        <f t="shared" si="44"/>
        <v>2032</v>
      </c>
      <c r="S139" s="315">
        <f t="shared" si="44"/>
        <v>2033</v>
      </c>
      <c r="T139" s="315">
        <f t="shared" ref="T139:AI140" si="45">S139+1</f>
        <v>2034</v>
      </c>
      <c r="U139" s="315">
        <f t="shared" si="45"/>
        <v>2035</v>
      </c>
      <c r="V139" s="315">
        <f t="shared" si="45"/>
        <v>2036</v>
      </c>
      <c r="W139" s="315">
        <f t="shared" si="45"/>
        <v>2037</v>
      </c>
      <c r="X139" s="315">
        <f t="shared" si="45"/>
        <v>2038</v>
      </c>
      <c r="Y139" s="315">
        <f t="shared" si="45"/>
        <v>2039</v>
      </c>
      <c r="Z139" s="315">
        <f t="shared" si="45"/>
        <v>2040</v>
      </c>
      <c r="AA139" s="315">
        <f t="shared" si="45"/>
        <v>2041</v>
      </c>
      <c r="AB139" s="315">
        <f t="shared" si="45"/>
        <v>2042</v>
      </c>
      <c r="AC139" s="315">
        <f t="shared" si="45"/>
        <v>2043</v>
      </c>
      <c r="AD139" s="315">
        <f t="shared" si="45"/>
        <v>2044</v>
      </c>
      <c r="AE139" s="315">
        <f t="shared" si="45"/>
        <v>2045</v>
      </c>
      <c r="AF139" s="315">
        <f t="shared" si="45"/>
        <v>2046</v>
      </c>
      <c r="AG139" s="315">
        <f t="shared" si="45"/>
        <v>2047</v>
      </c>
      <c r="AH139" s="315">
        <f t="shared" si="45"/>
        <v>2048</v>
      </c>
      <c r="AI139" s="315">
        <f t="shared" si="45"/>
        <v>2049</v>
      </c>
      <c r="AJ139" s="315">
        <f t="shared" ref="AJ139:AY140" si="46">AI139+1</f>
        <v>2050</v>
      </c>
      <c r="AK139" s="315">
        <f t="shared" si="46"/>
        <v>2051</v>
      </c>
      <c r="AL139" s="315">
        <f t="shared" si="46"/>
        <v>2052</v>
      </c>
      <c r="AM139" s="315">
        <f t="shared" si="46"/>
        <v>2053</v>
      </c>
      <c r="AN139" s="315">
        <f t="shared" si="46"/>
        <v>2054</v>
      </c>
      <c r="AO139" s="315">
        <f t="shared" si="46"/>
        <v>2055</v>
      </c>
      <c r="AP139" s="315">
        <f t="shared" si="46"/>
        <v>2056</v>
      </c>
      <c r="AQ139" s="315">
        <f t="shared" si="46"/>
        <v>2057</v>
      </c>
      <c r="AR139" s="315">
        <f t="shared" si="46"/>
        <v>2058</v>
      </c>
      <c r="AS139" s="315">
        <f t="shared" si="46"/>
        <v>2059</v>
      </c>
      <c r="AT139" s="315">
        <f t="shared" si="46"/>
        <v>2060</v>
      </c>
      <c r="AU139" s="315">
        <f t="shared" si="46"/>
        <v>2061</v>
      </c>
      <c r="AV139" s="315">
        <f t="shared" si="46"/>
        <v>2062</v>
      </c>
      <c r="AW139" s="315">
        <f t="shared" si="46"/>
        <v>2063</v>
      </c>
      <c r="AX139" s="315">
        <f t="shared" si="46"/>
        <v>2064</v>
      </c>
      <c r="AY139" s="315">
        <f t="shared" si="46"/>
        <v>2065</v>
      </c>
    </row>
    <row r="140" spans="1:51" x14ac:dyDescent="0.2">
      <c r="A140" s="299"/>
      <c r="B140" s="321">
        <v>0</v>
      </c>
      <c r="C140" s="321">
        <v>0</v>
      </c>
      <c r="D140" s="321">
        <v>0</v>
      </c>
      <c r="E140" s="321">
        <v>0</v>
      </c>
      <c r="F140" s="321">
        <v>0</v>
      </c>
      <c r="G140" s="321">
        <v>1</v>
      </c>
      <c r="H140" s="321">
        <f>G140+1</f>
        <v>2</v>
      </c>
      <c r="I140" s="321">
        <f t="shared" si="44"/>
        <v>3</v>
      </c>
      <c r="J140" s="321">
        <f t="shared" si="44"/>
        <v>4</v>
      </c>
      <c r="K140" s="321">
        <f t="shared" si="44"/>
        <v>5</v>
      </c>
      <c r="L140" s="321">
        <f t="shared" si="44"/>
        <v>6</v>
      </c>
      <c r="M140" s="321">
        <f t="shared" si="44"/>
        <v>7</v>
      </c>
      <c r="N140" s="321">
        <f t="shared" si="44"/>
        <v>8</v>
      </c>
      <c r="O140" s="321">
        <f t="shared" si="44"/>
        <v>9</v>
      </c>
      <c r="P140" s="321">
        <f t="shared" si="44"/>
        <v>10</v>
      </c>
      <c r="Q140" s="321">
        <f t="shared" si="44"/>
        <v>11</v>
      </c>
      <c r="R140" s="321">
        <f t="shared" si="44"/>
        <v>12</v>
      </c>
      <c r="S140" s="321">
        <f t="shared" si="44"/>
        <v>13</v>
      </c>
      <c r="T140" s="321">
        <f t="shared" si="45"/>
        <v>14</v>
      </c>
      <c r="U140" s="321">
        <f t="shared" si="45"/>
        <v>15</v>
      </c>
      <c r="V140" s="321">
        <f t="shared" si="45"/>
        <v>16</v>
      </c>
      <c r="W140" s="321">
        <f t="shared" si="45"/>
        <v>17</v>
      </c>
      <c r="X140" s="321">
        <f t="shared" si="45"/>
        <v>18</v>
      </c>
      <c r="Y140" s="321">
        <f t="shared" si="45"/>
        <v>19</v>
      </c>
      <c r="Z140" s="321">
        <f t="shared" si="45"/>
        <v>20</v>
      </c>
      <c r="AA140" s="321">
        <f t="shared" si="45"/>
        <v>21</v>
      </c>
      <c r="AB140" s="321">
        <f t="shared" si="45"/>
        <v>22</v>
      </c>
      <c r="AC140" s="321">
        <f t="shared" si="45"/>
        <v>23</v>
      </c>
      <c r="AD140" s="321">
        <f t="shared" si="45"/>
        <v>24</v>
      </c>
      <c r="AE140" s="321">
        <f t="shared" si="45"/>
        <v>25</v>
      </c>
      <c r="AF140" s="321">
        <f t="shared" si="45"/>
        <v>26</v>
      </c>
      <c r="AG140" s="321">
        <f t="shared" si="45"/>
        <v>27</v>
      </c>
      <c r="AH140" s="321">
        <f t="shared" si="45"/>
        <v>28</v>
      </c>
      <c r="AI140" s="321">
        <f t="shared" si="45"/>
        <v>29</v>
      </c>
      <c r="AJ140" s="321">
        <f t="shared" si="46"/>
        <v>30</v>
      </c>
      <c r="AK140" s="321">
        <f t="shared" si="46"/>
        <v>31</v>
      </c>
      <c r="AL140" s="321">
        <f t="shared" si="46"/>
        <v>32</v>
      </c>
      <c r="AM140" s="321">
        <f t="shared" si="46"/>
        <v>33</v>
      </c>
      <c r="AN140" s="321">
        <f t="shared" si="46"/>
        <v>34</v>
      </c>
      <c r="AO140" s="321">
        <f t="shared" si="46"/>
        <v>35</v>
      </c>
      <c r="AP140" s="321">
        <f>AO140+1</f>
        <v>36</v>
      </c>
      <c r="AQ140" s="321">
        <f t="shared" si="46"/>
        <v>37</v>
      </c>
      <c r="AR140" s="321">
        <f t="shared" si="46"/>
        <v>38</v>
      </c>
      <c r="AS140" s="321">
        <f t="shared" si="46"/>
        <v>39</v>
      </c>
      <c r="AT140" s="321">
        <f t="shared" si="46"/>
        <v>40</v>
      </c>
      <c r="AU140" s="321">
        <f t="shared" si="46"/>
        <v>41</v>
      </c>
      <c r="AV140" s="321">
        <f t="shared" si="46"/>
        <v>42</v>
      </c>
      <c r="AW140" s="321">
        <f t="shared" si="46"/>
        <v>43</v>
      </c>
      <c r="AX140" s="321">
        <f t="shared" si="46"/>
        <v>44</v>
      </c>
      <c r="AY140" s="321">
        <f t="shared" si="46"/>
        <v>45</v>
      </c>
    </row>
    <row r="141" spans="1:51" ht="15" x14ac:dyDescent="0.2">
      <c r="A141" s="299"/>
      <c r="B141" s="322">
        <f>AVERAGE(A140:B140)</f>
        <v>0</v>
      </c>
      <c r="C141" s="322">
        <f>AVERAGE(B140:C140)</f>
        <v>0</v>
      </c>
      <c r="D141" s="322">
        <f>AVERAGE(C140:D140)</f>
        <v>0</v>
      </c>
      <c r="E141" s="322">
        <f>AVERAGE(D140:E140)</f>
        <v>0</v>
      </c>
      <c r="F141" s="322">
        <f t="shared" ref="F141:AO141" si="47">AVERAGE(E140:F140)</f>
        <v>0</v>
      </c>
      <c r="G141" s="322">
        <f t="shared" si="47"/>
        <v>0.5</v>
      </c>
      <c r="H141" s="322">
        <f>AVERAGE(G140:H140)</f>
        <v>1.5</v>
      </c>
      <c r="I141" s="322">
        <f t="shared" si="47"/>
        <v>2.5</v>
      </c>
      <c r="J141" s="322">
        <f t="shared" si="47"/>
        <v>3.5</v>
      </c>
      <c r="K141" s="322">
        <f t="shared" si="47"/>
        <v>4.5</v>
      </c>
      <c r="L141" s="322">
        <f t="shared" si="47"/>
        <v>5.5</v>
      </c>
      <c r="M141" s="322">
        <f t="shared" si="47"/>
        <v>6.5</v>
      </c>
      <c r="N141" s="322">
        <f t="shared" si="47"/>
        <v>7.5</v>
      </c>
      <c r="O141" s="322">
        <f t="shared" si="47"/>
        <v>8.5</v>
      </c>
      <c r="P141" s="322">
        <f t="shared" si="47"/>
        <v>9.5</v>
      </c>
      <c r="Q141" s="322">
        <f t="shared" si="47"/>
        <v>10.5</v>
      </c>
      <c r="R141" s="322">
        <f t="shared" si="47"/>
        <v>11.5</v>
      </c>
      <c r="S141" s="322">
        <f t="shared" si="47"/>
        <v>12.5</v>
      </c>
      <c r="T141" s="322">
        <f t="shared" si="47"/>
        <v>13.5</v>
      </c>
      <c r="U141" s="322">
        <f t="shared" si="47"/>
        <v>14.5</v>
      </c>
      <c r="V141" s="322">
        <f t="shared" si="47"/>
        <v>15.5</v>
      </c>
      <c r="W141" s="322">
        <f t="shared" si="47"/>
        <v>16.5</v>
      </c>
      <c r="X141" s="322">
        <f t="shared" si="47"/>
        <v>17.5</v>
      </c>
      <c r="Y141" s="322">
        <f t="shared" si="47"/>
        <v>18.5</v>
      </c>
      <c r="Z141" s="322">
        <f t="shared" si="47"/>
        <v>19.5</v>
      </c>
      <c r="AA141" s="322">
        <f t="shared" si="47"/>
        <v>20.5</v>
      </c>
      <c r="AB141" s="322">
        <f t="shared" si="47"/>
        <v>21.5</v>
      </c>
      <c r="AC141" s="322">
        <f t="shared" si="47"/>
        <v>22.5</v>
      </c>
      <c r="AD141" s="322">
        <f t="shared" si="47"/>
        <v>23.5</v>
      </c>
      <c r="AE141" s="322">
        <f t="shared" si="47"/>
        <v>24.5</v>
      </c>
      <c r="AF141" s="322">
        <f t="shared" si="47"/>
        <v>25.5</v>
      </c>
      <c r="AG141" s="322">
        <f t="shared" si="47"/>
        <v>26.5</v>
      </c>
      <c r="AH141" s="322">
        <f t="shared" si="47"/>
        <v>27.5</v>
      </c>
      <c r="AI141" s="322">
        <f t="shared" si="47"/>
        <v>28.5</v>
      </c>
      <c r="AJ141" s="322">
        <f t="shared" si="47"/>
        <v>29.5</v>
      </c>
      <c r="AK141" s="322">
        <f t="shared" si="47"/>
        <v>30.5</v>
      </c>
      <c r="AL141" s="322">
        <f t="shared" si="47"/>
        <v>31.5</v>
      </c>
      <c r="AM141" s="322">
        <f t="shared" si="47"/>
        <v>32.5</v>
      </c>
      <c r="AN141" s="322">
        <f t="shared" si="47"/>
        <v>33.5</v>
      </c>
      <c r="AO141" s="322">
        <f t="shared" si="47"/>
        <v>34.5</v>
      </c>
      <c r="AP141" s="322">
        <f>AVERAGE(AO140:AP140)</f>
        <v>35.5</v>
      </c>
      <c r="AQ141" s="322">
        <f t="shared" ref="AQ141:AY141" si="48">AVERAGE(AP140:AQ140)</f>
        <v>36.5</v>
      </c>
      <c r="AR141" s="322">
        <f t="shared" si="48"/>
        <v>37.5</v>
      </c>
      <c r="AS141" s="322">
        <f t="shared" si="48"/>
        <v>38.5</v>
      </c>
      <c r="AT141" s="322">
        <f t="shared" si="48"/>
        <v>39.5</v>
      </c>
      <c r="AU141" s="322">
        <f t="shared" si="48"/>
        <v>40.5</v>
      </c>
      <c r="AV141" s="322">
        <f t="shared" si="48"/>
        <v>41.5</v>
      </c>
      <c r="AW141" s="322">
        <f t="shared" si="48"/>
        <v>42.5</v>
      </c>
      <c r="AX141" s="322">
        <f t="shared" si="48"/>
        <v>43.5</v>
      </c>
      <c r="AY141" s="322">
        <f t="shared" si="48"/>
        <v>44.5</v>
      </c>
    </row>
    <row r="142" spans="1:51" ht="12.75"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I53" sqref="I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7" t="str">
        <f>'1. паспорт местоположение'!A5:C5</f>
        <v>Год раскрытия информации: 2023 год</v>
      </c>
      <c r="B5" s="347"/>
      <c r="C5" s="347"/>
      <c r="D5" s="347"/>
      <c r="E5" s="347"/>
      <c r="F5" s="347"/>
      <c r="G5" s="347"/>
      <c r="H5" s="347"/>
      <c r="I5" s="347"/>
      <c r="J5" s="347"/>
      <c r="K5" s="347"/>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7" t="s">
        <v>7</v>
      </c>
      <c r="B7" s="357"/>
      <c r="C7" s="357"/>
      <c r="D7" s="357"/>
      <c r="E7" s="357"/>
      <c r="F7" s="357"/>
      <c r="G7" s="357"/>
      <c r="H7" s="357"/>
      <c r="I7" s="357"/>
      <c r="J7" s="357"/>
      <c r="K7" s="357"/>
    </row>
    <row r="8" spans="1:43" ht="18.75" x14ac:dyDescent="0.25">
      <c r="A8" s="357"/>
      <c r="B8" s="357"/>
      <c r="C8" s="357"/>
      <c r="D8" s="357"/>
      <c r="E8" s="357"/>
      <c r="F8" s="357"/>
      <c r="G8" s="357"/>
      <c r="H8" s="357"/>
      <c r="I8" s="357"/>
      <c r="J8" s="357"/>
      <c r="K8" s="357"/>
    </row>
    <row r="9" spans="1:43"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row>
    <row r="10" spans="1:43" x14ac:dyDescent="0.25">
      <c r="A10" s="353" t="s">
        <v>6</v>
      </c>
      <c r="B10" s="353"/>
      <c r="C10" s="353"/>
      <c r="D10" s="353"/>
      <c r="E10" s="353"/>
      <c r="F10" s="353"/>
      <c r="G10" s="353"/>
      <c r="H10" s="353"/>
      <c r="I10" s="353"/>
      <c r="J10" s="353"/>
      <c r="K10" s="353"/>
    </row>
    <row r="11" spans="1:43" ht="18.75" x14ac:dyDescent="0.25">
      <c r="A11" s="357"/>
      <c r="B11" s="357"/>
      <c r="C11" s="357"/>
      <c r="D11" s="357"/>
      <c r="E11" s="357"/>
      <c r="F11" s="357"/>
      <c r="G11" s="357"/>
      <c r="H11" s="357"/>
      <c r="I11" s="357"/>
      <c r="J11" s="357"/>
      <c r="K11" s="357"/>
    </row>
    <row r="12" spans="1:43" x14ac:dyDescent="0.25">
      <c r="A12" s="358" t="str">
        <f>'1. паспорт местоположение'!A12:C12</f>
        <v>L_21-08</v>
      </c>
      <c r="B12" s="358"/>
      <c r="C12" s="358"/>
      <c r="D12" s="358"/>
      <c r="E12" s="358"/>
      <c r="F12" s="358"/>
      <c r="G12" s="358"/>
      <c r="H12" s="358"/>
      <c r="I12" s="358"/>
      <c r="J12" s="358"/>
      <c r="K12" s="358"/>
    </row>
    <row r="13" spans="1:43" x14ac:dyDescent="0.25">
      <c r="A13" s="353" t="s">
        <v>5</v>
      </c>
      <c r="B13" s="353"/>
      <c r="C13" s="353"/>
      <c r="D13" s="353"/>
      <c r="E13" s="353"/>
      <c r="F13" s="353"/>
      <c r="G13" s="353"/>
      <c r="H13" s="353"/>
      <c r="I13" s="353"/>
      <c r="J13" s="353"/>
      <c r="K13" s="353"/>
    </row>
    <row r="14" spans="1:43" ht="18.75" x14ac:dyDescent="0.25">
      <c r="A14" s="354"/>
      <c r="B14" s="354"/>
      <c r="C14" s="354"/>
      <c r="D14" s="354"/>
      <c r="E14" s="354"/>
      <c r="F14" s="354"/>
      <c r="G14" s="354"/>
      <c r="H14" s="354"/>
      <c r="I14" s="354"/>
      <c r="J14" s="354"/>
      <c r="K14" s="354"/>
    </row>
    <row r="15" spans="1:43" x14ac:dyDescent="0.25">
      <c r="A15" s="352" t="str">
        <f>'1. паспорт местоположение'!A15:C15</f>
        <v>Строительство сетей электроснабжения дошкольного учреждения в г. Калининграде , ул. Флагманская</v>
      </c>
      <c r="B15" s="352"/>
      <c r="C15" s="352"/>
      <c r="D15" s="352"/>
      <c r="E15" s="352"/>
      <c r="F15" s="352"/>
      <c r="G15" s="352"/>
      <c r="H15" s="352"/>
      <c r="I15" s="352"/>
      <c r="J15" s="352"/>
      <c r="K15" s="352"/>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24"/>
    </row>
    <row r="19" spans="1:11" ht="15.75" customHeight="1" x14ac:dyDescent="0.25">
      <c r="A19" s="411" t="s">
        <v>392</v>
      </c>
      <c r="B19" s="411"/>
      <c r="C19" s="411"/>
      <c r="D19" s="411"/>
      <c r="E19" s="411"/>
      <c r="F19" s="411"/>
      <c r="G19" s="411"/>
      <c r="H19" s="411"/>
      <c r="I19" s="411"/>
      <c r="J19" s="411"/>
      <c r="K19" s="411"/>
    </row>
    <row r="20" spans="1:11" x14ac:dyDescent="0.25">
      <c r="A20" s="35"/>
      <c r="B20" s="35"/>
    </row>
    <row r="21" spans="1:11" ht="28.5" customHeight="1" x14ac:dyDescent="0.25">
      <c r="A21" s="412" t="s">
        <v>199</v>
      </c>
      <c r="B21" s="412" t="s">
        <v>483</v>
      </c>
      <c r="C21" s="412" t="s">
        <v>351</v>
      </c>
      <c r="D21" s="412"/>
      <c r="E21" s="412"/>
      <c r="F21" s="412"/>
      <c r="G21" s="412"/>
      <c r="H21" s="412"/>
      <c r="I21" s="412" t="s">
        <v>198</v>
      </c>
      <c r="J21" s="413" t="s">
        <v>352</v>
      </c>
      <c r="K21" s="412" t="s">
        <v>197</v>
      </c>
    </row>
    <row r="22" spans="1:11" ht="58.5" customHeight="1" x14ac:dyDescent="0.25">
      <c r="A22" s="412"/>
      <c r="B22" s="412"/>
      <c r="C22" s="416" t="s">
        <v>534</v>
      </c>
      <c r="D22" s="416"/>
      <c r="E22" s="416" t="s">
        <v>9</v>
      </c>
      <c r="F22" s="416"/>
      <c r="G22" s="416" t="s">
        <v>9</v>
      </c>
      <c r="H22" s="416"/>
      <c r="I22" s="412"/>
      <c r="J22" s="414"/>
      <c r="K22" s="412"/>
    </row>
    <row r="23" spans="1:11" ht="31.5" x14ac:dyDescent="0.25">
      <c r="A23" s="412"/>
      <c r="B23" s="412"/>
      <c r="C23" s="156" t="s">
        <v>196</v>
      </c>
      <c r="D23" s="156" t="s">
        <v>195</v>
      </c>
      <c r="E23" s="156" t="s">
        <v>196</v>
      </c>
      <c r="F23" s="156" t="s">
        <v>195</v>
      </c>
      <c r="G23" s="156" t="s">
        <v>196</v>
      </c>
      <c r="H23" s="156" t="s">
        <v>195</v>
      </c>
      <c r="I23" s="412"/>
      <c r="J23" s="415"/>
      <c r="K23" s="41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535</v>
      </c>
      <c r="D26" s="162" t="s">
        <v>535</v>
      </c>
      <c r="E26" s="173">
        <v>42859</v>
      </c>
      <c r="F26" s="173">
        <v>42859</v>
      </c>
      <c r="G26" s="162"/>
      <c r="H26" s="162">
        <v>44088</v>
      </c>
      <c r="I26" s="174"/>
      <c r="J26" s="152"/>
      <c r="K26" s="153"/>
    </row>
    <row r="27" spans="1:11" ht="31.5" x14ac:dyDescent="0.25">
      <c r="A27" s="156" t="s">
        <v>486</v>
      </c>
      <c r="B27" s="165" t="s">
        <v>487</v>
      </c>
      <c r="C27" s="162" t="s">
        <v>535</v>
      </c>
      <c r="D27" s="162" t="s">
        <v>535</v>
      </c>
      <c r="E27" s="173">
        <v>42807</v>
      </c>
      <c r="F27" s="173">
        <v>42807</v>
      </c>
      <c r="G27" s="162" t="s">
        <v>435</v>
      </c>
      <c r="H27" s="162" t="s">
        <v>435</v>
      </c>
      <c r="I27" s="174"/>
      <c r="J27" s="152"/>
      <c r="K27" s="153"/>
    </row>
    <row r="28" spans="1:11" ht="63" x14ac:dyDescent="0.25">
      <c r="A28" s="156" t="s">
        <v>489</v>
      </c>
      <c r="B28" s="165" t="s">
        <v>488</v>
      </c>
      <c r="C28" s="162" t="s">
        <v>535</v>
      </c>
      <c r="D28" s="162" t="s">
        <v>535</v>
      </c>
      <c r="E28" s="173" t="s">
        <v>435</v>
      </c>
      <c r="F28" s="173" t="s">
        <v>435</v>
      </c>
      <c r="G28" s="162" t="s">
        <v>435</v>
      </c>
      <c r="H28" s="162" t="s">
        <v>435</v>
      </c>
      <c r="I28" s="174"/>
      <c r="J28" s="152"/>
      <c r="K28" s="153"/>
    </row>
    <row r="29" spans="1:11" ht="31.5" x14ac:dyDescent="0.25">
      <c r="A29" s="156" t="s">
        <v>491</v>
      </c>
      <c r="B29" s="165" t="s">
        <v>490</v>
      </c>
      <c r="C29" s="162" t="s">
        <v>535</v>
      </c>
      <c r="D29" s="162" t="s">
        <v>535</v>
      </c>
      <c r="E29" s="173" t="s">
        <v>435</v>
      </c>
      <c r="F29" s="173" t="s">
        <v>435</v>
      </c>
      <c r="G29" s="162" t="s">
        <v>435</v>
      </c>
      <c r="H29" s="162" t="s">
        <v>435</v>
      </c>
      <c r="I29" s="174"/>
      <c r="J29" s="152"/>
      <c r="K29" s="153"/>
    </row>
    <row r="30" spans="1:11" ht="31.5" x14ac:dyDescent="0.25">
      <c r="A30" s="156" t="s">
        <v>493</v>
      </c>
      <c r="B30" s="165" t="s">
        <v>492</v>
      </c>
      <c r="C30" s="162" t="s">
        <v>535</v>
      </c>
      <c r="D30" s="162" t="s">
        <v>535</v>
      </c>
      <c r="E30" s="173" t="s">
        <v>435</v>
      </c>
      <c r="F30" s="173" t="s">
        <v>435</v>
      </c>
      <c r="G30" s="162" t="s">
        <v>435</v>
      </c>
      <c r="H30" s="162" t="s">
        <v>435</v>
      </c>
      <c r="I30" s="174"/>
      <c r="J30" s="152"/>
      <c r="K30" s="153"/>
    </row>
    <row r="31" spans="1:11" ht="31.5" x14ac:dyDescent="0.25">
      <c r="A31" s="156" t="s">
        <v>495</v>
      </c>
      <c r="B31" s="165" t="s">
        <v>494</v>
      </c>
      <c r="C31" s="162" t="s">
        <v>535</v>
      </c>
      <c r="D31" s="162" t="s">
        <v>535</v>
      </c>
      <c r="E31" s="173">
        <v>41806</v>
      </c>
      <c r="F31" s="173">
        <v>41806</v>
      </c>
      <c r="G31" s="162" t="s">
        <v>435</v>
      </c>
      <c r="H31" s="162" t="s">
        <v>435</v>
      </c>
      <c r="I31" s="174"/>
      <c r="J31" s="152"/>
      <c r="K31" s="153"/>
    </row>
    <row r="32" spans="1:11" ht="31.5" x14ac:dyDescent="0.25">
      <c r="A32" s="156" t="s">
        <v>497</v>
      </c>
      <c r="B32" s="165" t="s">
        <v>496</v>
      </c>
      <c r="C32" s="162" t="s">
        <v>535</v>
      </c>
      <c r="D32" s="162" t="s">
        <v>535</v>
      </c>
      <c r="E32" s="173">
        <v>42597</v>
      </c>
      <c r="F32" s="173">
        <v>42597</v>
      </c>
      <c r="G32" s="162" t="s">
        <v>435</v>
      </c>
      <c r="H32" s="162" t="s">
        <v>435</v>
      </c>
      <c r="I32" s="174"/>
      <c r="J32" s="152"/>
      <c r="K32" s="153"/>
    </row>
    <row r="33" spans="1:11" ht="47.25" x14ac:dyDescent="0.25">
      <c r="A33" s="156" t="s">
        <v>499</v>
      </c>
      <c r="B33" s="165" t="s">
        <v>498</v>
      </c>
      <c r="C33" s="162" t="s">
        <v>535</v>
      </c>
      <c r="D33" s="162" t="s">
        <v>535</v>
      </c>
      <c r="E33" s="173">
        <v>42720</v>
      </c>
      <c r="F33" s="173">
        <v>42720</v>
      </c>
      <c r="G33" s="162" t="s">
        <v>435</v>
      </c>
      <c r="H33" s="162" t="s">
        <v>435</v>
      </c>
      <c r="I33" s="174"/>
      <c r="J33" s="152"/>
      <c r="K33" s="153"/>
    </row>
    <row r="34" spans="1:11" ht="63" x14ac:dyDescent="0.25">
      <c r="A34" s="156" t="s">
        <v>501</v>
      </c>
      <c r="B34" s="165" t="s">
        <v>500</v>
      </c>
      <c r="C34" s="162" t="s">
        <v>535</v>
      </c>
      <c r="D34" s="162" t="s">
        <v>535</v>
      </c>
      <c r="E34" s="173" t="s">
        <v>435</v>
      </c>
      <c r="F34" s="173" t="s">
        <v>435</v>
      </c>
      <c r="G34" s="162" t="s">
        <v>435</v>
      </c>
      <c r="H34" s="162" t="s">
        <v>435</v>
      </c>
      <c r="I34" s="174"/>
      <c r="J34" s="154"/>
      <c r="K34" s="154"/>
    </row>
    <row r="35" spans="1:11" ht="31.5" x14ac:dyDescent="0.25">
      <c r="A35" s="156" t="s">
        <v>502</v>
      </c>
      <c r="B35" s="165" t="s">
        <v>193</v>
      </c>
      <c r="C35" s="162" t="s">
        <v>535</v>
      </c>
      <c r="D35" s="162" t="s">
        <v>535</v>
      </c>
      <c r="E35" s="173">
        <v>42731</v>
      </c>
      <c r="F35" s="173">
        <v>42731</v>
      </c>
      <c r="G35" s="162">
        <v>44271</v>
      </c>
      <c r="H35" s="162">
        <v>44285</v>
      </c>
      <c r="I35" s="174"/>
      <c r="J35" s="154"/>
      <c r="K35" s="154"/>
    </row>
    <row r="36" spans="1:11" ht="31.5" x14ac:dyDescent="0.25">
      <c r="A36" s="156" t="s">
        <v>504</v>
      </c>
      <c r="B36" s="165" t="s">
        <v>503</v>
      </c>
      <c r="C36" s="162" t="s">
        <v>535</v>
      </c>
      <c r="D36" s="162" t="s">
        <v>535</v>
      </c>
      <c r="E36" s="173">
        <v>42993</v>
      </c>
      <c r="F36" s="173">
        <v>42993</v>
      </c>
      <c r="G36" s="162" t="s">
        <v>435</v>
      </c>
      <c r="H36" s="162" t="s">
        <v>435</v>
      </c>
      <c r="I36" s="174"/>
      <c r="J36" s="164"/>
      <c r="K36" s="153"/>
    </row>
    <row r="37" spans="1:11" x14ac:dyDescent="0.25">
      <c r="A37" s="156" t="s">
        <v>505</v>
      </c>
      <c r="B37" s="165" t="s">
        <v>192</v>
      </c>
      <c r="C37" s="162" t="s">
        <v>535</v>
      </c>
      <c r="D37" s="162" t="s">
        <v>535</v>
      </c>
      <c r="E37" s="173">
        <v>43054</v>
      </c>
      <c r="F37" s="173">
        <v>43305</v>
      </c>
      <c r="G37" s="162" t="s">
        <v>435</v>
      </c>
      <c r="H37" s="162" t="s">
        <v>435</v>
      </c>
      <c r="I37" s="174"/>
      <c r="J37" s="155"/>
      <c r="K37" s="153"/>
    </row>
    <row r="38" spans="1:11" x14ac:dyDescent="0.25">
      <c r="A38" s="163" t="s">
        <v>506</v>
      </c>
      <c r="B38" s="166" t="s">
        <v>191</v>
      </c>
      <c r="C38" s="162" t="s">
        <v>535</v>
      </c>
      <c r="D38" s="162" t="s">
        <v>535</v>
      </c>
      <c r="E38" s="173"/>
      <c r="F38" s="173"/>
      <c r="G38" s="162"/>
      <c r="H38" s="162"/>
      <c r="I38" s="174"/>
      <c r="J38" s="153"/>
      <c r="K38" s="153"/>
    </row>
    <row r="39" spans="1:11" ht="63" x14ac:dyDescent="0.25">
      <c r="A39" s="156" t="s">
        <v>508</v>
      </c>
      <c r="B39" s="165" t="s">
        <v>507</v>
      </c>
      <c r="C39" s="162" t="s">
        <v>535</v>
      </c>
      <c r="D39" s="162" t="s">
        <v>535</v>
      </c>
      <c r="E39" s="173">
        <v>42843</v>
      </c>
      <c r="F39" s="173">
        <v>42843</v>
      </c>
      <c r="G39" s="162"/>
      <c r="H39" s="162"/>
      <c r="I39" s="174"/>
      <c r="J39" s="153"/>
      <c r="K39" s="153"/>
    </row>
    <row r="40" spans="1:11" x14ac:dyDescent="0.25">
      <c r="A40" s="156" t="s">
        <v>510</v>
      </c>
      <c r="B40" s="165" t="s">
        <v>509</v>
      </c>
      <c r="C40" s="162" t="s">
        <v>535</v>
      </c>
      <c r="D40" s="162" t="s">
        <v>535</v>
      </c>
      <c r="E40" s="173">
        <v>43038</v>
      </c>
      <c r="F40" s="173">
        <v>43038</v>
      </c>
      <c r="G40" s="162">
        <v>44271</v>
      </c>
      <c r="H40" s="162">
        <v>44285</v>
      </c>
      <c r="I40" s="174"/>
      <c r="J40" s="153"/>
      <c r="K40" s="153"/>
    </row>
    <row r="41" spans="1:11" ht="47.25" x14ac:dyDescent="0.25">
      <c r="A41" s="156" t="s">
        <v>512</v>
      </c>
      <c r="B41" s="166" t="s">
        <v>511</v>
      </c>
      <c r="C41" s="162" t="s">
        <v>535</v>
      </c>
      <c r="D41" s="162" t="s">
        <v>535</v>
      </c>
      <c r="E41" s="173"/>
      <c r="F41" s="173"/>
      <c r="G41" s="162"/>
      <c r="H41" s="162"/>
      <c r="I41" s="174"/>
      <c r="J41" s="153"/>
      <c r="K41" s="153"/>
    </row>
    <row r="42" spans="1:11" ht="31.5" x14ac:dyDescent="0.25">
      <c r="A42" s="156" t="s">
        <v>514</v>
      </c>
      <c r="B42" s="165" t="s">
        <v>513</v>
      </c>
      <c r="C42" s="162" t="s">
        <v>535</v>
      </c>
      <c r="D42" s="162" t="s">
        <v>535</v>
      </c>
      <c r="E42" s="173">
        <v>43070</v>
      </c>
      <c r="F42" s="173">
        <v>43097</v>
      </c>
      <c r="G42" s="162" t="s">
        <v>435</v>
      </c>
      <c r="H42" s="162" t="s">
        <v>435</v>
      </c>
      <c r="I42" s="174"/>
      <c r="J42" s="153"/>
      <c r="K42" s="153"/>
    </row>
    <row r="43" spans="1:11" x14ac:dyDescent="0.25">
      <c r="A43" s="156" t="s">
        <v>515</v>
      </c>
      <c r="B43" s="165" t="s">
        <v>190</v>
      </c>
      <c r="C43" s="185" t="s">
        <v>535</v>
      </c>
      <c r="D43" s="185" t="s">
        <v>535</v>
      </c>
      <c r="E43" s="173">
        <v>43054</v>
      </c>
      <c r="F43" s="173">
        <v>43218</v>
      </c>
      <c r="G43" s="162">
        <v>44285</v>
      </c>
      <c r="H43" s="162">
        <v>44470</v>
      </c>
      <c r="I43" s="174"/>
      <c r="J43" s="153"/>
      <c r="K43" s="153"/>
    </row>
    <row r="44" spans="1:11" x14ac:dyDescent="0.25">
      <c r="A44" s="156" t="s">
        <v>516</v>
      </c>
      <c r="B44" s="165" t="s">
        <v>189</v>
      </c>
      <c r="C44" s="185" t="s">
        <v>535</v>
      </c>
      <c r="D44" s="185" t="s">
        <v>535</v>
      </c>
      <c r="E44" s="173">
        <v>43084</v>
      </c>
      <c r="F44" s="173">
        <v>43266</v>
      </c>
      <c r="G44" s="162">
        <v>44285</v>
      </c>
      <c r="H44" s="162">
        <v>44470</v>
      </c>
      <c r="I44" s="174"/>
      <c r="J44" s="153"/>
      <c r="K44" s="153"/>
    </row>
    <row r="45" spans="1:11" ht="78.75" x14ac:dyDescent="0.25">
      <c r="A45" s="156" t="s">
        <v>518</v>
      </c>
      <c r="B45" s="165" t="s">
        <v>517</v>
      </c>
      <c r="C45" s="185" t="s">
        <v>535</v>
      </c>
      <c r="D45" s="185" t="s">
        <v>535</v>
      </c>
      <c r="E45" s="173"/>
      <c r="F45" s="173"/>
      <c r="G45" s="185" t="s">
        <v>435</v>
      </c>
      <c r="H45" s="185" t="s">
        <v>435</v>
      </c>
      <c r="I45" s="174"/>
      <c r="J45" s="153"/>
      <c r="K45" s="153"/>
    </row>
    <row r="46" spans="1:11" ht="157.5" x14ac:dyDescent="0.25">
      <c r="A46" s="156" t="s">
        <v>520</v>
      </c>
      <c r="B46" s="165" t="s">
        <v>519</v>
      </c>
      <c r="C46" s="185" t="s">
        <v>535</v>
      </c>
      <c r="D46" s="185" t="s">
        <v>535</v>
      </c>
      <c r="E46" s="173">
        <v>43319</v>
      </c>
      <c r="F46" s="173">
        <v>43319</v>
      </c>
      <c r="G46" s="185" t="s">
        <v>435</v>
      </c>
      <c r="H46" s="185" t="s">
        <v>435</v>
      </c>
      <c r="I46" s="174"/>
      <c r="J46" s="153"/>
      <c r="K46" s="153"/>
    </row>
    <row r="47" spans="1:11" x14ac:dyDescent="0.25">
      <c r="A47" s="156" t="s">
        <v>530</v>
      </c>
      <c r="B47" s="165" t="s">
        <v>188</v>
      </c>
      <c r="C47" s="186" t="s">
        <v>535</v>
      </c>
      <c r="D47" s="185" t="s">
        <v>535</v>
      </c>
      <c r="E47" s="173">
        <v>43220</v>
      </c>
      <c r="F47" s="173">
        <v>43318</v>
      </c>
      <c r="G47" s="186">
        <v>44317</v>
      </c>
      <c r="H47" s="186">
        <v>44531</v>
      </c>
      <c r="I47" s="174"/>
      <c r="J47" s="153"/>
      <c r="K47" s="153"/>
    </row>
    <row r="48" spans="1:11" ht="31.5" x14ac:dyDescent="0.25">
      <c r="A48" s="156" t="s">
        <v>521</v>
      </c>
      <c r="B48" s="166" t="s">
        <v>187</v>
      </c>
      <c r="C48" s="162" t="s">
        <v>535</v>
      </c>
      <c r="D48" s="162" t="s">
        <v>535</v>
      </c>
      <c r="E48" s="173"/>
      <c r="F48" s="173"/>
      <c r="G48" s="162"/>
      <c r="H48" s="162"/>
      <c r="I48" s="174"/>
      <c r="J48" s="153"/>
      <c r="K48" s="153"/>
    </row>
    <row r="49" spans="1:11" ht="31.5" x14ac:dyDescent="0.25">
      <c r="A49" s="156" t="s">
        <v>531</v>
      </c>
      <c r="B49" s="165" t="s">
        <v>186</v>
      </c>
      <c r="C49" s="162" t="s">
        <v>535</v>
      </c>
      <c r="D49" s="162" t="s">
        <v>535</v>
      </c>
      <c r="E49" s="173">
        <v>43318</v>
      </c>
      <c r="F49" s="173">
        <v>43320</v>
      </c>
      <c r="G49" s="186">
        <v>44317</v>
      </c>
      <c r="H49" s="186">
        <v>44926</v>
      </c>
      <c r="I49" s="174"/>
      <c r="J49" s="153"/>
      <c r="K49" s="153"/>
    </row>
    <row r="50" spans="1:11" ht="78.75" x14ac:dyDescent="0.25">
      <c r="A50" s="163" t="s">
        <v>523</v>
      </c>
      <c r="B50" s="165" t="s">
        <v>522</v>
      </c>
      <c r="C50" s="162" t="s">
        <v>535</v>
      </c>
      <c r="D50" s="162" t="s">
        <v>535</v>
      </c>
      <c r="E50" s="173">
        <v>43343</v>
      </c>
      <c r="F50" s="173">
        <v>43343</v>
      </c>
      <c r="G50" s="186">
        <v>44531</v>
      </c>
      <c r="H50" s="162">
        <v>44926</v>
      </c>
      <c r="I50" s="174"/>
      <c r="J50" s="153"/>
      <c r="K50" s="153"/>
    </row>
    <row r="51" spans="1:11" ht="63" x14ac:dyDescent="0.25">
      <c r="A51" s="156" t="s">
        <v>525</v>
      </c>
      <c r="B51" s="165" t="s">
        <v>524</v>
      </c>
      <c r="C51" s="162" t="s">
        <v>535</v>
      </c>
      <c r="D51" s="162" t="s">
        <v>535</v>
      </c>
      <c r="E51" s="173">
        <v>43343</v>
      </c>
      <c r="F51" s="173">
        <v>43343</v>
      </c>
      <c r="G51" s="186">
        <v>44244</v>
      </c>
      <c r="H51" s="162">
        <v>44771</v>
      </c>
      <c r="I51" s="174"/>
      <c r="J51" s="153"/>
      <c r="K51" s="153"/>
    </row>
    <row r="52" spans="1:11" ht="63" x14ac:dyDescent="0.25">
      <c r="A52" s="156" t="s">
        <v>526</v>
      </c>
      <c r="B52" s="165" t="s">
        <v>185</v>
      </c>
      <c r="C52" s="162" t="s">
        <v>535</v>
      </c>
      <c r="D52" s="162" t="s">
        <v>535</v>
      </c>
      <c r="E52" s="173"/>
      <c r="F52" s="173"/>
      <c r="G52" s="162"/>
      <c r="H52" s="162">
        <v>44926</v>
      </c>
      <c r="I52" s="174"/>
      <c r="J52" s="153"/>
      <c r="K52" s="153"/>
    </row>
    <row r="53" spans="1:11" ht="31.5" x14ac:dyDescent="0.25">
      <c r="A53" s="156" t="s">
        <v>528</v>
      </c>
      <c r="B53" s="165" t="s">
        <v>527</v>
      </c>
      <c r="C53" s="187" t="s">
        <v>535</v>
      </c>
      <c r="D53" s="187" t="s">
        <v>535</v>
      </c>
      <c r="E53" s="173">
        <v>43343</v>
      </c>
      <c r="F53" s="173">
        <v>43343</v>
      </c>
      <c r="G53" s="186">
        <v>44244</v>
      </c>
      <c r="H53" s="162">
        <v>44771</v>
      </c>
      <c r="I53" s="174"/>
      <c r="J53" s="153"/>
      <c r="K53" s="153"/>
    </row>
    <row r="54" spans="1:11" ht="31.5" x14ac:dyDescent="0.25">
      <c r="A54" s="156" t="s">
        <v>532</v>
      </c>
      <c r="B54" s="165" t="s">
        <v>184</v>
      </c>
      <c r="C54" s="187" t="s">
        <v>535</v>
      </c>
      <c r="D54" s="187" t="s">
        <v>535</v>
      </c>
      <c r="E54" s="173">
        <v>43353</v>
      </c>
      <c r="F54" s="173">
        <v>43353</v>
      </c>
      <c r="G54" s="186">
        <v>44244</v>
      </c>
      <c r="H54" s="162">
        <v>44771</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2023-03-26T00:28:07Z</dcterms:modified>
</cp:coreProperties>
</file>