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9\паспорт карта\"/>
    </mc:Choice>
  </mc:AlternateContent>
  <xr:revisionPtr revIDLastSave="0" documentId="13_ncr:1_{379F195C-17BF-49BD-9754-ECFAC911A704}" xr6:coauthVersionLast="47" xr6:coauthVersionMax="47" xr10:uidLastSave="{00000000-0000-0000-0000-000000000000}"/>
  <bookViews>
    <workbookView xWindow="780"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V25" i="15" l="1"/>
  <c r="V26" i="15"/>
  <c r="V27" i="15"/>
  <c r="V28" i="15"/>
  <c r="Z28" i="15" s="1"/>
  <c r="AC28" i="15" s="1"/>
  <c r="V29" i="15"/>
  <c r="Z29" i="15" s="1"/>
  <c r="V24" i="15"/>
  <c r="Z24" i="15"/>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D24" i="15"/>
  <c r="Z25" i="15"/>
  <c r="Z26" i="15"/>
  <c r="AC26" i="15" s="1"/>
  <c r="D52" i="15"/>
  <c r="R31" i="15"/>
  <c r="R32" i="15"/>
  <c r="R33" i="15"/>
  <c r="R34" i="15"/>
  <c r="AC34" i="15" s="1"/>
  <c r="R35" i="15"/>
  <c r="R36" i="15"/>
  <c r="R37" i="15"/>
  <c r="R38" i="15"/>
  <c r="AC38" i="15" s="1"/>
  <c r="R39" i="15"/>
  <c r="R40" i="15"/>
  <c r="R41" i="15"/>
  <c r="R42" i="15"/>
  <c r="AC42" i="15" s="1"/>
  <c r="R43" i="15"/>
  <c r="R44" i="15"/>
  <c r="R45" i="15"/>
  <c r="R46" i="15"/>
  <c r="AC46" i="15" s="1"/>
  <c r="R47" i="15"/>
  <c r="R48" i="15"/>
  <c r="R49" i="15"/>
  <c r="R50" i="15"/>
  <c r="AC50" i="15" s="1"/>
  <c r="R51" i="15"/>
  <c r="R52" i="15"/>
  <c r="AC52" i="15" s="1"/>
  <c r="R53" i="15"/>
  <c r="R54" i="15"/>
  <c r="AC54" i="15" s="1"/>
  <c r="R55" i="15"/>
  <c r="R56" i="15"/>
  <c r="R57" i="15"/>
  <c r="R58" i="15"/>
  <c r="R59" i="15"/>
  <c r="R60" i="15"/>
  <c r="R61" i="15"/>
  <c r="R62" i="15"/>
  <c r="R63" i="15"/>
  <c r="R64" i="15"/>
  <c r="R30" i="15"/>
  <c r="A5" i="27"/>
  <c r="AC55" i="15"/>
  <c r="AC56" i="15"/>
  <c r="AC57" i="15"/>
  <c r="AC58" i="15"/>
  <c r="AC59" i="15"/>
  <c r="AC60" i="15"/>
  <c r="AC61" i="15"/>
  <c r="AC62" i="15"/>
  <c r="AC63" i="15"/>
  <c r="AC64" i="15"/>
  <c r="AC25" i="15"/>
  <c r="AC30" i="15"/>
  <c r="AC31" i="15"/>
  <c r="AC32" i="15"/>
  <c r="AC33" i="15"/>
  <c r="AC35" i="15"/>
  <c r="AC36" i="15"/>
  <c r="AC37" i="15"/>
  <c r="AC39" i="15"/>
  <c r="AC40" i="15"/>
  <c r="AC41" i="15"/>
  <c r="AC43" i="15"/>
  <c r="AC44" i="15"/>
  <c r="AC45" i="15"/>
  <c r="AC47" i="15"/>
  <c r="AC48" i="15"/>
  <c r="AC49" i="15"/>
  <c r="AC51" i="15"/>
  <c r="AC53" i="15"/>
  <c r="Z27" i="15" l="1"/>
  <c r="AC27" i="15" s="1"/>
  <c r="C81" i="27"/>
  <c r="D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U24" i="15"/>
  <c r="S24" i="15"/>
  <c r="Q24" i="15"/>
  <c r="O24" i="15"/>
  <c r="N24" i="15"/>
  <c r="M24" i="15"/>
  <c r="G24" i="15"/>
  <c r="B30" i="22" l="1"/>
  <c r="E24" i="15"/>
  <c r="E30" i="15"/>
  <c r="C50" i="7" l="1"/>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R28" i="15"/>
  <c r="R26" i="15"/>
  <c r="AC29" i="15"/>
  <c r="R25" i="15"/>
  <c r="R24" i="15" l="1"/>
  <c r="B28" i="27"/>
  <c r="L60" i="27" s="1"/>
  <c r="B49" i="27"/>
  <c r="B58" i="27" s="1"/>
  <c r="B34" i="27"/>
  <c r="N62" i="27" s="1"/>
  <c r="AC24" i="15" l="1"/>
  <c r="B81" i="27"/>
  <c r="B80" i="27"/>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D88" i="27"/>
  <c r="E88" i="27"/>
  <c r="E84" i="27"/>
  <c r="J72" i="27"/>
  <c r="N67" i="27"/>
  <c r="M76" i="27"/>
  <c r="M65" i="27"/>
  <c r="M59" i="27" s="1"/>
  <c r="M66" i="27" s="1"/>
  <c r="M68" i="27" s="1"/>
  <c r="K71" i="27"/>
  <c r="K72" i="27" s="1"/>
  <c r="G88" i="27" l="1"/>
  <c r="G84" i="27"/>
  <c r="G89" i="27" s="1"/>
  <c r="H78" i="27"/>
  <c r="E89" i="27"/>
  <c r="D87" i="27"/>
  <c r="D90" i="27" s="1"/>
  <c r="F87" i="27"/>
  <c r="E87" i="27"/>
  <c r="G87" i="27"/>
  <c r="L71" i="27"/>
  <c r="L72" i="27" s="1"/>
  <c r="F89" i="27"/>
  <c r="N76" i="27"/>
  <c r="O67" i="27"/>
  <c r="N65" i="27"/>
  <c r="N59" i="27" s="1"/>
  <c r="N66" i="27" s="1"/>
  <c r="N68" i="27" s="1"/>
  <c r="M70" i="27"/>
  <c r="M75" i="27"/>
  <c r="G90" i="27" l="1"/>
  <c r="H83" i="27"/>
  <c r="I78" i="27"/>
  <c r="I83" i="27" s="1"/>
  <c r="I86" i="27" s="1"/>
  <c r="E90" i="27"/>
  <c r="N75" i="27"/>
  <c r="N70" i="27"/>
  <c r="F90" i="27"/>
  <c r="M71" i="27"/>
  <c r="P67" i="27"/>
  <c r="O76" i="27"/>
  <c r="O65" i="27"/>
  <c r="O59" i="27" s="1"/>
  <c r="O66" i="27" s="1"/>
  <c r="O68" i="27" s="1"/>
  <c r="J78" i="27" l="1"/>
  <c r="J83" i="27" s="1"/>
  <c r="J86" i="27" s="1"/>
  <c r="K78" i="27"/>
  <c r="K83" i="27" s="1"/>
  <c r="K88" i="27" s="1"/>
  <c r="H86" i="27"/>
  <c r="H84" i="27"/>
  <c r="H89" i="27" s="1"/>
  <c r="I88" i="27"/>
  <c r="I84" i="27"/>
  <c r="H88" i="27"/>
  <c r="O75" i="27"/>
  <c r="O70" i="27"/>
  <c r="N71" i="27"/>
  <c r="N72" i="27" s="1"/>
  <c r="P76" i="27"/>
  <c r="Q67" i="27"/>
  <c r="P65" i="27"/>
  <c r="P59" i="27" s="1"/>
  <c r="P66" i="27" s="1"/>
  <c r="P68" i="27" s="1"/>
  <c r="M72" i="27"/>
  <c r="J87" i="27" l="1"/>
  <c r="J88" i="27"/>
  <c r="J84" i="27"/>
  <c r="J89" i="27" s="1"/>
  <c r="L78" i="27"/>
  <c r="L83" i="27" s="1"/>
  <c r="L86" i="27" s="1"/>
  <c r="B103" i="27" s="1"/>
  <c r="I89" i="27"/>
  <c r="K84" i="27"/>
  <c r="K86" i="27"/>
  <c r="K87" i="27" s="1"/>
  <c r="H87" i="27"/>
  <c r="H90" i="27" s="1"/>
  <c r="I87" i="27"/>
  <c r="J90" i="27" s="1"/>
  <c r="P75" i="27"/>
  <c r="P70" i="27"/>
  <c r="R67" i="27"/>
  <c r="Q76" i="27"/>
  <c r="Q65" i="27"/>
  <c r="Q59" i="27" s="1"/>
  <c r="Q66" i="27" s="1"/>
  <c r="Q68" i="27" s="1"/>
  <c r="O71" i="27"/>
  <c r="O72" i="27" s="1"/>
  <c r="K89" i="27" l="1"/>
  <c r="K90" i="27"/>
  <c r="L88" i="27"/>
  <c r="L84" i="27"/>
  <c r="L89" i="27" s="1"/>
  <c r="M78" i="27"/>
  <c r="I90" i="27"/>
  <c r="L87" i="27"/>
  <c r="Q75" i="27"/>
  <c r="Q70" i="27"/>
  <c r="P71" i="27"/>
  <c r="P72" i="27" s="1"/>
  <c r="S67" i="27"/>
  <c r="R76" i="27"/>
  <c r="R65" i="27"/>
  <c r="R59" i="27" s="1"/>
  <c r="R66" i="27" s="1"/>
  <c r="R68" i="27" s="1"/>
  <c r="M83" i="27" l="1"/>
  <c r="N78" i="27"/>
  <c r="G29" i="27"/>
  <c r="L90" i="27"/>
  <c r="T67" i="27"/>
  <c r="S76" i="27"/>
  <c r="S65" i="27"/>
  <c r="S59" i="27" s="1"/>
  <c r="S66" i="27" s="1"/>
  <c r="S68" i="27" s="1"/>
  <c r="R70" i="27"/>
  <c r="R75" i="27"/>
  <c r="Q71" i="27"/>
  <c r="N83" i="27" l="1"/>
  <c r="N88" i="27" s="1"/>
  <c r="O78" i="27"/>
  <c r="M86" i="27"/>
  <c r="M88" i="27"/>
  <c r="M84" i="27"/>
  <c r="M89" i="27" s="1"/>
  <c r="N84" i="27"/>
  <c r="S70" i="27"/>
  <c r="S75" i="27"/>
  <c r="R71" i="27"/>
  <c r="Q72" i="27"/>
  <c r="U67" i="27"/>
  <c r="T76" i="27"/>
  <c r="T65" i="27"/>
  <c r="T59" i="27" s="1"/>
  <c r="T66" i="27" s="1"/>
  <c r="T68" i="27" s="1"/>
  <c r="N89" i="27" l="1"/>
  <c r="M87" i="27"/>
  <c r="M90" i="27" s="1"/>
  <c r="O83" i="27"/>
  <c r="O84" i="27" s="1"/>
  <c r="O89" i="27" s="1"/>
  <c r="P78" i="27"/>
  <c r="N86" i="27"/>
  <c r="N87" i="27" s="1"/>
  <c r="S71" i="27"/>
  <c r="R72" i="27"/>
  <c r="T75" i="27"/>
  <c r="T70" i="27"/>
  <c r="V67" i="27"/>
  <c r="U76" i="27"/>
  <c r="U65" i="27"/>
  <c r="U59" i="27" s="1"/>
  <c r="U66" i="27" s="1"/>
  <c r="U68" i="27" s="1"/>
  <c r="N90" i="27" l="1"/>
  <c r="O88" i="27"/>
  <c r="P83" i="27"/>
  <c r="P84" i="27" s="1"/>
  <c r="P89" i="27" s="1"/>
  <c r="Q78" i="27"/>
  <c r="Q83" i="27" s="1"/>
  <c r="Q86" i="27" s="1"/>
  <c r="O86" i="27"/>
  <c r="V76" i="27"/>
  <c r="W67" i="27"/>
  <c r="V65" i="27"/>
  <c r="V59" i="27" s="1"/>
  <c r="V66" i="27" s="1"/>
  <c r="V68" i="27" s="1"/>
  <c r="U70" i="27"/>
  <c r="U75" i="27"/>
  <c r="T71" i="27"/>
  <c r="S72" i="27"/>
  <c r="P88" i="27" l="1"/>
  <c r="P86" i="27"/>
  <c r="P87" i="27" s="1"/>
  <c r="Q84" i="27"/>
  <c r="Q89" i="27" s="1"/>
  <c r="Q88" i="27"/>
  <c r="O87" i="27"/>
  <c r="O90" i="27" s="1"/>
  <c r="Q87" i="27"/>
  <c r="R78" i="27"/>
  <c r="R83" i="27" s="1"/>
  <c r="R86" i="27" s="1"/>
  <c r="T72" i="27"/>
  <c r="W76" i="27"/>
  <c r="X67" i="27"/>
  <c r="W65" i="27"/>
  <c r="W59" i="27" s="1"/>
  <c r="W66" i="27" s="1"/>
  <c r="W68" i="27" s="1"/>
  <c r="U71" i="27"/>
  <c r="V70" i="27"/>
  <c r="V75" i="27"/>
  <c r="Q90" i="27" l="1"/>
  <c r="R87" i="27"/>
  <c r="R90" i="27" s="1"/>
  <c r="S78" i="27"/>
  <c r="S83" i="27" s="1"/>
  <c r="S86" i="27" s="1"/>
  <c r="S87" i="27" s="1"/>
  <c r="R84" i="27"/>
  <c r="R89" i="27" s="1"/>
  <c r="R88" i="27"/>
  <c r="P90" i="27"/>
  <c r="V71" i="27"/>
  <c r="U72" i="27"/>
  <c r="W70" i="27"/>
  <c r="W75" i="27"/>
  <c r="Y67" i="27"/>
  <c r="X76" i="27"/>
  <c r="X65" i="27"/>
  <c r="X59" i="27" s="1"/>
  <c r="X66" i="27" s="1"/>
  <c r="X68" i="27" s="1"/>
  <c r="S90" i="27" l="1"/>
  <c r="T78" i="27"/>
  <c r="T83" i="27" s="1"/>
  <c r="S88" i="27"/>
  <c r="S84" i="27"/>
  <c r="S89" i="27" s="1"/>
  <c r="V72" i="27"/>
  <c r="X75" i="27"/>
  <c r="X70" i="27"/>
  <c r="W71" i="27"/>
  <c r="W72" i="27" s="1"/>
  <c r="Y76" i="27"/>
  <c r="Z67" i="27"/>
  <c r="Y65" i="27"/>
  <c r="Y59" i="27" s="1"/>
  <c r="Y66" i="27" s="1"/>
  <c r="Y68" i="27" s="1"/>
  <c r="U78" i="27" l="1"/>
  <c r="U83" i="27" s="1"/>
  <c r="U86" i="27" s="1"/>
  <c r="T86" i="27"/>
  <c r="T87" i="27" s="1"/>
  <c r="T90" i="27" s="1"/>
  <c r="T88" i="27"/>
  <c r="T84" i="27"/>
  <c r="T89" i="27" s="1"/>
  <c r="Y70" i="27"/>
  <c r="Y75" i="27"/>
  <c r="Z76" i="27"/>
  <c r="AA67" i="27"/>
  <c r="Z65" i="27"/>
  <c r="Z59" i="27" s="1"/>
  <c r="Z66" i="27" s="1"/>
  <c r="Z68" i="27" s="1"/>
  <c r="X71" i="27"/>
  <c r="V78" i="27" l="1"/>
  <c r="V83" i="27" s="1"/>
  <c r="V86" i="27" s="1"/>
  <c r="V87" i="27" s="1"/>
  <c r="U84" i="27"/>
  <c r="U89" i="27" s="1"/>
  <c r="U88" i="27"/>
  <c r="U87" i="27"/>
  <c r="U90" i="27" s="1"/>
  <c r="X72" i="27"/>
  <c r="AA76" i="27"/>
  <c r="AB67" i="27"/>
  <c r="AA65" i="27"/>
  <c r="AA59" i="27" s="1"/>
  <c r="AA66" i="27" s="1"/>
  <c r="AA68" i="27" s="1"/>
  <c r="Y71" i="27"/>
  <c r="Z75" i="27"/>
  <c r="Z70" i="27"/>
  <c r="V84" i="27" l="1"/>
  <c r="V89" i="27" s="1"/>
  <c r="V88" i="27"/>
  <c r="W78" i="27"/>
  <c r="W83" i="27" s="1"/>
  <c r="W86" i="27" s="1"/>
  <c r="W87" i="27" s="1"/>
  <c r="W90" i="27" s="1"/>
  <c r="V90" i="27"/>
  <c r="Y72" i="27"/>
  <c r="Z71" i="27"/>
  <c r="AA75" i="27"/>
  <c r="AA70" i="27"/>
  <c r="AB76" i="27"/>
  <c r="AB65" i="27"/>
  <c r="AB59" i="27" s="1"/>
  <c r="AB66" i="27" s="1"/>
  <c r="AB68" i="27" s="1"/>
  <c r="X78" i="27" l="1"/>
  <c r="X83" i="27" s="1"/>
  <c r="X88" i="27" s="1"/>
  <c r="W88" i="27"/>
  <c r="W84" i="27"/>
  <c r="W89" i="27" s="1"/>
  <c r="Z72" i="27"/>
  <c r="AA71" i="27"/>
  <c r="AB70" i="27"/>
  <c r="AB75" i="27"/>
  <c r="X84" i="27" l="1"/>
  <c r="X89" i="27" s="1"/>
  <c r="X86" i="27"/>
  <c r="X87" i="27" s="1"/>
  <c r="X90" i="27" s="1"/>
  <c r="Y78" i="27"/>
  <c r="Y83" i="27" s="1"/>
  <c r="Y84" i="27" s="1"/>
  <c r="Y88" i="27"/>
  <c r="Z78" i="27"/>
  <c r="Z83" i="27" s="1"/>
  <c r="Z88" i="27" s="1"/>
  <c r="AB71" i="27"/>
  <c r="AB72" i="27" s="1"/>
  <c r="AA72" i="27"/>
  <c r="Y89" i="27" l="1"/>
  <c r="Y86" i="27"/>
  <c r="Y87" i="27" s="1"/>
  <c r="Y90" i="27" s="1"/>
  <c r="Z84" i="27"/>
  <c r="Z89" i="27" s="1"/>
  <c r="Z86" i="27"/>
  <c r="AA78" i="27"/>
  <c r="AA83" i="27" s="1"/>
  <c r="Z87" i="27" l="1"/>
  <c r="Z90" i="27" s="1"/>
  <c r="AB78" i="27"/>
  <c r="AB83" i="27" s="1"/>
  <c r="AB84" i="27" s="1"/>
  <c r="AA86" i="27"/>
  <c r="AA87" i="27" s="1"/>
  <c r="AA84" i="27"/>
  <c r="AA89" i="27" s="1"/>
  <c r="AA88" i="27"/>
  <c r="AB86" i="27"/>
  <c r="AC78" i="27"/>
  <c r="AC83" i="27" s="1"/>
  <c r="AB88" i="27" l="1"/>
  <c r="AA90" i="27"/>
  <c r="AB87" i="27"/>
  <c r="AB90" i="27" s="1"/>
  <c r="AB89" i="27"/>
  <c r="AC86" i="27"/>
  <c r="AC87" i="27" s="1"/>
  <c r="AC84" i="27"/>
  <c r="AC89" i="27" s="1"/>
  <c r="AC88" i="27"/>
  <c r="AD78" i="27"/>
  <c r="AD83" i="27" s="1"/>
  <c r="AC90" i="27" l="1"/>
  <c r="AD86" i="27"/>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<sst xmlns="http://schemas.openxmlformats.org/spreadsheetml/2006/main" count="1178" uniqueCount="611">
  <si>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</si>
  <si>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</si>
  <si>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</si>
  <si>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</si>
  <si>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</si>
  <si>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</si>
  <si>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</si>
  <si>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</si>
  <si>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</si>
  <si>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</si>
  <si>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</si>
  <si>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</si>
  <si>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</si>
  <si>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</si>
  <si>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</si>
  <si>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</si>
  <si>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</si>
  <si>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</si>
  <si>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</si>
  <si>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</si>
  <si>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</si>
  <si>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</si>
  <si>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</si>
  <si>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</si>
  <si>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</si>
  <si>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</si>
  <si>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</si>
  <si>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</si>
  <si>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</si>
  <si>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</si>
  <si>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</si>
  <si>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</si>
  <si>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</si>
  <si>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</si>
  <si>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</si>
  <si>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</si>
  <si>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</si>
  <si>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</si>
  <si>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</si>
  <si>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</si>
  <si>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</si>
  <si>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</si>
  <si>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</si>
  <si>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</si>
  <si>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</si>
  <si>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</si>
  <si>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</si>
  <si>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</si>
  <si>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</si>
  <si>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</si>
  <si>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</si>
  <si>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</si>
  <si>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</si>
  <si>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</si>
  <si>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</si>
  <si>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</si>
  <si>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</si>
  <si>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</si>
  <si>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</si>
  <si>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</si>
  <si>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</si>
  <si>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</si>
  <si>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</si>
  <si>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</si>
  <si>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</si>
  <si>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</si>
  <si>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</si>
  <si>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</si>
  <si>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</si>
  <si>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</si>
  <si>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</si>
  <si>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</si>
  <si>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</si>
  <si>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</si>
  <si>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</si>
  <si>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</si>
  <si>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</si>
  <si>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</si>
  <si>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</si>
  <si>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</si>
  <si>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</si>
  <si>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</si>
  <si>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</si>
  <si>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</si>
  <si>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</si>
  <si>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</si>
  <si>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</si>
  <si>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</si>
  <si>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</si>
  <si>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</si>
  <si>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</si>
  <si>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</si>
  <si>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</si>
  <si>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</si>
  <si>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</si>
  <si>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</si>
  <si>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</si>
  <si>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</si>
  <si>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</si>
  <si>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</si>
  <si>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</si>
  <si>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</si>
  <si>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</si>
  <si>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</si>
  <si>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</si>
  <si>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</si>
  <si>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</si>
  <si>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</si>
  <si>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</si>
  <si>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</si>
  <si>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</si>
  <si>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</si>
  <si>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</si>
  <si>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</si>
  <si>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</si>
  <si>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</si>
  <si>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</si>
  <si>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</si>
  <si>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</si>
  <si>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</si>
  <si>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</si>
  <si>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</si>
  <si>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</si>
  <si>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</si>
  <si>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</si>
  <si>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</si>
  <si>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</si>
  <si>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</si>
  <si>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</si>
  <si>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</si>
  <si>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</si>
  <si>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</si>
  <si>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</si>
  <si>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</si>
  <si>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</si>
  <si>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</si>
  <si>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</si>
  <si>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</si>
  <si>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</si>
  <si>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</si>
  <si>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</si>
  <si>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</si>
  <si>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</si>
  <si>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</si>
  <si>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</si>
  <si>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</si>
  <si>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</si>
  <si>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</si>
  <si>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</si>
  <si>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</si>
  <si>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</si>
  <si>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</si>
  <si>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</si>
  <si>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</si>
  <si>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</si>
  <si>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</si>
  <si>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</si>
  <si>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</si>
  <si>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</si>
  <si>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</si>
  <si>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</si>
  <si>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</si>
  <si>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</si>
  <si>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</si>
  <si>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</si>
  <si>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</si>
  <si>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</si>
  <si>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</si>
  <si>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</si>
  <si>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</si>
  <si>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</si>
  <si>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</si>
  <si>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</si>
  <si>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</si>
  <si>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</si>
  <si>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</si>
  <si>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</si>
  <si>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</si>
  <si>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</si>
  <si>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</si>
  <si>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</si>
  <si>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</si>
  <si>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</si>
  <si>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</si>
  <si>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</si>
  <si>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</si>
  <si>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</si>
  <si>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</si>
  <si>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</si>
  <si>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</si>
  <si>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</si>
  <si>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</si>
  <si>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</si>
  <si>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</si>
  <si>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</si>
  <si>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</si>
  <si>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</si>
  <si>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</si>
  <si>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</si>
  <si>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</si>
  <si>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</si>
  <si>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</si>
  <si>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</si>
  <si>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</si>
  <si>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</si>
  <si>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</si>
  <si>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</si>
  <si>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</si>
  <si>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</si>
  <si>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</si>
  <si>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</si>
  <si>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</si>
  <si>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</si>
  <si>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</si>
  <si>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</si>
  <si>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</si>
  <si>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</si>
  <si>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</si>
  <si>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</si>
  <si>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</si>
  <si>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</si>
  <si>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</si>
  <si>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</si>
  <si>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</si>
  <si>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</si>
  <si>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</si>
  <si>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</si>
  <si>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</si>
  <si>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</si>
  <si>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</si>
  <si>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</si>
  <si>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</si>
  <si>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</si>
  <si>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</si>
  <si>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</si>
  <si>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</si>
  <si>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</si>
  <si>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</si>
  <si>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</si>
  <si>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</si>
  <si>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</si>
  <si>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</si>
  <si>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</si>
  <si>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</si>
  <si>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</si>
  <si>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</si>
  <si>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</si>
  <si>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</si>
  <si>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</si>
  <si>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</si>
  <si>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</si>
  <si>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</si>
  <si>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</si>
  <si>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</si>
  <si>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</si>
  <si>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</si>
  <si>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</si>
  <si>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</si>
  <si>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</si>
  <si>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</si>
  <si>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</si>
  <si>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</si>
  <si>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</si>
  <si>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</si>
  <si>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</si>
  <si>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</si>
  <si>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</si>
  <si>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</si>
  <si>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</si>
  <si>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</si>
  <si>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</si>
  <si>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</si>
  <si>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</si>
  <si>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</si>
  <si>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</si>
  <si>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</si>
  <si>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</si>
  <si>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</si>
  <si>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</si>
  <si>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</si>
  <si>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</si>
  <si>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</si>
  <si>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</si>
  <si>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</si>
  <si>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</si>
  <si>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</si>
  <si>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</si>
  <si>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</si>
  <si>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</si>
  <si>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</si>
  <si>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</si>
  <si>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</si>
  <si>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</si>
  <si>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</si>
  <si>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</si>
  <si>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</si>
  <si>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</si>
  <si>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</si>
  <si>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</si>
  <si>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</si>
  <si>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</si>
  <si>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</si>
  <si>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</si>
  <si>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</si>
  <si>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</si>
  <si>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</si>
  <si>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</si>
  <si>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</si>
  <si>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</si>
  <si>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</si>
  <si>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</si>
  <si>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</si>
  <si>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</si>
  <si>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</si>
  <si>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</si>
  <si>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</si>
  <si>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</si>
  <si>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</si>
  <si>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</si>
  <si>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</si>
  <si>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</si>
  <si>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</si>
  <si>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</si>
  <si>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</si>
  <si>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</si>
  <si>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</si>
  <si>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</si>
  <si>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</si>
  <si>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</si>
  <si>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</si>
  <si>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</si>
  <si>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</si>
  <si>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</si>
  <si>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</si>
  <si>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</si>
  <si>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</si>
  <si>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</si>
  <si>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</si>
  <si>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</si>
  <si>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</si>
  <si>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</si>
  <si>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</si>
  <si>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</si>
  <si>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</si>
  <si>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</si>
  <si>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</si>
  <si>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</si>
  <si>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</si>
  <si>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</si>
  <si>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</si>
  <si>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</si>
  <si>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</si>
  <si>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</si>
  <si>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</si>
  <si>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</si>
  <si>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</si>
  <si>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</si>
  <si>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</si>
  <si>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</si>
  <si>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</si>
  <si>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</si>
  <si>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</si>
  <si>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</si>
  <si>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</si>
  <si>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</si>
  <si>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</si>
  <si>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</si>
  <si>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</si>
  <si>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</si>
  <si>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</si>
  <si>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</si>
  <si>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</si>
  <si>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</si>
  <si>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</si>
  <si>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</si>
  <si>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</si>
  <si>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</si>
  <si>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</si>
  <si>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</si>
  <si>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</si>
  <si>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</si>
  <si>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</si>
  <si>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</si>
  <si>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</si>
  <si>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</si>
  <si>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</si>
  <si>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</si>
  <si>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</si>
  <si>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</si>
  <si>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</si>
  <si>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</si>
  <si>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</si>
  <si>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</si>
  <si>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</si>
  <si>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</si>
  <si>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</si>
  <si>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</si>
  <si>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</si>
  <si>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</si>
  <si>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</si>
  <si>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</si>
  <si>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</si>
  <si>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</si>
  <si>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</si>
  <si>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</si>
  <si>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</si>
  <si>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</si>
  <si>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</si>
  <si>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</si>
  <si>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</si>
  <si>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</si>
  <si>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</si>
  <si>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</si>
  <si>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</si>
  <si>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</si>
  <si>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</si>
  <si>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</si>
  <si>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</si>
  <si>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</si>
  <si>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</si>
  <si>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</si>
  <si>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</si>
  <si>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</si>
  <si>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</si>
  <si>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</si>
  <si>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</si>
  <si>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</si>
  <si>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</si>
  <si>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</si>
  <si>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</si>
  <si>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</si>
  <si>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</si>
  <si>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</si>
  <si>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</si>
  <si>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</si>
  <si>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</si>
  <si>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</si>
  <si>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</si>
  <si>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</si>
  <si>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</si>
  <si>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</si>
  <si>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</si>
  <si>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</si>
  <si>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</si>
  <si>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</si>
  <si>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</si>
  <si>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</si>
  <si>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</si>
  <si>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</si>
  <si>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</si>
  <si>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</si>
  <si>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</si>
  <si>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</si>
  <si>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</si>
  <si>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</si>
  <si>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</si>
  <si>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</si>
  <si>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</si>
  <si>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</si>
  <si>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</si>
  <si>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</si>
  <si>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</si>
  <si>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</si>
  <si>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</si>
  <si>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</si>
  <si>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</si>
  <si>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</si>
  <si>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</si>
  <si>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</si>
  <si>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</si>
  <si>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</si>
  <si>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</si>
  <si>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</si>
  <si>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</si>
  <si>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</si>
  <si>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</si>
  <si>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</si>
  <si>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</si>
  <si>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</si>
  <si>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</si>
  <si>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</si>
  <si>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</si>
  <si>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</si>
  <si>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</si>
  <si>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</si>
  <si>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</si>
  <si>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</si>
  <si>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</si>
  <si>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</si>
  <si>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</si>
  <si>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</si>
  <si>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</si>
  <si>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</si>
  <si>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</si>
  <si>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</si>
  <si>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</si>
  <si>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</si>
  <si>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</si>
  <si>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</si>
  <si>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</si>
  <si>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</si>
  <si>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</si>
  <si>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</si>
  <si>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</si>
  <si>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</si>
  <si>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</si>
  <si>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</si>
  <si>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</si>
  <si>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</si>
  <si>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</si>
  <si>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</si>
  <si>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</si>
  <si>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</si>
  <si>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</si>
  <si>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</si>
  <si>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</si>
  <si>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</si>
  <si>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</si>
  <si>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</si>
  <si>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</si>
  <si>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</si>
  <si>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</si>
  <si>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</si>
  <si>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</si>
  <si>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</si>
  <si>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</si>
  <si>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</si>
  <si>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</si>
  <si>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</si>
  <si>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</si>
  <si>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</si>
  <si>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</si>
  <si>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</si>
  <si>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</si>
  <si>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</si>
  <si>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</si>
  <si>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</si>
  <si>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</si>
  <si>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</si>
  <si>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</si>
  <si>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</si>
  <si>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</si>
  <si>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</si>
  <si>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</si>
  <si>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</si>
  <si>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</si>
  <si>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</si>
  <si>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</si>
  <si>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</si>
  <si>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</si>
  <si>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</si>
  <si>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</si>
  <si>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</si>
  <si>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</si>
  <si>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</si>
  <si>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</si>
  <si>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</si>
  <si>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</si>
  <si>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</si>
  <si>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</si>
  <si>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</si>
  <si>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</si>
  <si>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</si>
  <si>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</si>
  <si>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</si>
  <si>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</si>
  <si>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</si>
  <si>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</si>
  <si>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</si>
  <si>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</si>
  <si>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</si>
  <si>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</si>
  <si>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</si>
  <si>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</si>
  <si>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</si>
  <si>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</si>
  <si>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</si>
  <si>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</si>
  <si>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</si>
  <si>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</si>
  <si>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</si>
  <si>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</si>
  <si>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</si>
  <si>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</si>
  <si>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</si>
  <si>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</si>
  <si>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</si>
  <si>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</si>
  <si>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</si>
  <si>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</si>
  <si>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</si>
  <si>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</si>
  <si>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</si>
  <si>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</si>
  <si>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</si>
  <si>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</si>
  <si>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</si>
  <si>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</si>
  <si>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</si>
  <si>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</si>
  <si>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</si>
  <si>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</si>
  <si>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</si>
  <si>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</si>
  <si>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</si>
  <si>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Приобретение мини-экскаватора JCB8030ZTS</t>
  </si>
  <si>
    <t>Приобретение мини-экскаватора JCB8030ZTS -2 млн рублей без НДС</t>
  </si>
  <si>
    <t>договор от 268.10.2021 №02</t>
  </si>
  <si>
    <t>M 22-09</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</si>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</sst>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609</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547</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608</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605</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603</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1,9 млн.рублей</v>
      </c>
      <c r="D50" s="1" t="s">
        <v>529</v>
      </c>
    </row>
    <row r="51" spans="1:4" ht="78" customHeight="1" x14ac:dyDescent="0.25">
      <c r="A51" s="22" t="s">
        <v>459</v>
      </c>
      <c r="B51" s="115" t="s">
        <v>506</v>
      </c>
      <c r="C51" s="153" t="str">
        <f>CONCATENATE(ROUND('6.2. Паспорт фин осв ввод'!AC33,2)," млн.рублей")</f>
        <v>1,9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G21" zoomScale="80" zoomScaleNormal="80" zoomScaleSheetLayoutView="70" workbookViewId="0">
      <selection activeCell="V24" sqref="V2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7" t="str">
        <f>'1. паспорт местоположение'!A12:C12</f>
        <v>M 22-09</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4" t="str">
        <f>'1. паспорт местоположение'!A15</f>
        <v>Приобретение мини-экскаватора JCB8030ZTS</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row>
    <row r="18" spans="1:32" x14ac:dyDescent="0.25">
      <c r="A18" s="411" t="s">
        <v>479</v>
      </c>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row>
    <row r="20" spans="1:32" ht="33" customHeight="1" x14ac:dyDescent="0.25">
      <c r="A20" s="404" t="s">
        <v>182</v>
      </c>
      <c r="B20" s="404" t="s">
        <v>181</v>
      </c>
      <c r="C20" s="403" t="s">
        <v>180</v>
      </c>
      <c r="D20" s="403"/>
      <c r="E20" s="405" t="s">
        <v>179</v>
      </c>
      <c r="F20" s="405"/>
      <c r="G20" s="404" t="s">
        <v>550</v>
      </c>
      <c r="H20" s="401" t="s">
        <v>549</v>
      </c>
      <c r="I20" s="402"/>
      <c r="J20" s="402"/>
      <c r="K20" s="402"/>
      <c r="L20" s="401" t="s">
        <v>539</v>
      </c>
      <c r="M20" s="402"/>
      <c r="N20" s="402"/>
      <c r="O20" s="402"/>
      <c r="P20" s="401" t="s">
        <v>538</v>
      </c>
      <c r="Q20" s="402"/>
      <c r="R20" s="402"/>
      <c r="S20" s="402"/>
      <c r="T20" s="401" t="s">
        <v>542</v>
      </c>
      <c r="U20" s="402"/>
      <c r="V20" s="402"/>
      <c r="W20" s="402"/>
      <c r="X20" s="401" t="s">
        <v>602</v>
      </c>
      <c r="Y20" s="402"/>
      <c r="Z20" s="402"/>
      <c r="AA20" s="402"/>
      <c r="AB20" s="409" t="s">
        <v>178</v>
      </c>
      <c r="AC20" s="409"/>
      <c r="AD20" s="53"/>
      <c r="AE20" s="53"/>
      <c r="AF20" s="53"/>
    </row>
    <row r="21" spans="1:32" ht="99.75" customHeight="1" x14ac:dyDescent="0.25">
      <c r="A21" s="397"/>
      <c r="B21" s="397"/>
      <c r="C21" s="403"/>
      <c r="D21" s="403"/>
      <c r="E21" s="405"/>
      <c r="F21" s="405"/>
      <c r="G21" s="397"/>
      <c r="H21" s="403" t="s">
        <v>2</v>
      </c>
      <c r="I21" s="403"/>
      <c r="J21" s="403" t="s">
        <v>551</v>
      </c>
      <c r="K21" s="403"/>
      <c r="L21" s="403" t="s">
        <v>2</v>
      </c>
      <c r="M21" s="403"/>
      <c r="N21" s="403" t="s">
        <v>551</v>
      </c>
      <c r="O21" s="403"/>
      <c r="P21" s="403" t="s">
        <v>2</v>
      </c>
      <c r="Q21" s="403"/>
      <c r="R21" s="403" t="s">
        <v>551</v>
      </c>
      <c r="S21" s="403"/>
      <c r="T21" s="403" t="s">
        <v>2</v>
      </c>
      <c r="U21" s="403"/>
      <c r="V21" s="403" t="s">
        <v>177</v>
      </c>
      <c r="W21" s="403"/>
      <c r="X21" s="403" t="s">
        <v>2</v>
      </c>
      <c r="Y21" s="403"/>
      <c r="Z21" s="403" t="s">
        <v>177</v>
      </c>
      <c r="AA21" s="403"/>
      <c r="AB21" s="409"/>
      <c r="AC21" s="409"/>
    </row>
    <row r="22" spans="1:32" ht="89.25" customHeight="1" x14ac:dyDescent="0.25">
      <c r="A22" s="398"/>
      <c r="B22" s="398"/>
      <c r="C22" s="151" t="s">
        <v>2</v>
      </c>
      <c r="D22" s="151" t="s">
        <v>177</v>
      </c>
      <c r="E22" s="136" t="s">
        <v>548</v>
      </c>
      <c r="F22" s="136" t="s">
        <v>610</v>
      </c>
      <c r="G22" s="398"/>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2.4</v>
      </c>
      <c r="D24" s="165">
        <f>D30</f>
        <v>1.9044700859999999</v>
      </c>
      <c r="E24" s="165">
        <f t="shared" ref="E24:W24" si="1">SUM(E25:E29)</f>
        <v>2.4</v>
      </c>
      <c r="F24" s="165">
        <f>D24-R24</f>
        <v>1.126970086</v>
      </c>
      <c r="G24" s="165">
        <f t="shared" si="1"/>
        <v>0</v>
      </c>
      <c r="H24" s="165" t="s">
        <v>526</v>
      </c>
      <c r="I24" s="165">
        <v>0</v>
      </c>
      <c r="J24" s="165">
        <v>0</v>
      </c>
      <c r="K24" s="165">
        <v>0</v>
      </c>
      <c r="L24" s="165" t="s">
        <v>526</v>
      </c>
      <c r="M24" s="165">
        <f t="shared" si="1"/>
        <v>0</v>
      </c>
      <c r="N24" s="165">
        <f t="shared" si="1"/>
        <v>0</v>
      </c>
      <c r="O24" s="165">
        <f t="shared" si="1"/>
        <v>0</v>
      </c>
      <c r="P24" s="165">
        <v>0.77749999999999997</v>
      </c>
      <c r="Q24" s="165">
        <f t="shared" si="1"/>
        <v>0</v>
      </c>
      <c r="R24" s="165">
        <f>R25+R26+R27+R28+R29</f>
        <v>0.77749999999999997</v>
      </c>
      <c r="S24" s="165">
        <f t="shared" si="1"/>
        <v>0</v>
      </c>
      <c r="T24" s="165">
        <v>1.6225000000000001</v>
      </c>
      <c r="U24" s="165">
        <f t="shared" si="1"/>
        <v>0</v>
      </c>
      <c r="V24" s="165">
        <f>D24-R24</f>
        <v>1.126970086</v>
      </c>
      <c r="W24" s="165">
        <f t="shared" si="1"/>
        <v>0</v>
      </c>
      <c r="X24" s="170">
        <v>0</v>
      </c>
      <c r="Y24" s="165">
        <v>0</v>
      </c>
      <c r="Z24" s="165">
        <f>D24-R24-V24</f>
        <v>0</v>
      </c>
      <c r="AA24" s="165">
        <v>0</v>
      </c>
      <c r="AB24" s="165">
        <v>2.4</v>
      </c>
      <c r="AC24" s="166">
        <f>N24+R24+V24+Z24</f>
        <v>1.9044700859999999</v>
      </c>
    </row>
    <row r="25" spans="1:32" ht="24" customHeight="1" x14ac:dyDescent="0.25">
      <c r="A25" s="167" t="s">
        <v>175</v>
      </c>
      <c r="B25" s="168" t="s">
        <v>174</v>
      </c>
      <c r="C25" s="165">
        <v>0</v>
      </c>
      <c r="D25" s="165">
        <v>0</v>
      </c>
      <c r="E25" s="169">
        <f>C25</f>
        <v>0</v>
      </c>
      <c r="F25" s="165">
        <f t="shared" ref="F25:F64" si="2">D25-R25</f>
        <v>0</v>
      </c>
      <c r="G25" s="170">
        <v>0</v>
      </c>
      <c r="H25" s="165" t="s">
        <v>526</v>
      </c>
      <c r="I25" s="170">
        <v>0</v>
      </c>
      <c r="J25" s="170">
        <v>0</v>
      </c>
      <c r="K25" s="170">
        <v>0</v>
      </c>
      <c r="L25" s="165" t="s">
        <v>526</v>
      </c>
      <c r="M25" s="170">
        <v>0</v>
      </c>
      <c r="N25" s="170">
        <v>0</v>
      </c>
      <c r="O25" s="170">
        <v>0</v>
      </c>
      <c r="P25" s="165">
        <v>0</v>
      </c>
      <c r="Q25" s="170">
        <v>0</v>
      </c>
      <c r="R25" s="165">
        <f t="shared" ref="R25:R28" si="3">D25</f>
        <v>0</v>
      </c>
      <c r="S25" s="170">
        <v>0</v>
      </c>
      <c r="T25" s="165">
        <v>0</v>
      </c>
      <c r="U25" s="170">
        <v>0</v>
      </c>
      <c r="V25" s="165">
        <f t="shared" ref="V25:V29" si="4">D25-R25</f>
        <v>0</v>
      </c>
      <c r="W25" s="170">
        <v>0</v>
      </c>
      <c r="X25" s="170">
        <v>0</v>
      </c>
      <c r="Y25" s="170">
        <v>0</v>
      </c>
      <c r="Z25" s="165">
        <f t="shared" ref="Z25:Z29" si="5">D25-R25-V25</f>
        <v>0</v>
      </c>
      <c r="AA25" s="170">
        <v>0</v>
      </c>
      <c r="AB25" s="165">
        <v>0</v>
      </c>
      <c r="AC25" s="166">
        <f t="shared" ref="AC25:AC64" si="6">N25+R25+V25+Z25</f>
        <v>0</v>
      </c>
    </row>
    <row r="26" spans="1:32" x14ac:dyDescent="0.25">
      <c r="A26" s="167" t="s">
        <v>173</v>
      </c>
      <c r="B26" s="168" t="s">
        <v>172</v>
      </c>
      <c r="C26" s="165">
        <v>0</v>
      </c>
      <c r="D26" s="165">
        <v>0</v>
      </c>
      <c r="E26" s="170">
        <f t="shared" ref="E26:E64" si="7">C26</f>
        <v>0</v>
      </c>
      <c r="F26" s="165">
        <f t="shared" si="2"/>
        <v>0</v>
      </c>
      <c r="G26" s="170">
        <v>0</v>
      </c>
      <c r="H26" s="165" t="s">
        <v>526</v>
      </c>
      <c r="I26" s="170">
        <v>0</v>
      </c>
      <c r="J26" s="170">
        <v>0</v>
      </c>
      <c r="K26" s="170">
        <v>0</v>
      </c>
      <c r="L26" s="165" t="s">
        <v>526</v>
      </c>
      <c r="M26" s="170">
        <v>0</v>
      </c>
      <c r="N26" s="170">
        <v>0</v>
      </c>
      <c r="O26" s="170">
        <v>0</v>
      </c>
      <c r="P26" s="165">
        <v>0</v>
      </c>
      <c r="Q26" s="170">
        <v>0</v>
      </c>
      <c r="R26" s="165">
        <f t="shared" si="3"/>
        <v>0</v>
      </c>
      <c r="S26" s="170">
        <v>0</v>
      </c>
      <c r="T26" s="165">
        <v>0</v>
      </c>
      <c r="U26" s="170">
        <v>0</v>
      </c>
      <c r="V26" s="165">
        <f t="shared" si="4"/>
        <v>0</v>
      </c>
      <c r="W26" s="170">
        <v>0</v>
      </c>
      <c r="X26" s="170">
        <v>0</v>
      </c>
      <c r="Y26" s="170">
        <v>0</v>
      </c>
      <c r="Z26" s="165">
        <f t="shared" si="5"/>
        <v>0</v>
      </c>
      <c r="AA26" s="170">
        <v>0</v>
      </c>
      <c r="AB26" s="165">
        <v>0</v>
      </c>
      <c r="AC26" s="166">
        <f t="shared" si="6"/>
        <v>0</v>
      </c>
    </row>
    <row r="27" spans="1:32" ht="31.5" x14ac:dyDescent="0.25">
      <c r="A27" s="167" t="s">
        <v>171</v>
      </c>
      <c r="B27" s="168" t="s">
        <v>416</v>
      </c>
      <c r="C27" s="165">
        <v>2.4</v>
      </c>
      <c r="D27" s="165">
        <v>1.9044700859999999</v>
      </c>
      <c r="E27" s="170">
        <f t="shared" si="7"/>
        <v>2.4</v>
      </c>
      <c r="F27" s="165">
        <f t="shared" si="2"/>
        <v>1.126970086</v>
      </c>
      <c r="G27" s="170">
        <v>0</v>
      </c>
      <c r="H27" s="165" t="s">
        <v>526</v>
      </c>
      <c r="I27" s="170">
        <v>0</v>
      </c>
      <c r="J27" s="170">
        <v>0</v>
      </c>
      <c r="K27" s="170">
        <v>0</v>
      </c>
      <c r="L27" s="165" t="s">
        <v>526</v>
      </c>
      <c r="M27" s="170">
        <v>0</v>
      </c>
      <c r="N27" s="170">
        <v>0</v>
      </c>
      <c r="O27" s="170">
        <v>0</v>
      </c>
      <c r="P27" s="165">
        <v>0.77749999999999997</v>
      </c>
      <c r="Q27" s="170">
        <v>0</v>
      </c>
      <c r="R27" s="165">
        <v>0.77749999999999997</v>
      </c>
      <c r="S27" s="170">
        <v>0</v>
      </c>
      <c r="T27" s="165">
        <v>1.6225000000000001</v>
      </c>
      <c r="U27" s="170">
        <v>0</v>
      </c>
      <c r="V27" s="165">
        <f t="shared" si="4"/>
        <v>1.126970086</v>
      </c>
      <c r="W27" s="170">
        <v>0</v>
      </c>
      <c r="X27" s="170">
        <v>0</v>
      </c>
      <c r="Y27" s="170">
        <v>0</v>
      </c>
      <c r="Z27" s="165">
        <f t="shared" si="5"/>
        <v>0</v>
      </c>
      <c r="AA27" s="170">
        <v>0</v>
      </c>
      <c r="AB27" s="165">
        <v>2.4</v>
      </c>
      <c r="AC27" s="166">
        <f t="shared" si="6"/>
        <v>1.9044700859999999</v>
      </c>
    </row>
    <row r="28" spans="1:32" x14ac:dyDescent="0.25">
      <c r="A28" s="167" t="s">
        <v>170</v>
      </c>
      <c r="B28" s="168" t="s">
        <v>169</v>
      </c>
      <c r="C28" s="165">
        <v>0</v>
      </c>
      <c r="D28" s="165">
        <v>0</v>
      </c>
      <c r="E28" s="170">
        <f t="shared" si="7"/>
        <v>0</v>
      </c>
      <c r="F28" s="165">
        <f t="shared" si="2"/>
        <v>0</v>
      </c>
      <c r="G28" s="170">
        <v>0</v>
      </c>
      <c r="H28" s="165" t="s">
        <v>526</v>
      </c>
      <c r="I28" s="170">
        <v>0</v>
      </c>
      <c r="J28" s="170">
        <v>0</v>
      </c>
      <c r="K28" s="170">
        <v>0</v>
      </c>
      <c r="L28" s="165" t="s">
        <v>526</v>
      </c>
      <c r="M28" s="170">
        <v>0</v>
      </c>
      <c r="N28" s="170">
        <v>0</v>
      </c>
      <c r="O28" s="170">
        <v>0</v>
      </c>
      <c r="P28" s="165">
        <v>0</v>
      </c>
      <c r="Q28" s="170">
        <v>0</v>
      </c>
      <c r="R28" s="165">
        <f t="shared" si="3"/>
        <v>0</v>
      </c>
      <c r="S28" s="170">
        <v>0</v>
      </c>
      <c r="T28" s="165">
        <v>0</v>
      </c>
      <c r="U28" s="170">
        <v>0</v>
      </c>
      <c r="V28" s="165">
        <f t="shared" si="4"/>
        <v>0</v>
      </c>
      <c r="W28" s="170">
        <v>0</v>
      </c>
      <c r="X28" s="170">
        <v>0</v>
      </c>
      <c r="Y28" s="170">
        <v>0</v>
      </c>
      <c r="Z28" s="165">
        <f t="shared" si="5"/>
        <v>0</v>
      </c>
      <c r="AA28" s="170">
        <v>0</v>
      </c>
      <c r="AB28" s="165">
        <v>0</v>
      </c>
      <c r="AC28" s="166">
        <f t="shared" si="6"/>
        <v>0</v>
      </c>
    </row>
    <row r="29" spans="1:32" x14ac:dyDescent="0.25">
      <c r="A29" s="167" t="s">
        <v>168</v>
      </c>
      <c r="B29" s="52" t="s">
        <v>167</v>
      </c>
      <c r="C29" s="165">
        <v>0</v>
      </c>
      <c r="D29" s="165">
        <v>0</v>
      </c>
      <c r="E29" s="170">
        <f t="shared" si="7"/>
        <v>0</v>
      </c>
      <c r="F29" s="165">
        <f t="shared" si="2"/>
        <v>0</v>
      </c>
      <c r="G29" s="170">
        <v>0</v>
      </c>
      <c r="H29" s="165" t="s">
        <v>526</v>
      </c>
      <c r="I29" s="170">
        <v>0</v>
      </c>
      <c r="J29" s="170">
        <v>0</v>
      </c>
      <c r="K29" s="170">
        <v>0</v>
      </c>
      <c r="L29" s="165" t="s">
        <v>526</v>
      </c>
      <c r="M29" s="170">
        <v>0</v>
      </c>
      <c r="N29" s="170">
        <v>0</v>
      </c>
      <c r="O29" s="170">
        <v>0</v>
      </c>
      <c r="P29" s="165">
        <v>0</v>
      </c>
      <c r="Q29" s="170">
        <v>0</v>
      </c>
      <c r="R29" s="165">
        <v>0</v>
      </c>
      <c r="S29" s="170">
        <v>0</v>
      </c>
      <c r="T29" s="165">
        <v>0</v>
      </c>
      <c r="U29" s="170">
        <v>0</v>
      </c>
      <c r="V29" s="165">
        <f t="shared" si="4"/>
        <v>0</v>
      </c>
      <c r="W29" s="170">
        <v>0</v>
      </c>
      <c r="X29" s="170">
        <v>0</v>
      </c>
      <c r="Y29" s="170">
        <v>0</v>
      </c>
      <c r="Z29" s="165">
        <f t="shared" si="5"/>
        <v>0</v>
      </c>
      <c r="AA29" s="170">
        <v>0</v>
      </c>
      <c r="AB29" s="165">
        <v>0</v>
      </c>
      <c r="AC29" s="166">
        <f t="shared" si="6"/>
        <v>0</v>
      </c>
    </row>
    <row r="30" spans="1:32" ht="47.25" x14ac:dyDescent="0.25">
      <c r="A30" s="163" t="s">
        <v>61</v>
      </c>
      <c r="B30" s="164" t="s">
        <v>166</v>
      </c>
      <c r="C30" s="165">
        <v>2</v>
      </c>
      <c r="D30" s="165">
        <v>1.9044700859999999</v>
      </c>
      <c r="E30" s="165">
        <f t="shared" si="7"/>
        <v>2</v>
      </c>
      <c r="F30" s="165">
        <f t="shared" si="2"/>
        <v>0</v>
      </c>
      <c r="G30" s="165">
        <f>SUM(G31:G34)</f>
        <v>0</v>
      </c>
      <c r="H30" s="165" t="s">
        <v>526</v>
      </c>
      <c r="I30" s="165">
        <v>0</v>
      </c>
      <c r="J30" s="165">
        <v>0</v>
      </c>
      <c r="K30" s="165">
        <v>0</v>
      </c>
      <c r="L30" s="165" t="s">
        <v>526</v>
      </c>
      <c r="M30" s="165">
        <f t="shared" ref="M30:W30" si="8">SUM(M31:M34)</f>
        <v>0</v>
      </c>
      <c r="N30" s="165">
        <f t="shared" si="8"/>
        <v>0</v>
      </c>
      <c r="O30" s="165">
        <f t="shared" si="8"/>
        <v>0</v>
      </c>
      <c r="P30" s="165">
        <v>2</v>
      </c>
      <c r="Q30" s="165">
        <f t="shared" si="8"/>
        <v>0</v>
      </c>
      <c r="R30" s="165">
        <f>D30</f>
        <v>1.9044700859999999</v>
      </c>
      <c r="S30" s="165">
        <f t="shared" si="8"/>
        <v>0</v>
      </c>
      <c r="T30" s="165">
        <v>0</v>
      </c>
      <c r="U30" s="165">
        <f t="shared" si="8"/>
        <v>0</v>
      </c>
      <c r="V30" s="165">
        <f t="shared" si="8"/>
        <v>0</v>
      </c>
      <c r="W30" s="165">
        <f t="shared" si="8"/>
        <v>0</v>
      </c>
      <c r="X30" s="170">
        <v>0</v>
      </c>
      <c r="Y30" s="165">
        <v>0</v>
      </c>
      <c r="Z30" s="165">
        <v>0</v>
      </c>
      <c r="AA30" s="165">
        <v>0</v>
      </c>
      <c r="AB30" s="165">
        <v>2</v>
      </c>
      <c r="AC30" s="166">
        <f t="shared" si="6"/>
        <v>1.9044700859999999</v>
      </c>
    </row>
    <row r="31" spans="1:32" x14ac:dyDescent="0.25">
      <c r="A31" s="163" t="s">
        <v>165</v>
      </c>
      <c r="B31" s="168" t="s">
        <v>164</v>
      </c>
      <c r="C31" s="165">
        <v>0</v>
      </c>
      <c r="D31" s="165">
        <v>0</v>
      </c>
      <c r="E31" s="170">
        <f t="shared" si="7"/>
        <v>0</v>
      </c>
      <c r="F31" s="165">
        <f t="shared" si="2"/>
        <v>0</v>
      </c>
      <c r="G31" s="170">
        <v>0</v>
      </c>
      <c r="H31" s="165" t="s">
        <v>526</v>
      </c>
      <c r="I31" s="170">
        <v>0</v>
      </c>
      <c r="J31" s="170">
        <v>0</v>
      </c>
      <c r="K31" s="170">
        <v>0</v>
      </c>
      <c r="L31" s="165" t="s">
        <v>526</v>
      </c>
      <c r="M31" s="170">
        <v>0</v>
      </c>
      <c r="N31" s="170">
        <v>0</v>
      </c>
      <c r="O31" s="170">
        <v>0</v>
      </c>
      <c r="P31" s="165">
        <v>0</v>
      </c>
      <c r="Q31" s="170">
        <v>0</v>
      </c>
      <c r="R31" s="165">
        <f t="shared" ref="R31:R64" si="9">D31</f>
        <v>0</v>
      </c>
      <c r="S31" s="170">
        <v>0</v>
      </c>
      <c r="T31" s="165">
        <v>0</v>
      </c>
      <c r="U31" s="170">
        <v>0</v>
      </c>
      <c r="V31" s="170">
        <v>0</v>
      </c>
      <c r="W31" s="170">
        <v>0</v>
      </c>
      <c r="X31" s="170">
        <v>0</v>
      </c>
      <c r="Y31" s="170">
        <v>0</v>
      </c>
      <c r="Z31" s="170">
        <v>0</v>
      </c>
      <c r="AA31" s="170">
        <v>0</v>
      </c>
      <c r="AB31" s="165">
        <v>0</v>
      </c>
      <c r="AC31" s="166">
        <f t="shared" si="6"/>
        <v>0</v>
      </c>
    </row>
    <row r="32" spans="1:32" ht="31.5" x14ac:dyDescent="0.25">
      <c r="A32" s="163" t="s">
        <v>163</v>
      </c>
      <c r="B32" s="168" t="s">
        <v>162</v>
      </c>
      <c r="C32" s="165">
        <v>0</v>
      </c>
      <c r="D32" s="165">
        <v>0</v>
      </c>
      <c r="E32" s="170">
        <f t="shared" si="7"/>
        <v>0</v>
      </c>
      <c r="F32" s="165">
        <f t="shared" si="2"/>
        <v>0</v>
      </c>
      <c r="G32" s="170">
        <v>0</v>
      </c>
      <c r="H32" s="165" t="s">
        <v>526</v>
      </c>
      <c r="I32" s="170">
        <v>0</v>
      </c>
      <c r="J32" s="170">
        <v>0</v>
      </c>
      <c r="K32" s="170">
        <v>0</v>
      </c>
      <c r="L32" s="165" t="s">
        <v>526</v>
      </c>
      <c r="M32" s="170">
        <v>0</v>
      </c>
      <c r="N32" s="170">
        <v>0</v>
      </c>
      <c r="O32" s="170">
        <v>0</v>
      </c>
      <c r="P32" s="165">
        <v>0</v>
      </c>
      <c r="Q32" s="170">
        <v>0</v>
      </c>
      <c r="R32" s="165">
        <f t="shared" si="9"/>
        <v>0</v>
      </c>
      <c r="S32" s="170">
        <v>0</v>
      </c>
      <c r="T32" s="165">
        <v>0</v>
      </c>
      <c r="U32" s="170">
        <v>0</v>
      </c>
      <c r="V32" s="170">
        <v>0</v>
      </c>
      <c r="W32" s="170">
        <v>0</v>
      </c>
      <c r="X32" s="170">
        <v>0</v>
      </c>
      <c r="Y32" s="170">
        <v>0</v>
      </c>
      <c r="Z32" s="170">
        <v>0</v>
      </c>
      <c r="AA32" s="170">
        <v>0</v>
      </c>
      <c r="AB32" s="165">
        <v>0</v>
      </c>
      <c r="AC32" s="166">
        <f t="shared" si="6"/>
        <v>0</v>
      </c>
    </row>
    <row r="33" spans="1:29" x14ac:dyDescent="0.25">
      <c r="A33" s="163" t="s">
        <v>161</v>
      </c>
      <c r="B33" s="168" t="s">
        <v>160</v>
      </c>
      <c r="C33" s="165">
        <v>2</v>
      </c>
      <c r="D33" s="165">
        <v>1.9044700859999999</v>
      </c>
      <c r="E33" s="170">
        <f t="shared" si="7"/>
        <v>2</v>
      </c>
      <c r="F33" s="165">
        <f t="shared" si="2"/>
        <v>0</v>
      </c>
      <c r="G33" s="170">
        <v>0</v>
      </c>
      <c r="H33" s="165" t="s">
        <v>526</v>
      </c>
      <c r="I33" s="170">
        <v>0</v>
      </c>
      <c r="J33" s="170">
        <v>0</v>
      </c>
      <c r="K33" s="170">
        <v>0</v>
      </c>
      <c r="L33" s="165" t="s">
        <v>526</v>
      </c>
      <c r="M33" s="170">
        <v>0</v>
      </c>
      <c r="N33" s="170">
        <v>0</v>
      </c>
      <c r="O33" s="170">
        <v>0</v>
      </c>
      <c r="P33" s="165">
        <v>2</v>
      </c>
      <c r="Q33" s="170">
        <v>0</v>
      </c>
      <c r="R33" s="165">
        <f t="shared" si="9"/>
        <v>1.9044700859999999</v>
      </c>
      <c r="S33" s="170">
        <v>0</v>
      </c>
      <c r="T33" s="165">
        <v>0</v>
      </c>
      <c r="U33" s="170">
        <v>0</v>
      </c>
      <c r="V33" s="170">
        <v>0</v>
      </c>
      <c r="W33" s="170">
        <v>0</v>
      </c>
      <c r="X33" s="170">
        <v>0</v>
      </c>
      <c r="Y33" s="170">
        <v>0</v>
      </c>
      <c r="Z33" s="170">
        <v>0</v>
      </c>
      <c r="AA33" s="170">
        <v>0</v>
      </c>
      <c r="AB33" s="165">
        <v>2</v>
      </c>
      <c r="AC33" s="166">
        <f t="shared" si="6"/>
        <v>1.9044700859999999</v>
      </c>
    </row>
    <row r="34" spans="1:29" x14ac:dyDescent="0.25">
      <c r="A34" s="163" t="s">
        <v>159</v>
      </c>
      <c r="B34" s="168" t="s">
        <v>158</v>
      </c>
      <c r="C34" s="165">
        <v>0</v>
      </c>
      <c r="D34" s="165">
        <v>0</v>
      </c>
      <c r="E34" s="170">
        <f t="shared" si="7"/>
        <v>0</v>
      </c>
      <c r="F34" s="165">
        <f t="shared" si="2"/>
        <v>0</v>
      </c>
      <c r="G34" s="170">
        <v>0</v>
      </c>
      <c r="H34" s="165" t="s">
        <v>526</v>
      </c>
      <c r="I34" s="170">
        <v>0</v>
      </c>
      <c r="J34" s="170">
        <v>0</v>
      </c>
      <c r="K34" s="170">
        <v>0</v>
      </c>
      <c r="L34" s="165" t="s">
        <v>526</v>
      </c>
      <c r="M34" s="170">
        <v>0</v>
      </c>
      <c r="N34" s="170">
        <v>0</v>
      </c>
      <c r="O34" s="170">
        <v>0</v>
      </c>
      <c r="P34" s="165">
        <v>0</v>
      </c>
      <c r="Q34" s="170">
        <v>0</v>
      </c>
      <c r="R34" s="165">
        <f t="shared" si="9"/>
        <v>0</v>
      </c>
      <c r="S34" s="170">
        <v>0</v>
      </c>
      <c r="T34" s="165">
        <v>0</v>
      </c>
      <c r="U34" s="170">
        <v>0</v>
      </c>
      <c r="V34" s="170">
        <v>0</v>
      </c>
      <c r="W34" s="170">
        <v>0</v>
      </c>
      <c r="X34" s="170">
        <v>0</v>
      </c>
      <c r="Y34" s="170">
        <v>0</v>
      </c>
      <c r="Z34" s="170">
        <v>0</v>
      </c>
      <c r="AA34" s="170">
        <v>0</v>
      </c>
      <c r="AB34" s="165">
        <v>0</v>
      </c>
      <c r="AC34" s="166">
        <f t="shared" si="6"/>
        <v>0</v>
      </c>
    </row>
    <row r="35" spans="1:29" ht="31.5" x14ac:dyDescent="0.25">
      <c r="A35" s="163" t="s">
        <v>60</v>
      </c>
      <c r="B35" s="164" t="s">
        <v>157</v>
      </c>
      <c r="C35" s="165">
        <v>0</v>
      </c>
      <c r="D35" s="165">
        <v>0</v>
      </c>
      <c r="E35" s="171">
        <f t="shared" si="7"/>
        <v>0</v>
      </c>
      <c r="F35" s="165">
        <f t="shared" si="2"/>
        <v>0</v>
      </c>
      <c r="G35" s="165">
        <v>0</v>
      </c>
      <c r="H35" s="165" t="s">
        <v>526</v>
      </c>
      <c r="I35" s="165">
        <v>0</v>
      </c>
      <c r="J35" s="165">
        <v>0</v>
      </c>
      <c r="K35" s="165">
        <v>0</v>
      </c>
      <c r="L35" s="165" t="s">
        <v>526</v>
      </c>
      <c r="M35" s="165">
        <v>0</v>
      </c>
      <c r="N35" s="165">
        <v>0</v>
      </c>
      <c r="O35" s="165">
        <v>0</v>
      </c>
      <c r="P35" s="165">
        <v>0</v>
      </c>
      <c r="Q35" s="165">
        <v>0</v>
      </c>
      <c r="R35" s="165">
        <f t="shared" si="9"/>
        <v>0</v>
      </c>
      <c r="S35" s="165">
        <v>0</v>
      </c>
      <c r="T35" s="165">
        <v>0</v>
      </c>
      <c r="U35" s="165">
        <v>0</v>
      </c>
      <c r="V35" s="165">
        <v>0</v>
      </c>
      <c r="W35" s="165">
        <v>0</v>
      </c>
      <c r="X35" s="170">
        <v>0</v>
      </c>
      <c r="Y35" s="165">
        <v>0</v>
      </c>
      <c r="Z35" s="165">
        <v>0</v>
      </c>
      <c r="AA35" s="165">
        <v>0</v>
      </c>
      <c r="AB35" s="165">
        <v>0</v>
      </c>
      <c r="AC35" s="166">
        <f t="shared" si="6"/>
        <v>0</v>
      </c>
    </row>
    <row r="36" spans="1:29" ht="31.5" x14ac:dyDescent="0.25">
      <c r="A36" s="167" t="s">
        <v>156</v>
      </c>
      <c r="B36" s="172" t="s">
        <v>155</v>
      </c>
      <c r="C36" s="165">
        <v>0</v>
      </c>
      <c r="D36" s="165">
        <v>0</v>
      </c>
      <c r="E36" s="170">
        <f t="shared" si="7"/>
        <v>0</v>
      </c>
      <c r="F36" s="165">
        <f t="shared" si="2"/>
        <v>0</v>
      </c>
      <c r="G36" s="170">
        <v>0</v>
      </c>
      <c r="H36" s="165" t="s">
        <v>526</v>
      </c>
      <c r="I36" s="170">
        <v>0</v>
      </c>
      <c r="J36" s="170">
        <v>0</v>
      </c>
      <c r="K36" s="170">
        <v>0</v>
      </c>
      <c r="L36" s="165" t="s">
        <v>526</v>
      </c>
      <c r="M36" s="170">
        <v>0</v>
      </c>
      <c r="N36" s="170">
        <v>0</v>
      </c>
      <c r="O36" s="170">
        <v>0</v>
      </c>
      <c r="P36" s="165">
        <v>0</v>
      </c>
      <c r="Q36" s="170">
        <v>0</v>
      </c>
      <c r="R36" s="165">
        <f t="shared" si="9"/>
        <v>0</v>
      </c>
      <c r="S36" s="170">
        <v>0</v>
      </c>
      <c r="T36" s="165">
        <v>0</v>
      </c>
      <c r="U36" s="170">
        <v>0</v>
      </c>
      <c r="V36" s="170">
        <v>0</v>
      </c>
      <c r="W36" s="170">
        <v>0</v>
      </c>
      <c r="X36" s="170">
        <v>0</v>
      </c>
      <c r="Y36" s="170">
        <v>0</v>
      </c>
      <c r="Z36" s="170">
        <v>0</v>
      </c>
      <c r="AA36" s="170">
        <v>0</v>
      </c>
      <c r="AB36" s="165">
        <v>0</v>
      </c>
      <c r="AC36" s="166">
        <f t="shared" si="6"/>
        <v>0</v>
      </c>
    </row>
    <row r="37" spans="1:29" x14ac:dyDescent="0.25">
      <c r="A37" s="167" t="s">
        <v>154</v>
      </c>
      <c r="B37" s="172" t="s">
        <v>144</v>
      </c>
      <c r="C37" s="165">
        <v>0</v>
      </c>
      <c r="D37" s="165">
        <v>0</v>
      </c>
      <c r="E37" s="170">
        <f t="shared" si="7"/>
        <v>0</v>
      </c>
      <c r="F37" s="165">
        <f t="shared" si="2"/>
        <v>0</v>
      </c>
      <c r="G37" s="170">
        <v>0</v>
      </c>
      <c r="H37" s="165" t="s">
        <v>526</v>
      </c>
      <c r="I37" s="170">
        <v>0</v>
      </c>
      <c r="J37" s="170">
        <v>0</v>
      </c>
      <c r="K37" s="170">
        <v>0</v>
      </c>
      <c r="L37" s="165" t="s">
        <v>526</v>
      </c>
      <c r="M37" s="170">
        <v>0</v>
      </c>
      <c r="N37" s="170">
        <v>0</v>
      </c>
      <c r="O37" s="170">
        <v>0</v>
      </c>
      <c r="P37" s="165">
        <v>0</v>
      </c>
      <c r="Q37" s="170">
        <v>0</v>
      </c>
      <c r="R37" s="165">
        <f t="shared" si="9"/>
        <v>0</v>
      </c>
      <c r="S37" s="170">
        <v>0</v>
      </c>
      <c r="T37" s="165">
        <v>0</v>
      </c>
      <c r="U37" s="170">
        <v>0</v>
      </c>
      <c r="V37" s="170">
        <v>0</v>
      </c>
      <c r="W37" s="170">
        <v>0</v>
      </c>
      <c r="X37" s="170">
        <v>0</v>
      </c>
      <c r="Y37" s="170">
        <v>0</v>
      </c>
      <c r="Z37" s="170">
        <v>0</v>
      </c>
      <c r="AA37" s="170">
        <v>0</v>
      </c>
      <c r="AB37" s="165">
        <v>0</v>
      </c>
      <c r="AC37" s="166">
        <f t="shared" si="6"/>
        <v>0</v>
      </c>
    </row>
    <row r="38" spans="1:29" x14ac:dyDescent="0.25">
      <c r="A38" s="167" t="s">
        <v>153</v>
      </c>
      <c r="B38" s="172" t="s">
        <v>142</v>
      </c>
      <c r="C38" s="165">
        <v>0</v>
      </c>
      <c r="D38" s="165">
        <v>0</v>
      </c>
      <c r="E38" s="170">
        <f t="shared" si="7"/>
        <v>0</v>
      </c>
      <c r="F38" s="165">
        <f t="shared" si="2"/>
        <v>0</v>
      </c>
      <c r="G38" s="170">
        <v>0</v>
      </c>
      <c r="H38" s="165" t="s">
        <v>526</v>
      </c>
      <c r="I38" s="170">
        <v>0</v>
      </c>
      <c r="J38" s="170">
        <v>0</v>
      </c>
      <c r="K38" s="170">
        <v>0</v>
      </c>
      <c r="L38" s="165" t="s">
        <v>526</v>
      </c>
      <c r="M38" s="170">
        <v>0</v>
      </c>
      <c r="N38" s="170">
        <v>0</v>
      </c>
      <c r="O38" s="170">
        <v>0</v>
      </c>
      <c r="P38" s="165">
        <v>0</v>
      </c>
      <c r="Q38" s="170">
        <v>0</v>
      </c>
      <c r="R38" s="165">
        <f t="shared" si="9"/>
        <v>0</v>
      </c>
      <c r="S38" s="170">
        <v>0</v>
      </c>
      <c r="T38" s="165">
        <v>0</v>
      </c>
      <c r="U38" s="170">
        <v>0</v>
      </c>
      <c r="V38" s="170">
        <v>0</v>
      </c>
      <c r="W38" s="170">
        <v>0</v>
      </c>
      <c r="X38" s="170">
        <v>0</v>
      </c>
      <c r="Y38" s="170">
        <v>0</v>
      </c>
      <c r="Z38" s="170">
        <v>0</v>
      </c>
      <c r="AA38" s="170">
        <v>0</v>
      </c>
      <c r="AB38" s="165">
        <v>0</v>
      </c>
      <c r="AC38" s="166">
        <f t="shared" si="6"/>
        <v>0</v>
      </c>
    </row>
    <row r="39" spans="1:29" ht="31.5" x14ac:dyDescent="0.25">
      <c r="A39" s="167" t="s">
        <v>152</v>
      </c>
      <c r="B39" s="168" t="s">
        <v>140</v>
      </c>
      <c r="C39" s="165">
        <v>0</v>
      </c>
      <c r="D39" s="165">
        <v>0</v>
      </c>
      <c r="E39" s="170">
        <f t="shared" si="7"/>
        <v>0</v>
      </c>
      <c r="F39" s="165">
        <f t="shared" si="2"/>
        <v>0</v>
      </c>
      <c r="G39" s="170">
        <v>0</v>
      </c>
      <c r="H39" s="165" t="s">
        <v>526</v>
      </c>
      <c r="I39" s="170">
        <v>0</v>
      </c>
      <c r="J39" s="170">
        <v>0</v>
      </c>
      <c r="K39" s="170">
        <v>0</v>
      </c>
      <c r="L39" s="165" t="s">
        <v>526</v>
      </c>
      <c r="M39" s="170">
        <v>0</v>
      </c>
      <c r="N39" s="170">
        <v>0</v>
      </c>
      <c r="O39" s="170">
        <v>0</v>
      </c>
      <c r="P39" s="165">
        <v>0</v>
      </c>
      <c r="Q39" s="170">
        <v>0</v>
      </c>
      <c r="R39" s="165">
        <f t="shared" si="9"/>
        <v>0</v>
      </c>
      <c r="S39" s="170">
        <v>0</v>
      </c>
      <c r="T39" s="165">
        <v>0</v>
      </c>
      <c r="U39" s="170">
        <v>0</v>
      </c>
      <c r="V39" s="170">
        <v>0</v>
      </c>
      <c r="W39" s="170">
        <v>0</v>
      </c>
      <c r="X39" s="170">
        <v>0</v>
      </c>
      <c r="Y39" s="170">
        <v>0</v>
      </c>
      <c r="Z39" s="170">
        <v>0</v>
      </c>
      <c r="AA39" s="170">
        <v>0</v>
      </c>
      <c r="AB39" s="165">
        <v>0</v>
      </c>
      <c r="AC39" s="166">
        <f t="shared" si="6"/>
        <v>0</v>
      </c>
    </row>
    <row r="40" spans="1:29" ht="31.5" x14ac:dyDescent="0.25">
      <c r="A40" s="167" t="s">
        <v>151</v>
      </c>
      <c r="B40" s="168" t="s">
        <v>138</v>
      </c>
      <c r="C40" s="165">
        <v>0</v>
      </c>
      <c r="D40" s="165">
        <v>0</v>
      </c>
      <c r="E40" s="170">
        <f t="shared" si="7"/>
        <v>0</v>
      </c>
      <c r="F40" s="165">
        <f t="shared" si="2"/>
        <v>0</v>
      </c>
      <c r="G40" s="170">
        <v>0</v>
      </c>
      <c r="H40" s="165" t="s">
        <v>526</v>
      </c>
      <c r="I40" s="170">
        <v>0</v>
      </c>
      <c r="J40" s="170">
        <v>0</v>
      </c>
      <c r="K40" s="170">
        <v>0</v>
      </c>
      <c r="L40" s="165" t="s">
        <v>526</v>
      </c>
      <c r="M40" s="170">
        <v>0</v>
      </c>
      <c r="N40" s="170">
        <v>0</v>
      </c>
      <c r="O40" s="170">
        <v>0</v>
      </c>
      <c r="P40" s="165">
        <v>0</v>
      </c>
      <c r="Q40" s="170">
        <v>0</v>
      </c>
      <c r="R40" s="165">
        <f t="shared" si="9"/>
        <v>0</v>
      </c>
      <c r="S40" s="170">
        <v>0</v>
      </c>
      <c r="T40" s="165">
        <v>0</v>
      </c>
      <c r="U40" s="170">
        <v>0</v>
      </c>
      <c r="V40" s="170">
        <v>0</v>
      </c>
      <c r="W40" s="170">
        <v>0</v>
      </c>
      <c r="X40" s="170">
        <v>0</v>
      </c>
      <c r="Y40" s="170">
        <v>0</v>
      </c>
      <c r="Z40" s="170">
        <v>0</v>
      </c>
      <c r="AA40" s="170">
        <v>0</v>
      </c>
      <c r="AB40" s="165">
        <v>0</v>
      </c>
      <c r="AC40" s="166">
        <f t="shared" si="6"/>
        <v>0</v>
      </c>
    </row>
    <row r="41" spans="1:29" x14ac:dyDescent="0.25">
      <c r="A41" s="167" t="s">
        <v>150</v>
      </c>
      <c r="B41" s="168" t="s">
        <v>136</v>
      </c>
      <c r="C41" s="165">
        <v>0</v>
      </c>
      <c r="D41" s="165">
        <v>0</v>
      </c>
      <c r="E41" s="170">
        <f t="shared" si="7"/>
        <v>0</v>
      </c>
      <c r="F41" s="165">
        <f t="shared" si="2"/>
        <v>0</v>
      </c>
      <c r="G41" s="170">
        <v>0</v>
      </c>
      <c r="H41" s="165" t="s">
        <v>526</v>
      </c>
      <c r="I41" s="170">
        <v>0</v>
      </c>
      <c r="J41" s="170">
        <v>0</v>
      </c>
      <c r="K41" s="170">
        <v>0</v>
      </c>
      <c r="L41" s="165" t="s">
        <v>526</v>
      </c>
      <c r="M41" s="170">
        <v>0</v>
      </c>
      <c r="N41" s="170">
        <v>0</v>
      </c>
      <c r="O41" s="170">
        <v>0</v>
      </c>
      <c r="P41" s="165">
        <v>0</v>
      </c>
      <c r="Q41" s="170">
        <v>0</v>
      </c>
      <c r="R41" s="165">
        <f t="shared" si="9"/>
        <v>0</v>
      </c>
      <c r="S41" s="170">
        <v>0</v>
      </c>
      <c r="T41" s="165">
        <v>0</v>
      </c>
      <c r="U41" s="170">
        <v>0</v>
      </c>
      <c r="V41" s="170">
        <v>0</v>
      </c>
      <c r="W41" s="170">
        <v>0</v>
      </c>
      <c r="X41" s="170">
        <v>0</v>
      </c>
      <c r="Y41" s="170">
        <v>0</v>
      </c>
      <c r="Z41" s="170">
        <v>0</v>
      </c>
      <c r="AA41" s="170">
        <v>0</v>
      </c>
      <c r="AB41" s="165">
        <v>0</v>
      </c>
      <c r="AC41" s="166">
        <f t="shared" si="6"/>
        <v>0</v>
      </c>
    </row>
    <row r="42" spans="1:29" ht="18.75" x14ac:dyDescent="0.25">
      <c r="A42" s="167" t="s">
        <v>149</v>
      </c>
      <c r="B42" s="172" t="s">
        <v>544</v>
      </c>
      <c r="C42" s="165">
        <v>0</v>
      </c>
      <c r="D42" s="165">
        <v>0</v>
      </c>
      <c r="E42" s="170">
        <f t="shared" si="7"/>
        <v>0</v>
      </c>
      <c r="F42" s="165">
        <f t="shared" si="2"/>
        <v>0</v>
      </c>
      <c r="G42" s="170">
        <v>0</v>
      </c>
      <c r="H42" s="165" t="s">
        <v>526</v>
      </c>
      <c r="I42" s="170">
        <v>0</v>
      </c>
      <c r="J42" s="170">
        <v>0</v>
      </c>
      <c r="K42" s="170">
        <v>0</v>
      </c>
      <c r="L42" s="165" t="s">
        <v>526</v>
      </c>
      <c r="M42" s="170">
        <v>0</v>
      </c>
      <c r="N42" s="170">
        <v>0</v>
      </c>
      <c r="O42" s="170">
        <v>0</v>
      </c>
      <c r="P42" s="165">
        <v>0</v>
      </c>
      <c r="Q42" s="170">
        <v>0</v>
      </c>
      <c r="R42" s="165">
        <f t="shared" si="9"/>
        <v>0</v>
      </c>
      <c r="S42" s="170">
        <v>0</v>
      </c>
      <c r="T42" s="165">
        <v>0</v>
      </c>
      <c r="U42" s="170">
        <v>0</v>
      </c>
      <c r="V42" s="170">
        <v>0</v>
      </c>
      <c r="W42" s="170">
        <v>0</v>
      </c>
      <c r="X42" s="170">
        <v>0</v>
      </c>
      <c r="Y42" s="170">
        <v>0</v>
      </c>
      <c r="Z42" s="170">
        <v>0</v>
      </c>
      <c r="AA42" s="170">
        <v>0</v>
      </c>
      <c r="AB42" s="165">
        <v>0</v>
      </c>
      <c r="AC42" s="166">
        <f t="shared" si="6"/>
        <v>0</v>
      </c>
    </row>
    <row r="43" spans="1:29" x14ac:dyDescent="0.25">
      <c r="A43" s="163" t="s">
        <v>59</v>
      </c>
      <c r="B43" s="164" t="s">
        <v>148</v>
      </c>
      <c r="C43" s="165">
        <v>0</v>
      </c>
      <c r="D43" s="165">
        <v>0</v>
      </c>
      <c r="E43" s="171">
        <f t="shared" si="7"/>
        <v>0</v>
      </c>
      <c r="F43" s="165">
        <f t="shared" si="2"/>
        <v>0</v>
      </c>
      <c r="G43" s="165">
        <v>0</v>
      </c>
      <c r="H43" s="165" t="s">
        <v>526</v>
      </c>
      <c r="I43" s="165">
        <v>0</v>
      </c>
      <c r="J43" s="165">
        <v>0</v>
      </c>
      <c r="K43" s="165">
        <v>0</v>
      </c>
      <c r="L43" s="165" t="s">
        <v>526</v>
      </c>
      <c r="M43" s="165">
        <v>0</v>
      </c>
      <c r="N43" s="165">
        <v>0</v>
      </c>
      <c r="O43" s="165">
        <v>0</v>
      </c>
      <c r="P43" s="165">
        <v>0</v>
      </c>
      <c r="Q43" s="165">
        <v>0</v>
      </c>
      <c r="R43" s="165">
        <f t="shared" si="9"/>
        <v>0</v>
      </c>
      <c r="S43" s="165">
        <v>0</v>
      </c>
      <c r="T43" s="165">
        <v>0</v>
      </c>
      <c r="U43" s="165">
        <v>0</v>
      </c>
      <c r="V43" s="165">
        <v>0</v>
      </c>
      <c r="W43" s="165">
        <v>0</v>
      </c>
      <c r="X43" s="170">
        <v>0</v>
      </c>
      <c r="Y43" s="165">
        <v>0</v>
      </c>
      <c r="Z43" s="165">
        <v>0</v>
      </c>
      <c r="AA43" s="165">
        <v>0</v>
      </c>
      <c r="AB43" s="165">
        <v>0</v>
      </c>
      <c r="AC43" s="166">
        <f t="shared" si="6"/>
        <v>0</v>
      </c>
    </row>
    <row r="44" spans="1:29" x14ac:dyDescent="0.25">
      <c r="A44" s="167" t="s">
        <v>147</v>
      </c>
      <c r="B44" s="168" t="s">
        <v>146</v>
      </c>
      <c r="C44" s="165">
        <v>0</v>
      </c>
      <c r="D44" s="165">
        <v>0</v>
      </c>
      <c r="E44" s="170">
        <f t="shared" si="7"/>
        <v>0</v>
      </c>
      <c r="F44" s="165">
        <f t="shared" si="2"/>
        <v>0</v>
      </c>
      <c r="G44" s="170">
        <v>0</v>
      </c>
      <c r="H44" s="165" t="s">
        <v>526</v>
      </c>
      <c r="I44" s="170">
        <v>0</v>
      </c>
      <c r="J44" s="170">
        <v>0</v>
      </c>
      <c r="K44" s="170">
        <v>0</v>
      </c>
      <c r="L44" s="165" t="s">
        <v>526</v>
      </c>
      <c r="M44" s="170">
        <v>0</v>
      </c>
      <c r="N44" s="170">
        <v>0</v>
      </c>
      <c r="O44" s="170">
        <v>0</v>
      </c>
      <c r="P44" s="165">
        <v>0</v>
      </c>
      <c r="Q44" s="170">
        <v>0</v>
      </c>
      <c r="R44" s="165">
        <f t="shared" si="9"/>
        <v>0</v>
      </c>
      <c r="S44" s="170">
        <v>0</v>
      </c>
      <c r="T44" s="165">
        <v>0</v>
      </c>
      <c r="U44" s="170">
        <v>0</v>
      </c>
      <c r="V44" s="170">
        <v>0</v>
      </c>
      <c r="W44" s="170">
        <v>0</v>
      </c>
      <c r="X44" s="170">
        <v>0</v>
      </c>
      <c r="Y44" s="170">
        <v>0</v>
      </c>
      <c r="Z44" s="170">
        <v>0</v>
      </c>
      <c r="AA44" s="170">
        <v>0</v>
      </c>
      <c r="AB44" s="165">
        <v>0</v>
      </c>
      <c r="AC44" s="166">
        <f t="shared" si="6"/>
        <v>0</v>
      </c>
    </row>
    <row r="45" spans="1:29" x14ac:dyDescent="0.25">
      <c r="A45" s="167" t="s">
        <v>145</v>
      </c>
      <c r="B45" s="168" t="s">
        <v>144</v>
      </c>
      <c r="C45" s="165">
        <v>0</v>
      </c>
      <c r="D45" s="165">
        <v>0</v>
      </c>
      <c r="E45" s="170">
        <f t="shared" si="7"/>
        <v>0</v>
      </c>
      <c r="F45" s="165">
        <f t="shared" si="2"/>
        <v>0</v>
      </c>
      <c r="G45" s="170">
        <v>0</v>
      </c>
      <c r="H45" s="165" t="s">
        <v>526</v>
      </c>
      <c r="I45" s="170">
        <v>0</v>
      </c>
      <c r="J45" s="170">
        <v>0</v>
      </c>
      <c r="K45" s="170">
        <v>0</v>
      </c>
      <c r="L45" s="165" t="s">
        <v>526</v>
      </c>
      <c r="M45" s="170">
        <v>0</v>
      </c>
      <c r="N45" s="170">
        <v>0</v>
      </c>
      <c r="O45" s="170">
        <v>0</v>
      </c>
      <c r="P45" s="165">
        <v>0</v>
      </c>
      <c r="Q45" s="170">
        <v>0</v>
      </c>
      <c r="R45" s="165">
        <f t="shared" si="9"/>
        <v>0</v>
      </c>
      <c r="S45" s="170">
        <v>0</v>
      </c>
      <c r="T45" s="165">
        <v>0</v>
      </c>
      <c r="U45" s="170">
        <v>0</v>
      </c>
      <c r="V45" s="170">
        <v>0</v>
      </c>
      <c r="W45" s="170">
        <v>0</v>
      </c>
      <c r="X45" s="170">
        <v>0</v>
      </c>
      <c r="Y45" s="170">
        <v>0</v>
      </c>
      <c r="Z45" s="170">
        <v>0</v>
      </c>
      <c r="AA45" s="170">
        <v>0</v>
      </c>
      <c r="AB45" s="165">
        <v>0</v>
      </c>
      <c r="AC45" s="166">
        <f t="shared" si="6"/>
        <v>0</v>
      </c>
    </row>
    <row r="46" spans="1:29" x14ac:dyDescent="0.25">
      <c r="A46" s="167" t="s">
        <v>143</v>
      </c>
      <c r="B46" s="168" t="s">
        <v>142</v>
      </c>
      <c r="C46" s="165">
        <v>0</v>
      </c>
      <c r="D46" s="165">
        <v>0</v>
      </c>
      <c r="E46" s="170">
        <f t="shared" si="7"/>
        <v>0</v>
      </c>
      <c r="F46" s="165">
        <f t="shared" si="2"/>
        <v>0</v>
      </c>
      <c r="G46" s="170">
        <v>0</v>
      </c>
      <c r="H46" s="165" t="s">
        <v>526</v>
      </c>
      <c r="I46" s="170">
        <v>0</v>
      </c>
      <c r="J46" s="170">
        <v>0</v>
      </c>
      <c r="K46" s="170">
        <v>0</v>
      </c>
      <c r="L46" s="165" t="s">
        <v>526</v>
      </c>
      <c r="M46" s="170">
        <v>0</v>
      </c>
      <c r="N46" s="170">
        <v>0</v>
      </c>
      <c r="O46" s="170">
        <v>0</v>
      </c>
      <c r="P46" s="165">
        <v>0</v>
      </c>
      <c r="Q46" s="170">
        <v>0</v>
      </c>
      <c r="R46" s="165">
        <f t="shared" si="9"/>
        <v>0</v>
      </c>
      <c r="S46" s="170">
        <v>0</v>
      </c>
      <c r="T46" s="165">
        <v>0</v>
      </c>
      <c r="U46" s="170">
        <v>0</v>
      </c>
      <c r="V46" s="170">
        <v>0</v>
      </c>
      <c r="W46" s="170">
        <v>0</v>
      </c>
      <c r="X46" s="170">
        <v>0</v>
      </c>
      <c r="Y46" s="170">
        <v>0</v>
      </c>
      <c r="Z46" s="170">
        <v>0</v>
      </c>
      <c r="AA46" s="170">
        <v>0</v>
      </c>
      <c r="AB46" s="165">
        <v>0</v>
      </c>
      <c r="AC46" s="166">
        <f t="shared" si="6"/>
        <v>0</v>
      </c>
    </row>
    <row r="47" spans="1:29" ht="31.5" x14ac:dyDescent="0.25">
      <c r="A47" s="167" t="s">
        <v>141</v>
      </c>
      <c r="B47" s="168" t="s">
        <v>140</v>
      </c>
      <c r="C47" s="165">
        <v>0</v>
      </c>
      <c r="D47" s="165">
        <v>0</v>
      </c>
      <c r="E47" s="170">
        <f t="shared" si="7"/>
        <v>0</v>
      </c>
      <c r="F47" s="165">
        <f t="shared" si="2"/>
        <v>0</v>
      </c>
      <c r="G47" s="170">
        <v>0</v>
      </c>
      <c r="H47" s="165" t="s">
        <v>526</v>
      </c>
      <c r="I47" s="170">
        <v>0</v>
      </c>
      <c r="J47" s="170">
        <v>0</v>
      </c>
      <c r="K47" s="170">
        <v>0</v>
      </c>
      <c r="L47" s="165" t="s">
        <v>526</v>
      </c>
      <c r="M47" s="170">
        <v>0</v>
      </c>
      <c r="N47" s="170">
        <v>0</v>
      </c>
      <c r="O47" s="170">
        <v>0</v>
      </c>
      <c r="P47" s="165">
        <v>0</v>
      </c>
      <c r="Q47" s="170">
        <v>0</v>
      </c>
      <c r="R47" s="165">
        <f t="shared" si="9"/>
        <v>0</v>
      </c>
      <c r="S47" s="170">
        <v>0</v>
      </c>
      <c r="T47" s="165">
        <v>0</v>
      </c>
      <c r="U47" s="170">
        <v>0</v>
      </c>
      <c r="V47" s="170">
        <v>0</v>
      </c>
      <c r="W47" s="170">
        <v>0</v>
      </c>
      <c r="X47" s="170">
        <v>0</v>
      </c>
      <c r="Y47" s="170">
        <v>0</v>
      </c>
      <c r="Z47" s="170">
        <v>0</v>
      </c>
      <c r="AA47" s="170">
        <v>0</v>
      </c>
      <c r="AB47" s="165">
        <v>0</v>
      </c>
      <c r="AC47" s="166">
        <f t="shared" si="6"/>
        <v>0</v>
      </c>
    </row>
    <row r="48" spans="1:29" ht="31.5" x14ac:dyDescent="0.25">
      <c r="A48" s="167" t="s">
        <v>139</v>
      </c>
      <c r="B48" s="168" t="s">
        <v>138</v>
      </c>
      <c r="C48" s="165">
        <v>0</v>
      </c>
      <c r="D48" s="165">
        <v>0</v>
      </c>
      <c r="E48" s="170">
        <f t="shared" si="7"/>
        <v>0</v>
      </c>
      <c r="F48" s="165">
        <f t="shared" si="2"/>
        <v>0</v>
      </c>
      <c r="G48" s="170">
        <v>0</v>
      </c>
      <c r="H48" s="165" t="s">
        <v>526</v>
      </c>
      <c r="I48" s="170">
        <v>0</v>
      </c>
      <c r="J48" s="170">
        <v>0</v>
      </c>
      <c r="K48" s="170">
        <v>0</v>
      </c>
      <c r="L48" s="165" t="s">
        <v>526</v>
      </c>
      <c r="M48" s="170">
        <v>0</v>
      </c>
      <c r="N48" s="170">
        <v>0</v>
      </c>
      <c r="O48" s="170">
        <v>0</v>
      </c>
      <c r="P48" s="165">
        <v>0</v>
      </c>
      <c r="Q48" s="170">
        <v>0</v>
      </c>
      <c r="R48" s="165">
        <f t="shared" si="9"/>
        <v>0</v>
      </c>
      <c r="S48" s="170">
        <v>0</v>
      </c>
      <c r="T48" s="165">
        <v>0</v>
      </c>
      <c r="U48" s="170">
        <v>0</v>
      </c>
      <c r="V48" s="170">
        <v>0</v>
      </c>
      <c r="W48" s="170">
        <v>0</v>
      </c>
      <c r="X48" s="170">
        <v>0</v>
      </c>
      <c r="Y48" s="170">
        <v>0</v>
      </c>
      <c r="Z48" s="170">
        <v>0</v>
      </c>
      <c r="AA48" s="170">
        <v>0</v>
      </c>
      <c r="AB48" s="165">
        <v>0</v>
      </c>
      <c r="AC48" s="166">
        <f t="shared" si="6"/>
        <v>0</v>
      </c>
    </row>
    <row r="49" spans="1:29" x14ac:dyDescent="0.25">
      <c r="A49" s="167" t="s">
        <v>137</v>
      </c>
      <c r="B49" s="168" t="s">
        <v>136</v>
      </c>
      <c r="C49" s="165">
        <v>0</v>
      </c>
      <c r="D49" s="165">
        <v>0</v>
      </c>
      <c r="E49" s="170">
        <f t="shared" si="7"/>
        <v>0</v>
      </c>
      <c r="F49" s="165">
        <f t="shared" si="2"/>
        <v>0</v>
      </c>
      <c r="G49" s="170">
        <v>0</v>
      </c>
      <c r="H49" s="165" t="s">
        <v>526</v>
      </c>
      <c r="I49" s="170">
        <v>0</v>
      </c>
      <c r="J49" s="170">
        <v>0</v>
      </c>
      <c r="K49" s="170">
        <v>0</v>
      </c>
      <c r="L49" s="165" t="s">
        <v>526</v>
      </c>
      <c r="M49" s="170">
        <v>0</v>
      </c>
      <c r="N49" s="170">
        <v>0</v>
      </c>
      <c r="O49" s="170">
        <v>0</v>
      </c>
      <c r="P49" s="165">
        <v>0</v>
      </c>
      <c r="Q49" s="170">
        <v>0</v>
      </c>
      <c r="R49" s="165">
        <f t="shared" si="9"/>
        <v>0</v>
      </c>
      <c r="S49" s="170">
        <v>0</v>
      </c>
      <c r="T49" s="165">
        <v>0</v>
      </c>
      <c r="U49" s="170">
        <v>0</v>
      </c>
      <c r="V49" s="170">
        <v>0</v>
      </c>
      <c r="W49" s="170">
        <v>0</v>
      </c>
      <c r="X49" s="170">
        <v>0</v>
      </c>
      <c r="Y49" s="170">
        <v>0</v>
      </c>
      <c r="Z49" s="170">
        <v>0</v>
      </c>
      <c r="AA49" s="170">
        <v>0</v>
      </c>
      <c r="AB49" s="165">
        <v>0</v>
      </c>
      <c r="AC49" s="166">
        <f t="shared" si="6"/>
        <v>0</v>
      </c>
    </row>
    <row r="50" spans="1:29" ht="18.75" x14ac:dyDescent="0.25">
      <c r="A50" s="167" t="s">
        <v>135</v>
      </c>
      <c r="B50" s="172" t="s">
        <v>544</v>
      </c>
      <c r="C50" s="165">
        <v>0</v>
      </c>
      <c r="D50" s="165">
        <v>0</v>
      </c>
      <c r="E50" s="170">
        <f t="shared" si="7"/>
        <v>0</v>
      </c>
      <c r="F50" s="165">
        <f t="shared" si="2"/>
        <v>0</v>
      </c>
      <c r="G50" s="170">
        <v>0</v>
      </c>
      <c r="H50" s="165" t="s">
        <v>526</v>
      </c>
      <c r="I50" s="170">
        <v>0</v>
      </c>
      <c r="J50" s="170">
        <v>0</v>
      </c>
      <c r="K50" s="170">
        <v>0</v>
      </c>
      <c r="L50" s="165" t="s">
        <v>526</v>
      </c>
      <c r="M50" s="170">
        <v>0</v>
      </c>
      <c r="N50" s="170">
        <v>0</v>
      </c>
      <c r="O50" s="170">
        <v>0</v>
      </c>
      <c r="P50" s="165">
        <v>0</v>
      </c>
      <c r="Q50" s="170">
        <v>0</v>
      </c>
      <c r="R50" s="165">
        <f t="shared" si="9"/>
        <v>0</v>
      </c>
      <c r="S50" s="170">
        <v>0</v>
      </c>
      <c r="T50" s="165">
        <v>0</v>
      </c>
      <c r="U50" s="170">
        <v>0</v>
      </c>
      <c r="V50" s="170">
        <v>0</v>
      </c>
      <c r="W50" s="170">
        <v>0</v>
      </c>
      <c r="X50" s="170">
        <v>0</v>
      </c>
      <c r="Y50" s="170">
        <v>0</v>
      </c>
      <c r="Z50" s="170">
        <v>0</v>
      </c>
      <c r="AA50" s="170">
        <v>0</v>
      </c>
      <c r="AB50" s="165">
        <v>0</v>
      </c>
      <c r="AC50" s="166">
        <f t="shared" si="6"/>
        <v>0</v>
      </c>
    </row>
    <row r="51" spans="1:29" ht="35.25" customHeight="1" x14ac:dyDescent="0.25">
      <c r="A51" s="163" t="s">
        <v>57</v>
      </c>
      <c r="B51" s="164" t="s">
        <v>134</v>
      </c>
      <c r="C51" s="165">
        <v>0</v>
      </c>
      <c r="D51" s="165">
        <v>0</v>
      </c>
      <c r="E51" s="171">
        <f t="shared" si="7"/>
        <v>0</v>
      </c>
      <c r="F51" s="165">
        <f t="shared" si="2"/>
        <v>0</v>
      </c>
      <c r="G51" s="165">
        <v>0</v>
      </c>
      <c r="H51" s="165" t="s">
        <v>526</v>
      </c>
      <c r="I51" s="165">
        <v>0</v>
      </c>
      <c r="J51" s="165">
        <v>0</v>
      </c>
      <c r="K51" s="165">
        <v>0</v>
      </c>
      <c r="L51" s="165" t="s">
        <v>526</v>
      </c>
      <c r="M51" s="165">
        <v>0</v>
      </c>
      <c r="N51" s="165">
        <v>0</v>
      </c>
      <c r="O51" s="165">
        <v>0</v>
      </c>
      <c r="P51" s="165">
        <v>0</v>
      </c>
      <c r="Q51" s="165">
        <v>0</v>
      </c>
      <c r="R51" s="165">
        <f t="shared" si="9"/>
        <v>0</v>
      </c>
      <c r="S51" s="165">
        <v>0</v>
      </c>
      <c r="T51" s="165">
        <v>0</v>
      </c>
      <c r="U51" s="165">
        <v>0</v>
      </c>
      <c r="V51" s="165">
        <v>0</v>
      </c>
      <c r="W51" s="165">
        <v>0</v>
      </c>
      <c r="X51" s="170">
        <v>0</v>
      </c>
      <c r="Y51" s="165">
        <v>0</v>
      </c>
      <c r="Z51" s="165">
        <v>0</v>
      </c>
      <c r="AA51" s="165">
        <v>0</v>
      </c>
      <c r="AB51" s="165">
        <v>0</v>
      </c>
      <c r="AC51" s="166">
        <f t="shared" si="6"/>
        <v>0</v>
      </c>
    </row>
    <row r="52" spans="1:29" x14ac:dyDescent="0.25">
      <c r="A52" s="167" t="s">
        <v>133</v>
      </c>
      <c r="B52" s="168" t="s">
        <v>132</v>
      </c>
      <c r="C52" s="165">
        <v>2</v>
      </c>
      <c r="D52" s="165">
        <f>D33</f>
        <v>1.9044700859999999</v>
      </c>
      <c r="E52" s="170">
        <f t="shared" si="7"/>
        <v>2</v>
      </c>
      <c r="F52" s="165">
        <f t="shared" si="2"/>
        <v>0</v>
      </c>
      <c r="G52" s="170">
        <v>0</v>
      </c>
      <c r="H52" s="165" t="s">
        <v>526</v>
      </c>
      <c r="I52" s="170">
        <v>0</v>
      </c>
      <c r="J52" s="170">
        <v>0</v>
      </c>
      <c r="K52" s="170">
        <v>0</v>
      </c>
      <c r="L52" s="165" t="s">
        <v>526</v>
      </c>
      <c r="M52" s="170">
        <v>0</v>
      </c>
      <c r="N52" s="170">
        <v>0</v>
      </c>
      <c r="O52" s="170">
        <v>0</v>
      </c>
      <c r="P52" s="165">
        <v>2</v>
      </c>
      <c r="Q52" s="170">
        <v>0</v>
      </c>
      <c r="R52" s="165">
        <f t="shared" si="9"/>
        <v>1.9044700859999999</v>
      </c>
      <c r="S52" s="170">
        <v>4</v>
      </c>
      <c r="T52" s="165">
        <v>0</v>
      </c>
      <c r="U52" s="170">
        <v>0</v>
      </c>
      <c r="V52" s="170">
        <v>0</v>
      </c>
      <c r="W52" s="170">
        <v>0</v>
      </c>
      <c r="X52" s="170">
        <v>0</v>
      </c>
      <c r="Y52" s="170">
        <v>0</v>
      </c>
      <c r="Z52" s="170">
        <v>0</v>
      </c>
      <c r="AA52" s="170">
        <v>0</v>
      </c>
      <c r="AB52" s="165">
        <v>2</v>
      </c>
      <c r="AC52" s="166">
        <f t="shared" si="6"/>
        <v>1.9044700859999999</v>
      </c>
    </row>
    <row r="53" spans="1:29" x14ac:dyDescent="0.25">
      <c r="A53" s="167" t="s">
        <v>131</v>
      </c>
      <c r="B53" s="168" t="s">
        <v>125</v>
      </c>
      <c r="C53" s="165">
        <v>0</v>
      </c>
      <c r="D53" s="165">
        <v>0</v>
      </c>
      <c r="E53" s="170">
        <f t="shared" si="7"/>
        <v>0</v>
      </c>
      <c r="F53" s="165">
        <f t="shared" si="2"/>
        <v>0</v>
      </c>
      <c r="G53" s="170">
        <v>0</v>
      </c>
      <c r="H53" s="165" t="s">
        <v>526</v>
      </c>
      <c r="I53" s="170">
        <v>0</v>
      </c>
      <c r="J53" s="170">
        <v>0</v>
      </c>
      <c r="K53" s="170">
        <v>0</v>
      </c>
      <c r="L53" s="165" t="s">
        <v>526</v>
      </c>
      <c r="M53" s="170">
        <v>0</v>
      </c>
      <c r="N53" s="170">
        <v>0</v>
      </c>
      <c r="O53" s="170">
        <v>0</v>
      </c>
      <c r="P53" s="165">
        <v>0</v>
      </c>
      <c r="Q53" s="170">
        <v>0</v>
      </c>
      <c r="R53" s="165">
        <f t="shared" si="9"/>
        <v>0</v>
      </c>
      <c r="S53" s="170">
        <v>0</v>
      </c>
      <c r="T53" s="165">
        <v>0</v>
      </c>
      <c r="U53" s="170">
        <v>0</v>
      </c>
      <c r="V53" s="170">
        <v>0</v>
      </c>
      <c r="W53" s="170">
        <v>0</v>
      </c>
      <c r="X53" s="170">
        <v>0</v>
      </c>
      <c r="Y53" s="170">
        <v>0</v>
      </c>
      <c r="Z53" s="170">
        <v>0</v>
      </c>
      <c r="AA53" s="170">
        <v>0</v>
      </c>
      <c r="AB53" s="165">
        <v>0</v>
      </c>
      <c r="AC53" s="166">
        <f t="shared" si="6"/>
        <v>0</v>
      </c>
    </row>
    <row r="54" spans="1:29" x14ac:dyDescent="0.25">
      <c r="A54" s="167" t="s">
        <v>130</v>
      </c>
      <c r="B54" s="172" t="s">
        <v>124</v>
      </c>
      <c r="C54" s="165">
        <v>0</v>
      </c>
      <c r="D54" s="165">
        <v>0</v>
      </c>
      <c r="E54" s="170">
        <f t="shared" si="7"/>
        <v>0</v>
      </c>
      <c r="F54" s="165">
        <f t="shared" si="2"/>
        <v>0</v>
      </c>
      <c r="G54" s="170">
        <v>0</v>
      </c>
      <c r="H54" s="165" t="s">
        <v>526</v>
      </c>
      <c r="I54" s="170">
        <v>0</v>
      </c>
      <c r="J54" s="170">
        <v>0</v>
      </c>
      <c r="K54" s="170">
        <v>0</v>
      </c>
      <c r="L54" s="165" t="s">
        <v>526</v>
      </c>
      <c r="M54" s="170">
        <v>0</v>
      </c>
      <c r="N54" s="170">
        <v>0</v>
      </c>
      <c r="O54" s="170">
        <v>0</v>
      </c>
      <c r="P54" s="165">
        <v>0</v>
      </c>
      <c r="Q54" s="170">
        <v>0</v>
      </c>
      <c r="R54" s="165">
        <f t="shared" si="9"/>
        <v>0</v>
      </c>
      <c r="S54" s="170">
        <v>0</v>
      </c>
      <c r="T54" s="165">
        <v>0</v>
      </c>
      <c r="U54" s="170">
        <v>0</v>
      </c>
      <c r="V54" s="170">
        <v>0</v>
      </c>
      <c r="W54" s="170">
        <v>0</v>
      </c>
      <c r="X54" s="170">
        <v>0</v>
      </c>
      <c r="Y54" s="170">
        <v>0</v>
      </c>
      <c r="Z54" s="170">
        <v>0</v>
      </c>
      <c r="AA54" s="170">
        <v>0</v>
      </c>
      <c r="AB54" s="165">
        <v>0</v>
      </c>
      <c r="AC54" s="166">
        <f t="shared" si="6"/>
        <v>0</v>
      </c>
    </row>
    <row r="55" spans="1:29" x14ac:dyDescent="0.25">
      <c r="A55" s="167" t="s">
        <v>129</v>
      </c>
      <c r="B55" s="172" t="s">
        <v>123</v>
      </c>
      <c r="C55" s="165">
        <v>0</v>
      </c>
      <c r="D55" s="165">
        <v>0</v>
      </c>
      <c r="E55" s="170">
        <f t="shared" si="7"/>
        <v>0</v>
      </c>
      <c r="F55" s="165">
        <f t="shared" si="2"/>
        <v>0</v>
      </c>
      <c r="G55" s="170">
        <v>0</v>
      </c>
      <c r="H55" s="165" t="s">
        <v>526</v>
      </c>
      <c r="I55" s="170">
        <v>0</v>
      </c>
      <c r="J55" s="170">
        <v>0</v>
      </c>
      <c r="K55" s="170">
        <v>0</v>
      </c>
      <c r="L55" s="165" t="s">
        <v>526</v>
      </c>
      <c r="M55" s="170">
        <v>0</v>
      </c>
      <c r="N55" s="170">
        <v>0</v>
      </c>
      <c r="O55" s="170">
        <v>0</v>
      </c>
      <c r="P55" s="165">
        <v>0</v>
      </c>
      <c r="Q55" s="170">
        <v>0</v>
      </c>
      <c r="R55" s="165">
        <f t="shared" si="9"/>
        <v>0</v>
      </c>
      <c r="S55" s="170">
        <v>0</v>
      </c>
      <c r="T55" s="165">
        <v>0</v>
      </c>
      <c r="U55" s="170">
        <v>0</v>
      </c>
      <c r="V55" s="170">
        <v>0</v>
      </c>
      <c r="W55" s="170">
        <v>0</v>
      </c>
      <c r="X55" s="170">
        <v>0</v>
      </c>
      <c r="Y55" s="170">
        <v>0</v>
      </c>
      <c r="Z55" s="170">
        <v>0</v>
      </c>
      <c r="AA55" s="170">
        <v>0</v>
      </c>
      <c r="AB55" s="165">
        <v>0</v>
      </c>
      <c r="AC55" s="166">
        <f t="shared" si="6"/>
        <v>0</v>
      </c>
    </row>
    <row r="56" spans="1:29" x14ac:dyDescent="0.25">
      <c r="A56" s="167" t="s">
        <v>128</v>
      </c>
      <c r="B56" s="172" t="s">
        <v>122</v>
      </c>
      <c r="C56" s="165">
        <v>0</v>
      </c>
      <c r="D56" s="165">
        <v>0</v>
      </c>
      <c r="E56" s="170">
        <f t="shared" si="7"/>
        <v>0</v>
      </c>
      <c r="F56" s="165">
        <f t="shared" si="2"/>
        <v>0</v>
      </c>
      <c r="G56" s="170">
        <v>0</v>
      </c>
      <c r="H56" s="165" t="s">
        <v>526</v>
      </c>
      <c r="I56" s="170">
        <v>0</v>
      </c>
      <c r="J56" s="170">
        <v>0</v>
      </c>
      <c r="K56" s="170">
        <v>0</v>
      </c>
      <c r="L56" s="165" t="s">
        <v>526</v>
      </c>
      <c r="M56" s="170">
        <v>0</v>
      </c>
      <c r="N56" s="170">
        <v>0</v>
      </c>
      <c r="O56" s="170">
        <v>0</v>
      </c>
      <c r="P56" s="165">
        <v>0</v>
      </c>
      <c r="Q56" s="170">
        <v>0</v>
      </c>
      <c r="R56" s="165">
        <f t="shared" si="9"/>
        <v>0</v>
      </c>
      <c r="S56" s="170">
        <v>0</v>
      </c>
      <c r="T56" s="165">
        <v>0</v>
      </c>
      <c r="U56" s="170">
        <v>0</v>
      </c>
      <c r="V56" s="170">
        <v>0</v>
      </c>
      <c r="W56" s="170">
        <v>0</v>
      </c>
      <c r="X56" s="170">
        <v>0</v>
      </c>
      <c r="Y56" s="170">
        <v>0</v>
      </c>
      <c r="Z56" s="170">
        <v>0</v>
      </c>
      <c r="AA56" s="170">
        <v>0</v>
      </c>
      <c r="AB56" s="165">
        <v>0</v>
      </c>
      <c r="AC56" s="166">
        <f t="shared" si="6"/>
        <v>0</v>
      </c>
    </row>
    <row r="57" spans="1:29" ht="18.75" x14ac:dyDescent="0.25">
      <c r="A57" s="167" t="s">
        <v>127</v>
      </c>
      <c r="B57" s="172" t="s">
        <v>544</v>
      </c>
      <c r="C57" s="165">
        <v>0</v>
      </c>
      <c r="D57" s="165">
        <v>0</v>
      </c>
      <c r="E57" s="170">
        <f t="shared" si="7"/>
        <v>0</v>
      </c>
      <c r="F57" s="165">
        <f t="shared" si="2"/>
        <v>0</v>
      </c>
      <c r="G57" s="170">
        <v>0</v>
      </c>
      <c r="H57" s="165" t="s">
        <v>526</v>
      </c>
      <c r="I57" s="170">
        <v>0</v>
      </c>
      <c r="J57" s="170">
        <v>0</v>
      </c>
      <c r="K57" s="170">
        <v>0</v>
      </c>
      <c r="L57" s="165" t="s">
        <v>526</v>
      </c>
      <c r="M57" s="170">
        <v>0</v>
      </c>
      <c r="N57" s="170">
        <v>0</v>
      </c>
      <c r="O57" s="170">
        <v>0</v>
      </c>
      <c r="P57" s="165">
        <v>0</v>
      </c>
      <c r="Q57" s="170">
        <v>0</v>
      </c>
      <c r="R57" s="165">
        <f t="shared" si="9"/>
        <v>0</v>
      </c>
      <c r="S57" s="170">
        <v>0</v>
      </c>
      <c r="T57" s="165">
        <v>0</v>
      </c>
      <c r="U57" s="170">
        <v>0</v>
      </c>
      <c r="V57" s="170">
        <v>0</v>
      </c>
      <c r="W57" s="170">
        <v>0</v>
      </c>
      <c r="X57" s="170">
        <v>0</v>
      </c>
      <c r="Y57" s="170">
        <v>0</v>
      </c>
      <c r="Z57" s="170">
        <v>0</v>
      </c>
      <c r="AA57" s="170">
        <v>0</v>
      </c>
      <c r="AB57" s="165">
        <v>0</v>
      </c>
      <c r="AC57" s="166">
        <f t="shared" si="6"/>
        <v>0</v>
      </c>
    </row>
    <row r="58" spans="1:29" ht="36.75" customHeight="1" x14ac:dyDescent="0.25">
      <c r="A58" s="163" t="s">
        <v>56</v>
      </c>
      <c r="B58" s="173" t="s">
        <v>224</v>
      </c>
      <c r="C58" s="165">
        <v>0</v>
      </c>
      <c r="D58" s="165">
        <v>0</v>
      </c>
      <c r="E58" s="171">
        <f t="shared" si="7"/>
        <v>0</v>
      </c>
      <c r="F58" s="165">
        <f t="shared" si="2"/>
        <v>0</v>
      </c>
      <c r="G58" s="165">
        <v>0</v>
      </c>
      <c r="H58" s="165" t="s">
        <v>526</v>
      </c>
      <c r="I58" s="165">
        <v>0</v>
      </c>
      <c r="J58" s="165">
        <v>0</v>
      </c>
      <c r="K58" s="165">
        <v>0</v>
      </c>
      <c r="L58" s="165" t="s">
        <v>526</v>
      </c>
      <c r="M58" s="165">
        <v>0</v>
      </c>
      <c r="N58" s="165">
        <v>0</v>
      </c>
      <c r="O58" s="165">
        <v>0</v>
      </c>
      <c r="P58" s="165">
        <v>0</v>
      </c>
      <c r="Q58" s="165">
        <v>0</v>
      </c>
      <c r="R58" s="165">
        <f t="shared" si="9"/>
        <v>0</v>
      </c>
      <c r="S58" s="165">
        <v>0</v>
      </c>
      <c r="T58" s="165">
        <v>0</v>
      </c>
      <c r="U58" s="165">
        <v>0</v>
      </c>
      <c r="V58" s="165">
        <v>0</v>
      </c>
      <c r="W58" s="165">
        <v>0</v>
      </c>
      <c r="X58" s="170">
        <v>0</v>
      </c>
      <c r="Y58" s="165">
        <v>0</v>
      </c>
      <c r="Z58" s="165">
        <v>0</v>
      </c>
      <c r="AA58" s="165">
        <v>0</v>
      </c>
      <c r="AB58" s="165">
        <v>0</v>
      </c>
      <c r="AC58" s="166">
        <f t="shared" si="6"/>
        <v>0</v>
      </c>
    </row>
    <row r="59" spans="1:29" x14ac:dyDescent="0.25">
      <c r="A59" s="163" t="s">
        <v>54</v>
      </c>
      <c r="B59" s="164" t="s">
        <v>126</v>
      </c>
      <c r="C59" s="165">
        <v>0</v>
      </c>
      <c r="D59" s="165">
        <v>0</v>
      </c>
      <c r="E59" s="171">
        <f t="shared" si="7"/>
        <v>0</v>
      </c>
      <c r="F59" s="165">
        <f t="shared" si="2"/>
        <v>0</v>
      </c>
      <c r="G59" s="165">
        <v>0</v>
      </c>
      <c r="H59" s="165" t="s">
        <v>526</v>
      </c>
      <c r="I59" s="165">
        <v>0</v>
      </c>
      <c r="J59" s="165">
        <v>0</v>
      </c>
      <c r="K59" s="165">
        <v>0</v>
      </c>
      <c r="L59" s="165" t="s">
        <v>526</v>
      </c>
      <c r="M59" s="165">
        <v>0</v>
      </c>
      <c r="N59" s="165">
        <v>0</v>
      </c>
      <c r="O59" s="165">
        <v>0</v>
      </c>
      <c r="P59" s="165">
        <v>0</v>
      </c>
      <c r="Q59" s="165">
        <v>0</v>
      </c>
      <c r="R59" s="165">
        <f t="shared" si="9"/>
        <v>0</v>
      </c>
      <c r="S59" s="165">
        <v>0</v>
      </c>
      <c r="T59" s="165">
        <v>0</v>
      </c>
      <c r="U59" s="165">
        <v>0</v>
      </c>
      <c r="V59" s="165">
        <v>0</v>
      </c>
      <c r="W59" s="165">
        <v>0</v>
      </c>
      <c r="X59" s="170">
        <v>0</v>
      </c>
      <c r="Y59" s="165">
        <v>0</v>
      </c>
      <c r="Z59" s="165">
        <v>0</v>
      </c>
      <c r="AA59" s="165">
        <v>0</v>
      </c>
      <c r="AB59" s="165">
        <v>0</v>
      </c>
      <c r="AC59" s="166">
        <f t="shared" si="6"/>
        <v>0</v>
      </c>
    </row>
    <row r="60" spans="1:29" x14ac:dyDescent="0.25">
      <c r="A60" s="167" t="s">
        <v>218</v>
      </c>
      <c r="B60" s="51" t="s">
        <v>146</v>
      </c>
      <c r="C60" s="165">
        <v>0</v>
      </c>
      <c r="D60" s="165">
        <v>0</v>
      </c>
      <c r="E60" s="170">
        <f t="shared" si="7"/>
        <v>0</v>
      </c>
      <c r="F60" s="165">
        <f t="shared" si="2"/>
        <v>0</v>
      </c>
      <c r="G60" s="170">
        <v>0</v>
      </c>
      <c r="H60" s="165" t="s">
        <v>526</v>
      </c>
      <c r="I60" s="170">
        <v>0</v>
      </c>
      <c r="J60" s="170">
        <v>0</v>
      </c>
      <c r="K60" s="170">
        <v>0</v>
      </c>
      <c r="L60" s="165" t="s">
        <v>526</v>
      </c>
      <c r="M60" s="170">
        <v>0</v>
      </c>
      <c r="N60" s="170">
        <v>0</v>
      </c>
      <c r="O60" s="170">
        <v>0</v>
      </c>
      <c r="P60" s="165">
        <v>0</v>
      </c>
      <c r="Q60" s="170">
        <v>0</v>
      </c>
      <c r="R60" s="165">
        <f t="shared" si="9"/>
        <v>0</v>
      </c>
      <c r="S60" s="170">
        <v>0</v>
      </c>
      <c r="T60" s="165">
        <v>0</v>
      </c>
      <c r="U60" s="170">
        <v>0</v>
      </c>
      <c r="V60" s="170">
        <v>0</v>
      </c>
      <c r="W60" s="170">
        <v>0</v>
      </c>
      <c r="X60" s="170">
        <v>0</v>
      </c>
      <c r="Y60" s="170">
        <v>0</v>
      </c>
      <c r="Z60" s="170">
        <v>0</v>
      </c>
      <c r="AA60" s="170">
        <v>0</v>
      </c>
      <c r="AB60" s="165">
        <v>0</v>
      </c>
      <c r="AC60" s="166">
        <f t="shared" si="6"/>
        <v>0</v>
      </c>
    </row>
    <row r="61" spans="1:29" x14ac:dyDescent="0.25">
      <c r="A61" s="167" t="s">
        <v>219</v>
      </c>
      <c r="B61" s="51" t="s">
        <v>144</v>
      </c>
      <c r="C61" s="165">
        <v>0</v>
      </c>
      <c r="D61" s="165">
        <v>0</v>
      </c>
      <c r="E61" s="170">
        <f t="shared" si="7"/>
        <v>0</v>
      </c>
      <c r="F61" s="165">
        <f t="shared" si="2"/>
        <v>0</v>
      </c>
      <c r="G61" s="170">
        <v>0</v>
      </c>
      <c r="H61" s="165" t="s">
        <v>526</v>
      </c>
      <c r="I61" s="170">
        <v>0</v>
      </c>
      <c r="J61" s="170">
        <v>0</v>
      </c>
      <c r="K61" s="170">
        <v>0</v>
      </c>
      <c r="L61" s="165" t="s">
        <v>526</v>
      </c>
      <c r="M61" s="170">
        <v>0</v>
      </c>
      <c r="N61" s="170">
        <v>0</v>
      </c>
      <c r="O61" s="170">
        <v>0</v>
      </c>
      <c r="P61" s="165">
        <v>0</v>
      </c>
      <c r="Q61" s="170">
        <v>0</v>
      </c>
      <c r="R61" s="165">
        <f t="shared" si="9"/>
        <v>0</v>
      </c>
      <c r="S61" s="170">
        <v>0</v>
      </c>
      <c r="T61" s="165">
        <v>0</v>
      </c>
      <c r="U61" s="170">
        <v>0</v>
      </c>
      <c r="V61" s="170">
        <v>0</v>
      </c>
      <c r="W61" s="170">
        <v>0</v>
      </c>
      <c r="X61" s="170">
        <v>0</v>
      </c>
      <c r="Y61" s="170">
        <v>0</v>
      </c>
      <c r="Z61" s="170">
        <v>0</v>
      </c>
      <c r="AA61" s="170">
        <v>0</v>
      </c>
      <c r="AB61" s="165">
        <v>0</v>
      </c>
      <c r="AC61" s="166">
        <f t="shared" si="6"/>
        <v>0</v>
      </c>
    </row>
    <row r="62" spans="1:29" x14ac:dyDescent="0.25">
      <c r="A62" s="167" t="s">
        <v>220</v>
      </c>
      <c r="B62" s="51" t="s">
        <v>142</v>
      </c>
      <c r="C62" s="165">
        <v>0</v>
      </c>
      <c r="D62" s="165">
        <v>0</v>
      </c>
      <c r="E62" s="170">
        <f t="shared" si="7"/>
        <v>0</v>
      </c>
      <c r="F62" s="165">
        <f t="shared" si="2"/>
        <v>0</v>
      </c>
      <c r="G62" s="170">
        <v>0</v>
      </c>
      <c r="H62" s="165" t="s">
        <v>526</v>
      </c>
      <c r="I62" s="170">
        <v>0</v>
      </c>
      <c r="J62" s="170">
        <v>0</v>
      </c>
      <c r="K62" s="170">
        <v>0</v>
      </c>
      <c r="L62" s="165" t="s">
        <v>526</v>
      </c>
      <c r="M62" s="170">
        <v>0</v>
      </c>
      <c r="N62" s="170">
        <v>0</v>
      </c>
      <c r="O62" s="170">
        <v>0</v>
      </c>
      <c r="P62" s="165">
        <v>0</v>
      </c>
      <c r="Q62" s="170">
        <v>0</v>
      </c>
      <c r="R62" s="165">
        <f t="shared" si="9"/>
        <v>0</v>
      </c>
      <c r="S62" s="170">
        <v>0</v>
      </c>
      <c r="T62" s="165">
        <v>0</v>
      </c>
      <c r="U62" s="170">
        <v>0</v>
      </c>
      <c r="V62" s="170">
        <v>0</v>
      </c>
      <c r="W62" s="170">
        <v>0</v>
      </c>
      <c r="X62" s="170">
        <v>0</v>
      </c>
      <c r="Y62" s="170">
        <v>0</v>
      </c>
      <c r="Z62" s="170">
        <v>0</v>
      </c>
      <c r="AA62" s="170">
        <v>0</v>
      </c>
      <c r="AB62" s="165">
        <v>0</v>
      </c>
      <c r="AC62" s="166">
        <f t="shared" si="6"/>
        <v>0</v>
      </c>
    </row>
    <row r="63" spans="1:29" x14ac:dyDescent="0.25">
      <c r="A63" s="167" t="s">
        <v>221</v>
      </c>
      <c r="B63" s="51" t="s">
        <v>223</v>
      </c>
      <c r="C63" s="165">
        <v>0</v>
      </c>
      <c r="D63" s="165">
        <v>0</v>
      </c>
      <c r="E63" s="170">
        <f t="shared" si="7"/>
        <v>0</v>
      </c>
      <c r="F63" s="165">
        <f t="shared" si="2"/>
        <v>0</v>
      </c>
      <c r="G63" s="170">
        <v>0</v>
      </c>
      <c r="H63" s="165" t="s">
        <v>526</v>
      </c>
      <c r="I63" s="170">
        <v>0</v>
      </c>
      <c r="J63" s="170">
        <v>0</v>
      </c>
      <c r="K63" s="170">
        <v>0</v>
      </c>
      <c r="L63" s="165" t="s">
        <v>526</v>
      </c>
      <c r="M63" s="170">
        <v>0</v>
      </c>
      <c r="N63" s="170">
        <v>0</v>
      </c>
      <c r="O63" s="170">
        <v>0</v>
      </c>
      <c r="P63" s="165">
        <v>0</v>
      </c>
      <c r="Q63" s="170">
        <v>0</v>
      </c>
      <c r="R63" s="165">
        <f t="shared" si="9"/>
        <v>0</v>
      </c>
      <c r="S63" s="170">
        <v>0</v>
      </c>
      <c r="T63" s="165">
        <v>0</v>
      </c>
      <c r="U63" s="170">
        <v>0</v>
      </c>
      <c r="V63" s="170">
        <v>0</v>
      </c>
      <c r="W63" s="170">
        <v>0</v>
      </c>
      <c r="X63" s="170">
        <v>0</v>
      </c>
      <c r="Y63" s="170">
        <v>0</v>
      </c>
      <c r="Z63" s="170">
        <v>0</v>
      </c>
      <c r="AA63" s="170">
        <v>0</v>
      </c>
      <c r="AB63" s="165">
        <v>0</v>
      </c>
      <c r="AC63" s="166">
        <f t="shared" si="6"/>
        <v>0</v>
      </c>
    </row>
    <row r="64" spans="1:29" ht="18.75" x14ac:dyDescent="0.25">
      <c r="A64" s="167" t="s">
        <v>222</v>
      </c>
      <c r="B64" s="172" t="s">
        <v>544</v>
      </c>
      <c r="C64" s="165">
        <v>0</v>
      </c>
      <c r="D64" s="165">
        <v>0</v>
      </c>
      <c r="E64" s="170">
        <f t="shared" si="7"/>
        <v>0</v>
      </c>
      <c r="F64" s="165">
        <f t="shared" si="2"/>
        <v>0</v>
      </c>
      <c r="G64" s="170">
        <v>0</v>
      </c>
      <c r="H64" s="170">
        <v>0</v>
      </c>
      <c r="I64" s="170">
        <v>0</v>
      </c>
      <c r="J64" s="170">
        <v>0</v>
      </c>
      <c r="K64" s="170">
        <v>0</v>
      </c>
      <c r="L64" s="170">
        <v>0</v>
      </c>
      <c r="M64" s="170">
        <v>0</v>
      </c>
      <c r="N64" s="170">
        <v>0</v>
      </c>
      <c r="O64" s="170">
        <v>0</v>
      </c>
      <c r="P64" s="165">
        <v>0</v>
      </c>
      <c r="Q64" s="170">
        <v>0</v>
      </c>
      <c r="R64" s="165">
        <f t="shared" si="9"/>
        <v>0</v>
      </c>
      <c r="S64" s="170">
        <v>0</v>
      </c>
      <c r="T64" s="170">
        <v>0</v>
      </c>
      <c r="U64" s="170">
        <v>0</v>
      </c>
      <c r="V64" s="170">
        <v>0</v>
      </c>
      <c r="W64" s="170">
        <v>0</v>
      </c>
      <c r="X64" s="170">
        <v>0</v>
      </c>
      <c r="Y64" s="170">
        <v>0</v>
      </c>
      <c r="Z64" s="170">
        <v>0</v>
      </c>
      <c r="AA64" s="170">
        <v>0</v>
      </c>
      <c r="AB64" s="165">
        <v>0</v>
      </c>
      <c r="AC64" s="166">
        <f t="shared" si="6"/>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7"/>
      <c r="C66" s="407"/>
      <c r="D66" s="407"/>
      <c r="E66" s="407"/>
      <c r="F66" s="407"/>
      <c r="G66" s="407"/>
      <c r="H66" s="407"/>
      <c r="I66" s="407"/>
      <c r="J66" s="407"/>
      <c r="K66" s="407"/>
      <c r="L66" s="407"/>
      <c r="M66" s="407"/>
      <c r="N66" s="46"/>
      <c r="O66" s="46"/>
      <c r="P66" s="46"/>
      <c r="Q66" s="46"/>
      <c r="R66" s="46"/>
      <c r="S66" s="46"/>
      <c r="T66" s="46"/>
      <c r="U66" s="46"/>
      <c r="V66" s="46"/>
      <c r="W66" s="46"/>
      <c r="X66" s="46"/>
      <c r="Y66" s="46"/>
      <c r="Z66" s="46"/>
      <c r="AA66" s="46"/>
      <c r="AB66" s="47"/>
    </row>
    <row r="68" spans="1:28" ht="50.25" customHeight="1" x14ac:dyDescent="0.25">
      <c r="B68" s="407"/>
      <c r="C68" s="407"/>
      <c r="D68" s="407"/>
      <c r="E68" s="407"/>
      <c r="F68" s="407"/>
      <c r="G68" s="407"/>
      <c r="H68" s="407"/>
      <c r="I68" s="407"/>
      <c r="J68" s="407"/>
      <c r="K68" s="407"/>
      <c r="L68" s="407"/>
      <c r="M68" s="407"/>
      <c r="N68" s="46"/>
      <c r="O68" s="46"/>
      <c r="P68" s="46"/>
      <c r="Q68" s="46"/>
      <c r="R68" s="46"/>
      <c r="S68" s="46"/>
      <c r="T68" s="46"/>
      <c r="U68" s="46"/>
      <c r="V68" s="46"/>
      <c r="W68" s="46"/>
      <c r="X68" s="46"/>
      <c r="Y68" s="46"/>
      <c r="Z68" s="46"/>
      <c r="AA68" s="46"/>
    </row>
    <row r="70" spans="1:28" ht="36.75" customHeight="1" x14ac:dyDescent="0.25">
      <c r="B70" s="407"/>
      <c r="C70" s="407"/>
      <c r="D70" s="407"/>
      <c r="E70" s="407"/>
      <c r="F70" s="407"/>
      <c r="G70" s="407"/>
      <c r="H70" s="407"/>
      <c r="I70" s="407"/>
      <c r="J70" s="407"/>
      <c r="K70" s="407"/>
      <c r="L70" s="407"/>
      <c r="M70" s="407"/>
      <c r="N70" s="46"/>
      <c r="O70" s="46"/>
      <c r="P70" s="46"/>
      <c r="Q70" s="46"/>
      <c r="R70" s="46"/>
      <c r="S70" s="46"/>
      <c r="T70" s="46"/>
      <c r="U70" s="46"/>
      <c r="V70" s="46"/>
      <c r="W70" s="46"/>
      <c r="X70" s="46"/>
      <c r="Y70" s="46"/>
      <c r="Z70" s="46"/>
      <c r="AA70" s="46"/>
    </row>
    <row r="72" spans="1:28" ht="51" customHeight="1" x14ac:dyDescent="0.25">
      <c r="B72" s="407"/>
      <c r="C72" s="407"/>
      <c r="D72" s="407"/>
      <c r="E72" s="407"/>
      <c r="F72" s="407"/>
      <c r="G72" s="407"/>
      <c r="H72" s="407"/>
      <c r="I72" s="407"/>
      <c r="J72" s="407"/>
      <c r="K72" s="407"/>
      <c r="L72" s="407"/>
      <c r="M72" s="407"/>
      <c r="N72" s="46"/>
      <c r="O72" s="46"/>
      <c r="P72" s="46"/>
      <c r="Q72" s="46"/>
      <c r="R72" s="46"/>
      <c r="S72" s="46"/>
      <c r="T72" s="46"/>
      <c r="U72" s="46"/>
      <c r="V72" s="46"/>
      <c r="W72" s="46"/>
      <c r="X72" s="46"/>
      <c r="Y72" s="46"/>
      <c r="Z72" s="46"/>
      <c r="AA72" s="46"/>
    </row>
    <row r="73" spans="1:28" ht="32.25" customHeight="1" x14ac:dyDescent="0.25">
      <c r="B73" s="407"/>
      <c r="C73" s="407"/>
      <c r="D73" s="407"/>
      <c r="E73" s="407"/>
      <c r="F73" s="407"/>
      <c r="G73" s="407"/>
      <c r="H73" s="407"/>
      <c r="I73" s="407"/>
      <c r="J73" s="407"/>
      <c r="K73" s="407"/>
      <c r="L73" s="407"/>
      <c r="M73" s="407"/>
      <c r="N73" s="46"/>
      <c r="O73" s="46"/>
      <c r="P73" s="46"/>
      <c r="Q73" s="46"/>
      <c r="R73" s="46"/>
      <c r="S73" s="46"/>
      <c r="T73" s="46"/>
      <c r="U73" s="46"/>
      <c r="V73" s="46"/>
      <c r="W73" s="46"/>
      <c r="X73" s="46"/>
      <c r="Y73" s="46"/>
      <c r="Z73" s="46"/>
      <c r="AA73" s="46"/>
    </row>
    <row r="74" spans="1:28" ht="51.75" customHeight="1" x14ac:dyDescent="0.25">
      <c r="B74" s="407"/>
      <c r="C74" s="407"/>
      <c r="D74" s="407"/>
      <c r="E74" s="407"/>
      <c r="F74" s="407"/>
      <c r="G74" s="407"/>
      <c r="H74" s="407"/>
      <c r="I74" s="407"/>
      <c r="J74" s="407"/>
      <c r="K74" s="407"/>
      <c r="L74" s="407"/>
      <c r="M74" s="407"/>
      <c r="N74" s="46"/>
      <c r="O74" s="46"/>
      <c r="P74" s="46"/>
      <c r="Q74" s="46"/>
      <c r="R74" s="46"/>
      <c r="S74" s="46"/>
      <c r="T74" s="46"/>
      <c r="U74" s="46"/>
      <c r="V74" s="46"/>
      <c r="W74" s="46"/>
      <c r="X74" s="46"/>
      <c r="Y74" s="46"/>
      <c r="Z74" s="46"/>
      <c r="AA74" s="46"/>
    </row>
    <row r="75" spans="1:28" ht="21.75" customHeight="1" x14ac:dyDescent="0.25">
      <c r="B75" s="408"/>
      <c r="C75" s="408"/>
      <c r="D75" s="408"/>
      <c r="E75" s="408"/>
      <c r="F75" s="408"/>
      <c r="G75" s="408"/>
      <c r="H75" s="408"/>
      <c r="I75" s="408"/>
      <c r="J75" s="408"/>
      <c r="K75" s="408"/>
      <c r="L75" s="408"/>
      <c r="M75" s="408"/>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6"/>
      <c r="C77" s="406"/>
      <c r="D77" s="406"/>
      <c r="E77" s="406"/>
      <c r="F77" s="406"/>
      <c r="G77" s="406"/>
      <c r="H77" s="406"/>
      <c r="I77" s="406"/>
      <c r="J77" s="406"/>
      <c r="K77" s="406"/>
      <c r="L77" s="406"/>
      <c r="M77" s="406"/>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M24:O63 Q24:S30 L64:O64 P24:P64 S64:W64 S31:S63 Q31:R64 F25:G64 U24:W63">
    <cfRule type="cellIs" dxfId="9" priority="14" operator="notEqual">
      <formula>0</formula>
    </cfRule>
  </conditionalFormatting>
  <conditionalFormatting sqref="AC24:AC64">
    <cfRule type="cellIs" dxfId="8" priority="13" operator="notEqual">
      <formula>0</formula>
    </cfRule>
  </conditionalFormatting>
  <conditionalFormatting sqref="E25:E64">
    <cfRule type="cellIs" dxfId="7" priority="12" operator="notEqual">
      <formula>0</formula>
    </cfRule>
  </conditionalFormatting>
  <conditionalFormatting sqref="L24:L63">
    <cfRule type="cellIs" dxfId="6" priority="10" operator="notEqual">
      <formula>0</formula>
    </cfRule>
  </conditionalFormatting>
  <conditionalFormatting sqref="T24:T63">
    <cfRule type="cellIs" dxfId="5" priority="8" operator="notEqual">
      <formula>0</formula>
    </cfRule>
  </conditionalFormatting>
  <conditionalFormatting sqref="H64:K64 I24:K63">
    <cfRule type="cellIs" dxfId="4" priority="7" operator="notEqual">
      <formula>0</formula>
    </cfRule>
  </conditionalFormatting>
  <conditionalFormatting sqref="H24:H63">
    <cfRule type="cellIs" dxfId="3" priority="6" operator="notEqual">
      <formula>0</formula>
    </cfRule>
  </conditionalFormatting>
  <conditionalFormatting sqref="X24:Y64">
    <cfRule type="cellIs" dxfId="2" priority="5" operator="notEqual">
      <formula>0</formula>
    </cfRule>
  </conditionalFormatting>
  <conditionalFormatting sqref="Z24:AA64">
    <cfRule type="cellIs" dxfId="1" priority="3"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7" t="str">
        <f>'1. паспорт местоположение'!A12:C12</f>
        <v>M 22-09</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43.5" customHeight="1" x14ac:dyDescent="0.25">
      <c r="A15" s="344" t="str">
        <f>'1. паспорт местоположение'!A15</f>
        <v>Приобретение мини-экскаватора JCB8030ZTS</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12" t="s">
        <v>492</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ht="58.5" customHeight="1" x14ac:dyDescent="0.25">
      <c r="A22" s="413" t="s">
        <v>50</v>
      </c>
      <c r="B22" s="416" t="s">
        <v>22</v>
      </c>
      <c r="C22" s="413" t="s">
        <v>49</v>
      </c>
      <c r="D22" s="413" t="s">
        <v>48</v>
      </c>
      <c r="E22" s="419" t="s">
        <v>503</v>
      </c>
      <c r="F22" s="420"/>
      <c r="G22" s="420"/>
      <c r="H22" s="420"/>
      <c r="I22" s="420"/>
      <c r="J22" s="420"/>
      <c r="K22" s="420"/>
      <c r="L22" s="421"/>
      <c r="M22" s="413" t="s">
        <v>47</v>
      </c>
      <c r="N22" s="413" t="s">
        <v>46</v>
      </c>
      <c r="O22" s="413" t="s">
        <v>45</v>
      </c>
      <c r="P22" s="422" t="s">
        <v>253</v>
      </c>
      <c r="Q22" s="422" t="s">
        <v>44</v>
      </c>
      <c r="R22" s="422" t="s">
        <v>43</v>
      </c>
      <c r="S22" s="422" t="s">
        <v>42</v>
      </c>
      <c r="T22" s="422"/>
      <c r="U22" s="423" t="s">
        <v>41</v>
      </c>
      <c r="V22" s="423" t="s">
        <v>40</v>
      </c>
      <c r="W22" s="422" t="s">
        <v>39</v>
      </c>
      <c r="X22" s="422" t="s">
        <v>38</v>
      </c>
      <c r="Y22" s="422" t="s">
        <v>37</v>
      </c>
      <c r="Z22" s="436" t="s">
        <v>36</v>
      </c>
      <c r="AA22" s="422" t="s">
        <v>35</v>
      </c>
      <c r="AB22" s="422" t="s">
        <v>34</v>
      </c>
      <c r="AC22" s="422" t="s">
        <v>33</v>
      </c>
      <c r="AD22" s="422" t="s">
        <v>32</v>
      </c>
      <c r="AE22" s="422" t="s">
        <v>31</v>
      </c>
      <c r="AF22" s="422" t="s">
        <v>30</v>
      </c>
      <c r="AG22" s="422"/>
      <c r="AH22" s="422"/>
      <c r="AI22" s="422"/>
      <c r="AJ22" s="422"/>
      <c r="AK22" s="422"/>
      <c r="AL22" s="422" t="s">
        <v>29</v>
      </c>
      <c r="AM22" s="422"/>
      <c r="AN22" s="422"/>
      <c r="AO22" s="422"/>
      <c r="AP22" s="422" t="s">
        <v>28</v>
      </c>
      <c r="AQ22" s="422"/>
      <c r="AR22" s="422" t="s">
        <v>27</v>
      </c>
      <c r="AS22" s="422" t="s">
        <v>26</v>
      </c>
      <c r="AT22" s="422" t="s">
        <v>25</v>
      </c>
      <c r="AU22" s="422" t="s">
        <v>24</v>
      </c>
      <c r="AV22" s="426" t="s">
        <v>23</v>
      </c>
    </row>
    <row r="23" spans="1:48" ht="64.5" customHeight="1" x14ac:dyDescent="0.25">
      <c r="A23" s="414"/>
      <c r="B23" s="417"/>
      <c r="C23" s="414"/>
      <c r="D23" s="414"/>
      <c r="E23" s="428" t="s">
        <v>21</v>
      </c>
      <c r="F23" s="430" t="s">
        <v>125</v>
      </c>
      <c r="G23" s="430" t="s">
        <v>124</v>
      </c>
      <c r="H23" s="430" t="s">
        <v>123</v>
      </c>
      <c r="I23" s="434" t="s">
        <v>413</v>
      </c>
      <c r="J23" s="434" t="s">
        <v>414</v>
      </c>
      <c r="K23" s="434" t="s">
        <v>415</v>
      </c>
      <c r="L23" s="430" t="s">
        <v>536</v>
      </c>
      <c r="M23" s="414"/>
      <c r="N23" s="414"/>
      <c r="O23" s="414"/>
      <c r="P23" s="422"/>
      <c r="Q23" s="422"/>
      <c r="R23" s="422"/>
      <c r="S23" s="432" t="s">
        <v>2</v>
      </c>
      <c r="T23" s="432" t="s">
        <v>9</v>
      </c>
      <c r="U23" s="423"/>
      <c r="V23" s="423"/>
      <c r="W23" s="422"/>
      <c r="X23" s="422"/>
      <c r="Y23" s="422"/>
      <c r="Z23" s="422"/>
      <c r="AA23" s="422"/>
      <c r="AB23" s="422"/>
      <c r="AC23" s="422"/>
      <c r="AD23" s="422"/>
      <c r="AE23" s="422"/>
      <c r="AF23" s="422" t="s">
        <v>20</v>
      </c>
      <c r="AG23" s="422"/>
      <c r="AH23" s="422" t="s">
        <v>19</v>
      </c>
      <c r="AI23" s="422"/>
      <c r="AJ23" s="413" t="s">
        <v>18</v>
      </c>
      <c r="AK23" s="413" t="s">
        <v>17</v>
      </c>
      <c r="AL23" s="413" t="s">
        <v>16</v>
      </c>
      <c r="AM23" s="413" t="s">
        <v>15</v>
      </c>
      <c r="AN23" s="413" t="s">
        <v>14</v>
      </c>
      <c r="AO23" s="413" t="s">
        <v>13</v>
      </c>
      <c r="AP23" s="413" t="s">
        <v>12</v>
      </c>
      <c r="AQ23" s="424" t="s">
        <v>9</v>
      </c>
      <c r="AR23" s="422"/>
      <c r="AS23" s="422"/>
      <c r="AT23" s="422"/>
      <c r="AU23" s="422"/>
      <c r="AV23" s="427"/>
    </row>
    <row r="24" spans="1:48" ht="96.75" customHeight="1" x14ac:dyDescent="0.25">
      <c r="A24" s="415"/>
      <c r="B24" s="418"/>
      <c r="C24" s="415"/>
      <c r="D24" s="415"/>
      <c r="E24" s="429"/>
      <c r="F24" s="431"/>
      <c r="G24" s="431"/>
      <c r="H24" s="431"/>
      <c r="I24" s="435"/>
      <c r="J24" s="435"/>
      <c r="K24" s="435"/>
      <c r="L24" s="431"/>
      <c r="M24" s="415"/>
      <c r="N24" s="415"/>
      <c r="O24" s="415"/>
      <c r="P24" s="422"/>
      <c r="Q24" s="422"/>
      <c r="R24" s="422"/>
      <c r="S24" s="433"/>
      <c r="T24" s="433"/>
      <c r="U24" s="423"/>
      <c r="V24" s="423"/>
      <c r="W24" s="422"/>
      <c r="X24" s="422"/>
      <c r="Y24" s="422"/>
      <c r="Z24" s="422"/>
      <c r="AA24" s="422"/>
      <c r="AB24" s="422"/>
      <c r="AC24" s="422"/>
      <c r="AD24" s="422"/>
      <c r="AE24" s="422"/>
      <c r="AF24" s="112" t="s">
        <v>11</v>
      </c>
      <c r="AG24" s="112" t="s">
        <v>10</v>
      </c>
      <c r="AH24" s="113" t="s">
        <v>2</v>
      </c>
      <c r="AI24" s="113" t="s">
        <v>9</v>
      </c>
      <c r="AJ24" s="415"/>
      <c r="AK24" s="415"/>
      <c r="AL24" s="415"/>
      <c r="AM24" s="415"/>
      <c r="AN24" s="415"/>
      <c r="AO24" s="415"/>
      <c r="AP24" s="415"/>
      <c r="AQ24" s="425"/>
      <c r="AR24" s="422"/>
      <c r="AS24" s="422"/>
      <c r="AT24" s="422"/>
      <c r="AU24" s="422"/>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9" sqref="B29"/>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7" t="str">
        <f>'7. Паспорт отчет о закупке'!A5:AV5</f>
        <v>Год раскрытия информации: 2023 год</v>
      </c>
      <c r="B5" s="437"/>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7" t="str">
        <f>'7. Паспорт отчет о закупке'!A9:AV9</f>
        <v>Акционерное общество "Западная энергетическая компания"</v>
      </c>
      <c r="B9" s="347"/>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7" t="str">
        <f>'7. Паспорт отчет о закупке'!A12:AV12</f>
        <v>M 22-09</v>
      </c>
      <c r="B12" s="347"/>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3" t="str">
        <f>'7. Паспорт отчет о закупке'!A15:AV15</f>
        <v>Приобретение мини-экскаватора JCB8030ZTS</v>
      </c>
      <c r="B15" s="373"/>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8" t="s">
        <v>493</v>
      </c>
      <c r="B18" s="439"/>
    </row>
    <row r="19" spans="1:2" x14ac:dyDescent="0.25">
      <c r="B19" s="31"/>
    </row>
    <row r="20" spans="1:2" ht="16.5" thickBot="1" x14ac:dyDescent="0.3">
      <c r="B20" s="92"/>
    </row>
    <row r="21" spans="1:2" ht="83.25" customHeight="1" thickBot="1" x14ac:dyDescent="0.3">
      <c r="A21" s="93" t="s">
        <v>363</v>
      </c>
      <c r="B21" s="333" t="str">
        <f>A15</f>
        <v>Приобретение мини-экскаватора JCB8030ZTS</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545</v>
      </c>
    </row>
    <row r="24" spans="1:2" ht="16.5" thickBot="1" x14ac:dyDescent="0.3">
      <c r="A24" s="93" t="s">
        <v>365</v>
      </c>
      <c r="B24" s="95" t="s">
        <v>546</v>
      </c>
    </row>
    <row r="25" spans="1:2" ht="16.5" thickBot="1" x14ac:dyDescent="0.3">
      <c r="A25" s="96" t="s">
        <v>366</v>
      </c>
      <c r="B25" s="94">
        <v>2022</v>
      </c>
    </row>
    <row r="26" spans="1:2" ht="16.5" thickBot="1" x14ac:dyDescent="0.3">
      <c r="A26" s="97" t="s">
        <v>367</v>
      </c>
      <c r="B26" s="98" t="s">
        <v>540</v>
      </c>
    </row>
    <row r="27" spans="1:2" ht="29.25" thickBot="1" x14ac:dyDescent="0.3">
      <c r="A27" s="104" t="s">
        <v>552</v>
      </c>
      <c r="B27" s="133">
        <f>'6.2. Паспорт фин осв ввод'!D24</f>
        <v>1.9044700859999999</v>
      </c>
    </row>
    <row r="28" spans="1:2" ht="16.5" thickBot="1" x14ac:dyDescent="0.3">
      <c r="A28" s="132" t="s">
        <v>368</v>
      </c>
      <c r="B28" s="132" t="s">
        <v>607</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553</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16.5" thickBot="1" x14ac:dyDescent="0.3">
      <c r="A103" s="108" t="s">
        <v>398</v>
      </c>
      <c r="B103" s="187" t="str">
        <f>'3.3 паспорт описание'!C24</f>
        <v>Приобретение мини-экскаватора JCB8030ZTS</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0" t="s">
        <v>534</v>
      </c>
    </row>
    <row r="110" spans="1:2" x14ac:dyDescent="0.25">
      <c r="A110" s="102" t="s">
        <v>405</v>
      </c>
      <c r="B110" s="441"/>
    </row>
    <row r="111" spans="1:2" x14ac:dyDescent="0.25">
      <c r="A111" s="102" t="s">
        <v>406</v>
      </c>
      <c r="B111" s="441"/>
    </row>
    <row r="112" spans="1:2" x14ac:dyDescent="0.25">
      <c r="A112" s="102" t="s">
        <v>407</v>
      </c>
      <c r="B112" s="441"/>
    </row>
    <row r="113" spans="1:2" x14ac:dyDescent="0.25">
      <c r="A113" s="102" t="s">
        <v>408</v>
      </c>
      <c r="B113" s="441"/>
    </row>
    <row r="114" spans="1:2" ht="16.5" thickBot="1" x14ac:dyDescent="0.3">
      <c r="A114" s="111" t="s">
        <v>409</v>
      </c>
      <c r="B114" s="442"/>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7" t="str">
        <f>'1. паспорт местоположение'!A12:C12</f>
        <v>M 22-09</v>
      </c>
      <c r="B11" s="347"/>
      <c r="C11" s="347"/>
      <c r="D11" s="347"/>
      <c r="E11" s="347"/>
      <c r="F11" s="347"/>
      <c r="G11" s="347"/>
      <c r="H11" s="347"/>
      <c r="I11" s="347"/>
      <c r="J11" s="347"/>
      <c r="K11" s="347"/>
      <c r="L11" s="347"/>
      <c r="M11" s="347"/>
      <c r="N11" s="347"/>
      <c r="O11" s="347"/>
      <c r="P11" s="347"/>
      <c r="Q11" s="347"/>
      <c r="R11" s="347"/>
      <c r="S11" s="347"/>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4"/>
      <c r="U13" s="4"/>
      <c r="V13" s="4"/>
      <c r="W13" s="4"/>
      <c r="X13" s="4"/>
      <c r="Y13" s="4"/>
      <c r="Z13" s="4"/>
      <c r="AA13" s="4"/>
      <c r="AB13" s="4"/>
    </row>
    <row r="14" spans="1:28" s="3" customFormat="1" ht="36.75" customHeight="1" x14ac:dyDescent="0.2">
      <c r="A14" s="344" t="str">
        <f>'1. паспорт местоположение'!A15:C15</f>
        <v>Приобретение мини-экскаватора JCB8030ZTS</v>
      </c>
      <c r="B14" s="344"/>
      <c r="C14" s="344"/>
      <c r="D14" s="344"/>
      <c r="E14" s="344"/>
      <c r="F14" s="344"/>
      <c r="G14" s="344"/>
      <c r="H14" s="344"/>
      <c r="I14" s="344"/>
      <c r="J14" s="344"/>
      <c r="K14" s="344"/>
      <c r="L14" s="344"/>
      <c r="M14" s="344"/>
      <c r="N14" s="344"/>
      <c r="O14" s="344"/>
      <c r="P14" s="344"/>
      <c r="Q14" s="344"/>
      <c r="R14" s="344"/>
      <c r="S14" s="344"/>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48" t="s">
        <v>3</v>
      </c>
      <c r="B19" s="348" t="s">
        <v>94</v>
      </c>
      <c r="C19" s="349" t="s">
        <v>362</v>
      </c>
      <c r="D19" s="348" t="s">
        <v>361</v>
      </c>
      <c r="E19" s="348" t="s">
        <v>93</v>
      </c>
      <c r="F19" s="348" t="s">
        <v>92</v>
      </c>
      <c r="G19" s="348" t="s">
        <v>357</v>
      </c>
      <c r="H19" s="348" t="s">
        <v>91</v>
      </c>
      <c r="I19" s="348" t="s">
        <v>90</v>
      </c>
      <c r="J19" s="348" t="s">
        <v>89</v>
      </c>
      <c r="K19" s="348" t="s">
        <v>88</v>
      </c>
      <c r="L19" s="348" t="s">
        <v>87</v>
      </c>
      <c r="M19" s="348" t="s">
        <v>86</v>
      </c>
      <c r="N19" s="348" t="s">
        <v>85</v>
      </c>
      <c r="O19" s="348" t="s">
        <v>84</v>
      </c>
      <c r="P19" s="348" t="s">
        <v>83</v>
      </c>
      <c r="Q19" s="348" t="s">
        <v>360</v>
      </c>
      <c r="R19" s="348"/>
      <c r="S19" s="351" t="s">
        <v>462</v>
      </c>
      <c r="T19" s="4"/>
      <c r="U19" s="4"/>
      <c r="V19" s="4"/>
      <c r="W19" s="4"/>
      <c r="X19" s="4"/>
      <c r="Y19" s="4"/>
    </row>
    <row r="20" spans="1:28" s="3" customFormat="1" ht="180.75" customHeight="1" x14ac:dyDescent="0.2">
      <c r="A20" s="348"/>
      <c r="B20" s="348"/>
      <c r="C20" s="350"/>
      <c r="D20" s="348"/>
      <c r="E20" s="348"/>
      <c r="F20" s="348"/>
      <c r="G20" s="348"/>
      <c r="H20" s="348"/>
      <c r="I20" s="348"/>
      <c r="J20" s="348"/>
      <c r="K20" s="348"/>
      <c r="L20" s="348"/>
      <c r="M20" s="348"/>
      <c r="N20" s="348"/>
      <c r="O20" s="348"/>
      <c r="P20" s="348"/>
      <c r="Q20" s="29" t="s">
        <v>358</v>
      </c>
      <c r="R20" s="30" t="s">
        <v>359</v>
      </c>
      <c r="S20" s="35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7" t="str">
        <f>'1. паспорт местоположение'!A9:C9</f>
        <v>Акционерное общество "Западная энергетическая компания"</v>
      </c>
      <c r="B10" s="347"/>
      <c r="C10" s="347"/>
      <c r="D10" s="347"/>
      <c r="E10" s="347"/>
      <c r="F10" s="347"/>
      <c r="G10" s="347"/>
      <c r="H10" s="347"/>
      <c r="I10" s="347"/>
      <c r="J10" s="347"/>
      <c r="K10" s="347"/>
      <c r="L10" s="347"/>
      <c r="M10" s="347"/>
      <c r="N10" s="347"/>
      <c r="O10" s="347"/>
      <c r="P10" s="347"/>
      <c r="Q10" s="347"/>
      <c r="R10" s="347"/>
      <c r="S10" s="347"/>
      <c r="T10" s="347"/>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7" t="str">
        <f>'1. паспорт местоположение'!A12:C12</f>
        <v>M 22-09</v>
      </c>
      <c r="B13" s="347"/>
      <c r="C13" s="347"/>
      <c r="D13" s="347"/>
      <c r="E13" s="347"/>
      <c r="F13" s="347"/>
      <c r="G13" s="347"/>
      <c r="H13" s="347"/>
      <c r="I13" s="347"/>
      <c r="J13" s="347"/>
      <c r="K13" s="347"/>
      <c r="L13" s="347"/>
      <c r="M13" s="347"/>
      <c r="N13" s="347"/>
      <c r="O13" s="347"/>
      <c r="P13" s="347"/>
      <c r="Q13" s="347"/>
      <c r="R13" s="347"/>
      <c r="S13" s="347"/>
      <c r="T13" s="347"/>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3" customFormat="1" ht="66" customHeight="1" x14ac:dyDescent="0.2">
      <c r="A16" s="344" t="str">
        <f>'1. паспорт местоположение'!A15</f>
        <v>Приобретение мини-экскаватора JCB8030ZTS</v>
      </c>
      <c r="B16" s="344"/>
      <c r="C16" s="344"/>
      <c r="D16" s="344"/>
      <c r="E16" s="344"/>
      <c r="F16" s="344"/>
      <c r="G16" s="344"/>
      <c r="H16" s="344"/>
      <c r="I16" s="344"/>
      <c r="J16" s="344"/>
      <c r="K16" s="344"/>
      <c r="L16" s="344"/>
      <c r="M16" s="344"/>
      <c r="N16" s="344"/>
      <c r="O16" s="344"/>
      <c r="P16" s="344"/>
      <c r="Q16" s="344"/>
      <c r="R16" s="344"/>
      <c r="S16" s="344"/>
      <c r="T16" s="344"/>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113" ht="46.5" customHeight="1" x14ac:dyDescent="0.25">
      <c r="A21" s="356" t="s">
        <v>3</v>
      </c>
      <c r="B21" s="359" t="s">
        <v>217</v>
      </c>
      <c r="C21" s="360"/>
      <c r="D21" s="363" t="s">
        <v>116</v>
      </c>
      <c r="E21" s="359" t="s">
        <v>502</v>
      </c>
      <c r="F21" s="360"/>
      <c r="G21" s="359" t="s">
        <v>267</v>
      </c>
      <c r="H21" s="360"/>
      <c r="I21" s="359" t="s">
        <v>115</v>
      </c>
      <c r="J21" s="360"/>
      <c r="K21" s="363" t="s">
        <v>114</v>
      </c>
      <c r="L21" s="359" t="s">
        <v>113</v>
      </c>
      <c r="M21" s="360"/>
      <c r="N21" s="359" t="s">
        <v>498</v>
      </c>
      <c r="O21" s="360"/>
      <c r="P21" s="363" t="s">
        <v>112</v>
      </c>
      <c r="Q21" s="352" t="s">
        <v>111</v>
      </c>
      <c r="R21" s="353"/>
      <c r="S21" s="352" t="s">
        <v>110</v>
      </c>
      <c r="T21" s="354"/>
    </row>
    <row r="22" spans="1:113" ht="204.75" customHeight="1" x14ac:dyDescent="0.25">
      <c r="A22" s="357"/>
      <c r="B22" s="361"/>
      <c r="C22" s="362"/>
      <c r="D22" s="366"/>
      <c r="E22" s="361"/>
      <c r="F22" s="362"/>
      <c r="G22" s="361"/>
      <c r="H22" s="362"/>
      <c r="I22" s="361"/>
      <c r="J22" s="362"/>
      <c r="K22" s="364"/>
      <c r="L22" s="361"/>
      <c r="M22" s="362"/>
      <c r="N22" s="361"/>
      <c r="O22" s="362"/>
      <c r="P22" s="364"/>
      <c r="Q22" s="75" t="s">
        <v>109</v>
      </c>
      <c r="R22" s="75" t="s">
        <v>472</v>
      </c>
      <c r="S22" s="75" t="s">
        <v>108</v>
      </c>
      <c r="T22" s="75" t="s">
        <v>107</v>
      </c>
    </row>
    <row r="23" spans="1:113" ht="51.75" customHeight="1" x14ac:dyDescent="0.25">
      <c r="A23" s="358"/>
      <c r="B23" s="75" t="s">
        <v>105</v>
      </c>
      <c r="C23" s="75" t="s">
        <v>106</v>
      </c>
      <c r="D23" s="364"/>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5" t="s">
        <v>508</v>
      </c>
      <c r="C29" s="365"/>
      <c r="D29" s="365"/>
      <c r="E29" s="365"/>
      <c r="F29" s="365"/>
      <c r="G29" s="365"/>
      <c r="H29" s="365"/>
      <c r="I29" s="365"/>
      <c r="J29" s="365"/>
      <c r="K29" s="365"/>
      <c r="L29" s="365"/>
      <c r="M29" s="365"/>
      <c r="N29" s="365"/>
      <c r="O29" s="365"/>
      <c r="P29" s="365"/>
      <c r="Q29" s="365"/>
      <c r="R29" s="365"/>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7" t="str">
        <f>'1. паспорт местоположение'!A9</f>
        <v>Акционерное общество "Западная энергетическая компания"</v>
      </c>
      <c r="F9" s="347"/>
      <c r="G9" s="347"/>
      <c r="H9" s="347"/>
      <c r="I9" s="347"/>
      <c r="J9" s="347"/>
      <c r="K9" s="347"/>
      <c r="L9" s="347"/>
      <c r="M9" s="347"/>
      <c r="N9" s="347"/>
      <c r="O9" s="347"/>
      <c r="P9" s="347"/>
      <c r="Q9" s="347"/>
      <c r="R9" s="347"/>
      <c r="S9" s="347"/>
      <c r="T9" s="347"/>
      <c r="U9" s="347"/>
      <c r="V9" s="347"/>
      <c r="W9" s="347"/>
      <c r="X9" s="347"/>
      <c r="Y9" s="347"/>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7" t="str">
        <f>'1. паспорт местоположение'!A12</f>
        <v>M 22-09</v>
      </c>
      <c r="F12" s="347"/>
      <c r="G12" s="347"/>
      <c r="H12" s="347"/>
      <c r="I12" s="347"/>
      <c r="J12" s="347"/>
      <c r="K12" s="347"/>
      <c r="L12" s="347"/>
      <c r="M12" s="347"/>
      <c r="N12" s="347"/>
      <c r="O12" s="347"/>
      <c r="P12" s="347"/>
      <c r="Q12" s="347"/>
      <c r="R12" s="347"/>
      <c r="S12" s="347"/>
      <c r="T12" s="347"/>
      <c r="U12" s="347"/>
      <c r="V12" s="347"/>
      <c r="W12" s="347"/>
      <c r="X12" s="347"/>
      <c r="Y12" s="347"/>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4" t="str">
        <f>'1. паспорт местоположение'!A15</f>
        <v>Приобретение мини-экскаватора JCB8030ZTS</v>
      </c>
      <c r="F15" s="344"/>
      <c r="G15" s="344"/>
      <c r="H15" s="344"/>
      <c r="I15" s="344"/>
      <c r="J15" s="344"/>
      <c r="K15" s="344"/>
      <c r="L15" s="344"/>
      <c r="M15" s="344"/>
      <c r="N15" s="344"/>
      <c r="O15" s="344"/>
      <c r="P15" s="344"/>
      <c r="Q15" s="344"/>
      <c r="R15" s="344"/>
      <c r="S15" s="344"/>
      <c r="T15" s="344"/>
      <c r="U15" s="344"/>
      <c r="V15" s="344"/>
      <c r="W15" s="344"/>
      <c r="X15" s="344"/>
      <c r="Y15" s="344"/>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63" t="s">
        <v>3</v>
      </c>
      <c r="B21" s="359" t="s">
        <v>482</v>
      </c>
      <c r="C21" s="360"/>
      <c r="D21" s="359" t="s">
        <v>484</v>
      </c>
      <c r="E21" s="360"/>
      <c r="F21" s="352" t="s">
        <v>88</v>
      </c>
      <c r="G21" s="354"/>
      <c r="H21" s="354"/>
      <c r="I21" s="353"/>
      <c r="J21" s="363" t="s">
        <v>485</v>
      </c>
      <c r="K21" s="359" t="s">
        <v>486</v>
      </c>
      <c r="L21" s="360"/>
      <c r="M21" s="359" t="s">
        <v>487</v>
      </c>
      <c r="N21" s="360"/>
      <c r="O21" s="359" t="s">
        <v>474</v>
      </c>
      <c r="P21" s="360"/>
      <c r="Q21" s="359" t="s">
        <v>121</v>
      </c>
      <c r="R21" s="360"/>
      <c r="S21" s="363" t="s">
        <v>120</v>
      </c>
      <c r="T21" s="363" t="s">
        <v>488</v>
      </c>
      <c r="U21" s="363" t="s">
        <v>483</v>
      </c>
      <c r="V21" s="359" t="s">
        <v>119</v>
      </c>
      <c r="W21" s="360"/>
      <c r="X21" s="352" t="s">
        <v>111</v>
      </c>
      <c r="Y21" s="354"/>
      <c r="Z21" s="352" t="s">
        <v>110</v>
      </c>
      <c r="AA21" s="354"/>
    </row>
    <row r="22" spans="1:27" ht="216" customHeight="1" x14ac:dyDescent="0.25">
      <c r="A22" s="366"/>
      <c r="B22" s="361"/>
      <c r="C22" s="362"/>
      <c r="D22" s="361"/>
      <c r="E22" s="362"/>
      <c r="F22" s="352" t="s">
        <v>118</v>
      </c>
      <c r="G22" s="353"/>
      <c r="H22" s="352" t="s">
        <v>117</v>
      </c>
      <c r="I22" s="353"/>
      <c r="J22" s="364"/>
      <c r="K22" s="361"/>
      <c r="L22" s="362"/>
      <c r="M22" s="361"/>
      <c r="N22" s="362"/>
      <c r="O22" s="361"/>
      <c r="P22" s="362"/>
      <c r="Q22" s="361"/>
      <c r="R22" s="362"/>
      <c r="S22" s="364"/>
      <c r="T22" s="364"/>
      <c r="U22" s="364"/>
      <c r="V22" s="361"/>
      <c r="W22" s="362"/>
      <c r="X22" s="75" t="s">
        <v>109</v>
      </c>
      <c r="Y22" s="75" t="s">
        <v>472</v>
      </c>
      <c r="Z22" s="75" t="s">
        <v>108</v>
      </c>
      <c r="AA22" s="75" t="s">
        <v>107</v>
      </c>
    </row>
    <row r="23" spans="1:27" ht="60" customHeight="1" x14ac:dyDescent="0.25">
      <c r="A23" s="364"/>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7" t="str">
        <f>'1. паспорт местоположение'!A9:C9</f>
        <v>Акционерное общество "Западная энергетическая компания"</v>
      </c>
      <c r="B9" s="347"/>
      <c r="C9" s="347"/>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7" t="str">
        <f>'1. паспорт местоположение'!A12:C12</f>
        <v>M 22-09</v>
      </c>
      <c r="B12" s="347"/>
      <c r="C12" s="347"/>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5"/>
      <c r="B14" s="345"/>
      <c r="C14" s="345"/>
      <c r="D14" s="4"/>
      <c r="E14" s="4"/>
      <c r="F14" s="4"/>
      <c r="G14" s="4"/>
      <c r="H14" s="4"/>
      <c r="I14" s="4"/>
      <c r="J14" s="4"/>
      <c r="K14" s="4"/>
      <c r="L14" s="4"/>
      <c r="M14" s="4"/>
      <c r="N14" s="4"/>
      <c r="O14" s="4"/>
      <c r="P14" s="4"/>
      <c r="Q14" s="4"/>
      <c r="R14" s="4"/>
      <c r="S14" s="4"/>
      <c r="T14" s="4"/>
      <c r="U14" s="4"/>
    </row>
    <row r="15" spans="1:29" s="3" customFormat="1" ht="78.75" customHeight="1" x14ac:dyDescent="0.2">
      <c r="A15" s="344" t="str">
        <f>'1. паспорт местоположение'!A15</f>
        <v>Приобретение мини-экскаватора JCB8030ZTS</v>
      </c>
      <c r="B15" s="344"/>
      <c r="C15" s="344"/>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600</v>
      </c>
      <c r="D22" s="5"/>
      <c r="E22" s="5"/>
      <c r="F22" s="4"/>
      <c r="G22" s="4"/>
      <c r="H22" s="4"/>
      <c r="I22" s="4"/>
      <c r="J22" s="4"/>
      <c r="K22" s="4"/>
      <c r="L22" s="4"/>
      <c r="M22" s="4"/>
      <c r="N22" s="4"/>
      <c r="O22" s="4"/>
      <c r="P22" s="4"/>
    </row>
    <row r="23" spans="1:21" ht="42.75" customHeight="1" x14ac:dyDescent="0.25">
      <c r="A23" s="22" t="s">
        <v>61</v>
      </c>
      <c r="B23" s="24" t="s">
        <v>58</v>
      </c>
      <c r="C23" s="188" t="s">
        <v>604</v>
      </c>
    </row>
    <row r="24" spans="1:21" ht="47.25" x14ac:dyDescent="0.25">
      <c r="A24" s="148" t="s">
        <v>60</v>
      </c>
      <c r="B24" s="149" t="s">
        <v>500</v>
      </c>
      <c r="C24" s="189" t="str">
        <f>A15</f>
        <v>Приобретение мини-экскаватора JCB8030ZTS</v>
      </c>
      <c r="E24" s="129"/>
    </row>
    <row r="25" spans="1:21" ht="31.5" x14ac:dyDescent="0.25">
      <c r="A25" s="22" t="s">
        <v>59</v>
      </c>
      <c r="B25" s="24" t="s">
        <v>501</v>
      </c>
      <c r="C25" s="189" t="s">
        <v>606</v>
      </c>
    </row>
    <row r="26" spans="1:21" ht="42.75" customHeight="1" x14ac:dyDescent="0.25">
      <c r="A26" s="22" t="s">
        <v>57</v>
      </c>
      <c r="B26" s="24" t="s">
        <v>225</v>
      </c>
      <c r="C26" s="23" t="s">
        <v>534</v>
      </c>
    </row>
    <row r="27" spans="1:21" ht="31.5" x14ac:dyDescent="0.25">
      <c r="A27" s="22" t="s">
        <v>56</v>
      </c>
      <c r="B27" s="185" t="s">
        <v>481</v>
      </c>
      <c r="C27" s="186" t="s">
        <v>601</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7" t="str">
        <f>'1. паспорт местоположение'!A9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7" t="str">
        <f>'1. паспорт местоположение'!A12:C12</f>
        <v>M 22-09</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9"/>
      <c r="AB13" s="9"/>
    </row>
    <row r="14" spans="1:28" ht="57" customHeight="1" x14ac:dyDescent="0.25">
      <c r="A14" s="344" t="str">
        <f>'1. паспорт местоположение'!A15</f>
        <v>Приобретение мини-экскаватора JCB8030ZTS</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7" t="str">
        <f>'1. паспорт местоположение'!A12:C12</f>
        <v>M 22-09</v>
      </c>
      <c r="B12" s="347"/>
      <c r="C12" s="347"/>
      <c r="D12" s="347"/>
      <c r="E12" s="347"/>
      <c r="F12" s="347"/>
      <c r="G12" s="347"/>
      <c r="H12" s="347"/>
      <c r="I12" s="347"/>
      <c r="J12" s="347"/>
      <c r="K12" s="347"/>
      <c r="L12" s="347"/>
      <c r="M12" s="347"/>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5"/>
      <c r="B14" s="345"/>
      <c r="C14" s="345"/>
      <c r="D14" s="345"/>
      <c r="E14" s="345"/>
      <c r="F14" s="345"/>
      <c r="G14" s="345"/>
      <c r="H14" s="345"/>
      <c r="I14" s="345"/>
      <c r="J14" s="345"/>
      <c r="K14" s="345"/>
      <c r="L14" s="345"/>
      <c r="M14" s="345"/>
      <c r="N14" s="4"/>
      <c r="O14" s="4"/>
      <c r="P14" s="4"/>
      <c r="Q14" s="4"/>
      <c r="R14" s="4"/>
      <c r="S14" s="4"/>
      <c r="T14" s="4"/>
      <c r="U14" s="4"/>
      <c r="V14" s="4"/>
      <c r="W14" s="4"/>
      <c r="X14" s="4"/>
    </row>
    <row r="15" spans="1:26" s="3" customFormat="1" ht="54.75" customHeight="1" x14ac:dyDescent="0.2">
      <c r="A15" s="373" t="str">
        <f>'1. паспорт местоположение'!A15</f>
        <v>Приобретение мини-экскаватора JCB8030ZTS</v>
      </c>
      <c r="B15" s="373"/>
      <c r="C15" s="373"/>
      <c r="D15" s="373"/>
      <c r="E15" s="373"/>
      <c r="F15" s="373"/>
      <c r="G15" s="373"/>
      <c r="H15" s="373"/>
      <c r="I15" s="373"/>
      <c r="J15" s="373"/>
      <c r="K15" s="373"/>
      <c r="L15" s="373"/>
      <c r="M15" s="373"/>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5"/>
      <c r="B17" s="345"/>
      <c r="C17" s="345"/>
      <c r="D17" s="345"/>
      <c r="E17" s="345"/>
      <c r="F17" s="345"/>
      <c r="G17" s="345"/>
      <c r="H17" s="345"/>
      <c r="I17" s="345"/>
      <c r="J17" s="345"/>
      <c r="K17" s="345"/>
      <c r="L17" s="345"/>
      <c r="M17" s="345"/>
      <c r="N17" s="4"/>
      <c r="O17" s="4"/>
      <c r="P17" s="4"/>
      <c r="Q17" s="4"/>
      <c r="R17" s="4"/>
      <c r="S17" s="4"/>
      <c r="T17" s="4"/>
      <c r="U17" s="4"/>
    </row>
    <row r="18" spans="1:24" s="3" customFormat="1" ht="91.5" customHeight="1" x14ac:dyDescent="0.2">
      <c r="A18" s="374" t="s">
        <v>476</v>
      </c>
      <c r="B18" s="374"/>
      <c r="C18" s="374"/>
      <c r="D18" s="374"/>
      <c r="E18" s="374"/>
      <c r="F18" s="374"/>
      <c r="G18" s="374"/>
      <c r="H18" s="374"/>
      <c r="I18" s="374"/>
      <c r="J18" s="374"/>
      <c r="K18" s="374"/>
      <c r="L18" s="374"/>
      <c r="M18" s="374"/>
      <c r="N18" s="6"/>
      <c r="O18" s="6"/>
      <c r="P18" s="6"/>
      <c r="Q18" s="6"/>
      <c r="R18" s="6"/>
      <c r="S18" s="6"/>
      <c r="T18" s="6"/>
      <c r="U18" s="6"/>
      <c r="V18" s="6"/>
      <c r="W18" s="6"/>
      <c r="X18" s="6"/>
    </row>
    <row r="19" spans="1:24" s="3" customFormat="1" ht="78" customHeight="1" x14ac:dyDescent="0.2">
      <c r="A19" s="375" t="s">
        <v>3</v>
      </c>
      <c r="B19" s="375" t="s">
        <v>82</v>
      </c>
      <c r="C19" s="375" t="s">
        <v>81</v>
      </c>
      <c r="D19" s="375" t="s">
        <v>73</v>
      </c>
      <c r="E19" s="376" t="s">
        <v>80</v>
      </c>
      <c r="F19" s="377"/>
      <c r="G19" s="377"/>
      <c r="H19" s="377"/>
      <c r="I19" s="378"/>
      <c r="J19" s="375" t="s">
        <v>79</v>
      </c>
      <c r="K19" s="375"/>
      <c r="L19" s="375"/>
      <c r="M19" s="375"/>
      <c r="N19" s="4"/>
      <c r="O19" s="4"/>
      <c r="P19" s="4"/>
      <c r="Q19" s="4"/>
      <c r="R19" s="4"/>
      <c r="S19" s="4"/>
      <c r="T19" s="4"/>
      <c r="U19" s="4"/>
    </row>
    <row r="20" spans="1:24" s="3" customFormat="1" ht="51" customHeight="1" x14ac:dyDescent="0.2">
      <c r="A20" s="375"/>
      <c r="B20" s="375"/>
      <c r="C20" s="375"/>
      <c r="D20" s="375"/>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workbookViewId="0">
      <selection activeCell="F23" sqref="F23"/>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0" t="str">
        <f>'1. паспорт местоположение'!A5:C5</f>
        <v>Год раскрытия информации: 2023 год</v>
      </c>
      <c r="B5" s="380"/>
      <c r="C5" s="380"/>
      <c r="D5" s="380"/>
      <c r="E5" s="380"/>
      <c r="F5" s="380"/>
      <c r="G5" s="380"/>
      <c r="H5" s="380"/>
      <c r="I5" s="380"/>
      <c r="J5" s="380"/>
      <c r="K5" s="380"/>
      <c r="L5" s="380"/>
      <c r="M5" s="380"/>
      <c r="N5" s="380"/>
      <c r="O5" s="380"/>
      <c r="P5" s="380"/>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0" t="s">
        <v>7</v>
      </c>
      <c r="B7" s="380"/>
      <c r="C7" s="380"/>
      <c r="D7" s="380"/>
      <c r="E7" s="380"/>
      <c r="F7" s="380"/>
      <c r="G7" s="380"/>
      <c r="H7" s="380"/>
      <c r="I7" s="380"/>
      <c r="J7" s="380"/>
      <c r="K7" s="380"/>
      <c r="L7" s="380"/>
      <c r="M7" s="380"/>
      <c r="N7" s="380"/>
      <c r="O7" s="380"/>
      <c r="P7" s="380"/>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1" t="str">
        <f>'[1]1. паспорт местоположение'!A9:C9</f>
        <v xml:space="preserve">Акционерное общество "Западная энергетическая компания" </v>
      </c>
      <c r="B9" s="381"/>
      <c r="C9" s="381"/>
      <c r="D9" s="381"/>
      <c r="E9" s="381"/>
      <c r="F9" s="381"/>
      <c r="G9" s="381"/>
      <c r="H9" s="381"/>
      <c r="I9" s="381"/>
      <c r="J9" s="381"/>
      <c r="K9" s="381"/>
      <c r="L9" s="381"/>
      <c r="M9" s="381"/>
      <c r="N9" s="381"/>
      <c r="O9" s="381"/>
      <c r="P9" s="381"/>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79" t="s">
        <v>6</v>
      </c>
      <c r="B10" s="379"/>
      <c r="C10" s="379"/>
      <c r="D10" s="379"/>
      <c r="E10" s="379"/>
      <c r="F10" s="379"/>
      <c r="G10" s="379"/>
      <c r="H10" s="379"/>
      <c r="I10" s="379"/>
      <c r="J10" s="379"/>
      <c r="K10" s="379"/>
      <c r="L10" s="379"/>
      <c r="M10" s="379"/>
      <c r="N10" s="379"/>
      <c r="O10" s="379"/>
      <c r="P10" s="379"/>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1" t="str">
        <f>'1. паспорт местоположение'!A12:C12</f>
        <v>M 22-09</v>
      </c>
      <c r="B12" s="381"/>
      <c r="C12" s="381"/>
      <c r="D12" s="381"/>
      <c r="E12" s="381"/>
      <c r="F12" s="381"/>
      <c r="G12" s="381"/>
      <c r="H12" s="381"/>
      <c r="I12" s="381"/>
      <c r="J12" s="381"/>
      <c r="K12" s="381"/>
      <c r="L12" s="381"/>
      <c r="M12" s="381"/>
      <c r="N12" s="381"/>
      <c r="O12" s="381"/>
      <c r="P12" s="381"/>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79" t="s">
        <v>5</v>
      </c>
      <c r="B13" s="379"/>
      <c r="C13" s="379"/>
      <c r="D13" s="379"/>
      <c r="E13" s="379"/>
      <c r="F13" s="379"/>
      <c r="G13" s="379"/>
      <c r="H13" s="379"/>
      <c r="I13" s="379"/>
      <c r="J13" s="379"/>
      <c r="K13" s="379"/>
      <c r="L13" s="379"/>
      <c r="M13" s="379"/>
      <c r="N13" s="379"/>
      <c r="O13" s="379"/>
      <c r="P13" s="379"/>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4" t="str">
        <f>'1. паспорт местоположение'!A15:C15</f>
        <v>Приобретение мини-экскаватора JCB8030ZTS</v>
      </c>
      <c r="B15" s="384"/>
      <c r="C15" s="384"/>
      <c r="D15" s="384"/>
      <c r="E15" s="384"/>
      <c r="F15" s="384"/>
      <c r="G15" s="384"/>
      <c r="H15" s="384"/>
      <c r="I15" s="384"/>
      <c r="J15" s="384"/>
      <c r="K15" s="384"/>
      <c r="L15" s="384"/>
      <c r="M15" s="384"/>
      <c r="N15" s="384"/>
      <c r="O15" s="384"/>
      <c r="P15" s="384"/>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5" t="s">
        <v>4</v>
      </c>
      <c r="B16" s="385"/>
      <c r="C16" s="385"/>
      <c r="D16" s="385"/>
      <c r="E16" s="385"/>
      <c r="F16" s="385"/>
      <c r="G16" s="385"/>
      <c r="H16" s="385"/>
      <c r="I16" s="385"/>
      <c r="J16" s="385"/>
      <c r="K16" s="385"/>
      <c r="L16" s="385"/>
      <c r="M16" s="385"/>
      <c r="N16" s="385"/>
      <c r="O16" s="385"/>
      <c r="P16" s="38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6" t="s">
        <v>477</v>
      </c>
      <c r="B18" s="386"/>
      <c r="C18" s="386"/>
      <c r="D18" s="386"/>
      <c r="E18" s="386"/>
      <c r="F18" s="386"/>
      <c r="G18" s="386"/>
      <c r="H18" s="386"/>
      <c r="I18" s="386"/>
      <c r="J18" s="386"/>
      <c r="K18" s="386"/>
      <c r="L18" s="386"/>
      <c r="M18" s="386"/>
      <c r="N18" s="386"/>
      <c r="O18" s="386"/>
      <c r="P18" s="386"/>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1904470.0859999999</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7" t="s">
        <v>324</v>
      </c>
      <c r="E27" s="388"/>
      <c r="F27" s="389"/>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190.4470086</v>
      </c>
      <c r="C28" s="205"/>
      <c r="D28" s="387" t="s">
        <v>322</v>
      </c>
      <c r="E28" s="388"/>
      <c r="F28" s="389"/>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7" t="s">
        <v>554</v>
      </c>
      <c r="E29" s="388"/>
      <c r="F29" s="389"/>
      <c r="G29" s="222">
        <f>L87</f>
        <v>-2290354.0165860425</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7"/>
      <c r="E30" s="388"/>
      <c r="F30" s="389"/>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555</v>
      </c>
      <c r="B34" s="217">
        <f>B24*0.0003</f>
        <v>571.3410257999999</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556</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5.0999999999999997E-2</v>
      </c>
      <c r="C47" s="243">
        <v>4.9000000000000002E-2</v>
      </c>
      <c r="D47" s="243">
        <v>4.7E-2</v>
      </c>
      <c r="E47" s="243">
        <v>4.7E-2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5.0999999999999997E-2</v>
      </c>
      <c r="C48" s="244">
        <f t="shared" ref="C48:AE48" si="0">(1+B48)*(1+C47)-1</f>
        <v>0.1024989999999999</v>
      </c>
      <c r="D48" s="244">
        <f t="shared" si="0"/>
        <v>0.15431645299999985</v>
      </c>
      <c r="E48" s="244">
        <f t="shared" si="0"/>
        <v>0.20856932629099978</v>
      </c>
      <c r="F48" s="244">
        <f>(1+E48)*(1+F47)-1</f>
        <v>0.26537208462667672</v>
      </c>
      <c r="G48" s="244">
        <f t="shared" si="0"/>
        <v>0.32484457260413047</v>
      </c>
      <c r="H48" s="244">
        <f t="shared" si="0"/>
        <v>0.38711226751652461</v>
      </c>
      <c r="I48" s="244">
        <f t="shared" si="0"/>
        <v>0.45230654408980109</v>
      </c>
      <c r="J48" s="244">
        <f t="shared" si="0"/>
        <v>0.52056495166202166</v>
      </c>
      <c r="K48" s="244">
        <f t="shared" si="0"/>
        <v>0.59203150439013652</v>
      </c>
      <c r="L48" s="244">
        <f t="shared" si="0"/>
        <v>0.66685698509647273</v>
      </c>
      <c r="M48" s="244">
        <f t="shared" si="0"/>
        <v>0.74519926339600673</v>
      </c>
      <c r="N48" s="244">
        <f t="shared" si="0"/>
        <v>0.82722362877561895</v>
      </c>
      <c r="O48" s="244">
        <f t="shared" si="0"/>
        <v>0.91310313932807285</v>
      </c>
      <c r="P48" s="244">
        <f t="shared" si="0"/>
        <v>1.003018986876492</v>
      </c>
      <c r="Q48" s="244">
        <f t="shared" si="0"/>
        <v>1.097160879259687</v>
      </c>
      <c r="R48" s="244">
        <f t="shared" si="0"/>
        <v>1.1957274405848923</v>
      </c>
      <c r="S48" s="244">
        <f t="shared" si="0"/>
        <v>1.2989266302923821</v>
      </c>
      <c r="T48" s="244">
        <f t="shared" si="0"/>
        <v>1.4069761819161237</v>
      </c>
      <c r="U48" s="244">
        <f t="shared" si="0"/>
        <v>1.5201040624661815</v>
      </c>
      <c r="V48" s="244">
        <f t="shared" si="0"/>
        <v>1.6385489534020916</v>
      </c>
      <c r="W48" s="244">
        <f t="shared" si="0"/>
        <v>1.7625607542119899</v>
      </c>
      <c r="X48" s="244">
        <f t="shared" si="0"/>
        <v>1.8924011096599531</v>
      </c>
      <c r="Y48" s="244">
        <f t="shared" si="0"/>
        <v>2.0283439618139707</v>
      </c>
      <c r="Z48" s="244">
        <f t="shared" si="0"/>
        <v>2.170676128019227</v>
      </c>
      <c r="AA48" s="244">
        <f t="shared" si="0"/>
        <v>2.3196979060361307</v>
      </c>
      <c r="AB48" s="244">
        <f t="shared" si="0"/>
        <v>2.4757237076198284</v>
      </c>
      <c r="AC48" s="244">
        <f t="shared" si="0"/>
        <v>2.6390827218779602</v>
      </c>
      <c r="AD48" s="244">
        <f t="shared" si="0"/>
        <v>2.810119609806224</v>
      </c>
      <c r="AE48" s="244">
        <f t="shared" si="0"/>
        <v>2.9891952314671162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-40501.730495599993</v>
      </c>
      <c r="D59" s="257">
        <f t="shared" si="3"/>
        <v>-40501.730495599993</v>
      </c>
      <c r="E59" s="257">
        <f t="shared" si="3"/>
        <v>-40501.730495599993</v>
      </c>
      <c r="F59" s="257">
        <f>SUM(F60:F65)</f>
        <v>-40501.730495599993</v>
      </c>
      <c r="G59" s="257">
        <f t="shared" si="3"/>
        <v>-39105.119099199997</v>
      </c>
      <c r="H59" s="257">
        <f t="shared" si="3"/>
        <v>-37708.507702799994</v>
      </c>
      <c r="I59" s="257">
        <f t="shared" si="3"/>
        <v>-36311.896306399991</v>
      </c>
      <c r="J59" s="257">
        <f t="shared" si="3"/>
        <v>-34915.284909999995</v>
      </c>
      <c r="K59" s="257">
        <f t="shared" si="3"/>
        <v>-33518.673513599992</v>
      </c>
      <c r="L59" s="257">
        <f t="shared" si="3"/>
        <v>-32350.598527519993</v>
      </c>
      <c r="M59" s="257">
        <f t="shared" si="3"/>
        <v>-30725.450720799992</v>
      </c>
      <c r="N59" s="257">
        <f t="shared" si="3"/>
        <v>-30014.448555359992</v>
      </c>
      <c r="O59" s="257">
        <f t="shared" si="3"/>
        <v>-27932.227927999993</v>
      </c>
      <c r="P59" s="257">
        <f t="shared" si="3"/>
        <v>-57261.06725239996</v>
      </c>
      <c r="Q59" s="257">
        <f t="shared" si="3"/>
        <v>-25139.00513519999</v>
      </c>
      <c r="R59" s="257">
        <f t="shared" si="3"/>
        <v>-357898.273192744</v>
      </c>
      <c r="S59" s="257">
        <f t="shared" si="3"/>
        <v>-22345.782342399991</v>
      </c>
      <c r="T59" s="257">
        <f t="shared" si="3"/>
        <v>-20949.170945999991</v>
      </c>
      <c r="U59" s="257">
        <f t="shared" si="3"/>
        <v>-19552.559549599988</v>
      </c>
      <c r="V59" s="257">
        <f t="shared" ref="V59:AE59" si="4">SUM(V60:V65)</f>
        <v>-18841.557384159987</v>
      </c>
      <c r="W59" s="257">
        <f t="shared" si="4"/>
        <v>-16759.336756799989</v>
      </c>
      <c r="X59" s="257">
        <f t="shared" si="4"/>
        <v>-349518.60481434397</v>
      </c>
      <c r="Y59" s="257">
        <f t="shared" si="4"/>
        <v>-13966.113963999987</v>
      </c>
      <c r="Z59" s="257">
        <f t="shared" si="4"/>
        <v>-12569.502567599988</v>
      </c>
      <c r="AA59" s="257">
        <f t="shared" si="4"/>
        <v>-11172.891171199988</v>
      </c>
      <c r="AB59" s="257">
        <f t="shared" si="4"/>
        <v>-9776.2797747999866</v>
      </c>
      <c r="AC59" s="257">
        <f t="shared" si="4"/>
        <v>0</v>
      </c>
      <c r="AD59" s="257">
        <f t="shared" si="4"/>
        <v>-685.60923095999988</v>
      </c>
      <c r="AE59" s="257">
        <f t="shared" si="4"/>
        <v>0</v>
      </c>
    </row>
    <row r="60" spans="1:31" s="195" customFormat="1" ht="12.75" x14ac:dyDescent="0.2">
      <c r="A60" s="258" t="s">
        <v>299</v>
      </c>
      <c r="B60" s="251"/>
      <c r="C60" s="251"/>
      <c r="D60" s="251"/>
      <c r="E60" s="251"/>
      <c r="F60" s="251"/>
      <c r="G60" s="251"/>
      <c r="H60" s="251"/>
      <c r="I60" s="251"/>
      <c r="J60" s="251"/>
      <c r="K60" s="251"/>
      <c r="L60" s="251">
        <f>-B28*1.2</f>
        <v>-228.53641031999999</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555</v>
      </c>
      <c r="B62" s="251"/>
      <c r="C62" s="251"/>
      <c r="D62" s="251"/>
      <c r="E62" s="251"/>
      <c r="F62" s="259"/>
      <c r="G62" s="251"/>
      <c r="H62" s="251"/>
      <c r="I62" s="251"/>
      <c r="J62" s="251"/>
      <c r="K62" s="251"/>
      <c r="L62" s="251"/>
      <c r="M62" s="251"/>
      <c r="N62" s="251">
        <f>-B34*1.2</f>
        <v>-685.60923095999988</v>
      </c>
      <c r="O62" s="251"/>
      <c r="P62" s="251"/>
      <c r="Q62" s="251"/>
      <c r="R62" s="251"/>
      <c r="S62" s="251"/>
      <c r="T62" s="251"/>
      <c r="U62" s="251"/>
      <c r="V62" s="251">
        <f>N62</f>
        <v>-685.60923095999988</v>
      </c>
      <c r="W62" s="251"/>
      <c r="X62" s="251"/>
      <c r="Y62" s="251"/>
      <c r="Z62" s="251"/>
      <c r="AA62" s="251"/>
      <c r="AB62" s="251"/>
      <c r="AC62" s="251"/>
      <c r="AD62" s="251">
        <f>V62</f>
        <v>-685.60923095999988</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557</v>
      </c>
      <c r="B65" s="260">
        <v>0</v>
      </c>
      <c r="C65" s="260">
        <f>-($B$24+C67)*0.022</f>
        <v>-40501.730495599993</v>
      </c>
      <c r="D65" s="260">
        <f t="shared" ref="D65:E65" si="5">-($B$24+D67)*0.022</f>
        <v>-40501.730495599993</v>
      </c>
      <c r="E65" s="260">
        <f t="shared" si="5"/>
        <v>-40501.730495599993</v>
      </c>
      <c r="F65" s="260">
        <f>-($B$24+F67)*0.022</f>
        <v>-40501.730495599993</v>
      </c>
      <c r="G65" s="260">
        <f>-($B$24+G67+F67)*0.022</f>
        <v>-39105.119099199997</v>
      </c>
      <c r="H65" s="261">
        <f>-($B$24+H67+F67+G67)*0.022</f>
        <v>-37708.507702799994</v>
      </c>
      <c r="I65" s="261">
        <f>-($B$24+I67+G67+H67+F67)*0.022</f>
        <v>-36311.896306399991</v>
      </c>
      <c r="J65" s="261">
        <f>-($B$24+J67+H67+I67+G67+F67)*0.022</f>
        <v>-34915.284909999995</v>
      </c>
      <c r="K65" s="261">
        <f>-($B$24+K67+I67+J67+H67+F67+G67)*0.022</f>
        <v>-33518.673513599992</v>
      </c>
      <c r="L65" s="261">
        <f>-($B$24+F67+L67+J67+K67+I67+G67+H67)*0.022</f>
        <v>-32122.062117199992</v>
      </c>
      <c r="M65" s="261">
        <f>-($B$24+G67+M67+K67+L67+J67+H67+I67+F67)*0.022</f>
        <v>-30725.450720799992</v>
      </c>
      <c r="N65" s="261">
        <f>-($B$24+H67+N67+L67+M67+K67+I67+J67+F67+G67)*0.022</f>
        <v>-29328.839324399993</v>
      </c>
      <c r="O65" s="261">
        <f>-($B$24+I67+O67+M67+N67+L67+J67+K67+H67+G67+F67)*0.022</f>
        <v>-27932.227927999993</v>
      </c>
      <c r="P65" s="261">
        <f>(-$B$24+J67+P67+N67+O67+M67+K67+L67+I67+H67+G67+F67)*0.022</f>
        <v>-57261.06725239996</v>
      </c>
      <c r="Q65" s="261">
        <f>-($B$24+K67+Q67+O67+P67+N67+L67+M67+J67+I67+H67+F67+G67)*0.022</f>
        <v>-25139.00513519999</v>
      </c>
      <c r="R65" s="261">
        <f>-($B$24+L67+R67+P67+Q67+O67+M67+N67+K67+J67+I67+G67+F67+H67)*0.022</f>
        <v>-23742.39373879999</v>
      </c>
      <c r="S65" s="261">
        <f>-($B$24+M67+S67+Q67+R67+P67+N67+O67+L67+K67+J67+H67+I67+F67+G67)*0.022</f>
        <v>-22345.782342399991</v>
      </c>
      <c r="T65" s="261">
        <f>-($B$24+N67+T67+R67+S67+Q67+O67+P67+M67+L67+K67+I67+J67+G67+F67+H67)*0.022</f>
        <v>-20949.170945999991</v>
      </c>
      <c r="U65" s="261">
        <f>-($B$24+O67+U67+S67+T67+R67+P67+Q67+N67+M67+L67+J67+K67+H67+G67+F67+I67)*0.022</f>
        <v>-19552.559549599988</v>
      </c>
      <c r="V65" s="261">
        <f>-($B$24+P67+V67+T67+U67+S67+Q67+R67+O67+N67+M67+K67+L67+I67+H67+G67+F67+J67)*0.022</f>
        <v>-18155.948153199988</v>
      </c>
      <c r="W65" s="261">
        <f>-($B$24+Q67+W67+U67+V67+T67+R67+S67+P67+O67+N67+L67+M67+J67+I67+H67+G67+F67+K67)*0.022</f>
        <v>-16759.336756799989</v>
      </c>
      <c r="X65" s="261">
        <f>-($B$24+R67+X67+V67+W67+U67+S67+T67+Q67+P67+O67+M67+N67+K67+J67+I67+H67+F67+G67++L67)*0.022</f>
        <v>-15362.725360399989</v>
      </c>
      <c r="Y65" s="261">
        <f>-($B$24+S67+Y67+W67+X67+V67+T67+U67+R67+Q67+P67+N67+O67+L67+K67+J67+I67+G67+H67+F67+M67)*0.022</f>
        <v>-13966.113963999987</v>
      </c>
      <c r="Z65" s="261">
        <f>-($B$24+T67+Z67+X67+Y67+W67+U67+V67+S67+R67+Q67+O67+P67+M67+L67+K67+J67+H67+I67+G67+F67+N67)*0.022</f>
        <v>-12569.502567599988</v>
      </c>
      <c r="AA65" s="261">
        <f>-($B$24+U67+AA67+Y67+Z67+X67+V67+W67+T67+S67+R67+P67+Q67+N67+M67+L67+K67+I67+J67+H67+G67+F67+O67)*0.022</f>
        <v>-11172.891171199988</v>
      </c>
      <c r="AB65" s="261">
        <f>-($B$24+V67+AB67+Z67+AA67+Y67+W67+X67+U67+T67+S67+Q67+R67+O67+N67+M67+L67+J67+K67+I67+H67+G67+F67+P67)*0.022</f>
        <v>-9776.2797747999866</v>
      </c>
      <c r="AC65" s="261">
        <v>0</v>
      </c>
      <c r="AD65" s="261">
        <v>0</v>
      </c>
      <c r="AE65" s="261">
        <v>0</v>
      </c>
      <c r="AF65" s="261"/>
    </row>
    <row r="66" spans="1:32" s="195" customFormat="1" ht="12.75" x14ac:dyDescent="0.2">
      <c r="A66" s="262" t="s">
        <v>558</v>
      </c>
      <c r="B66" s="191">
        <f t="shared" ref="B66:AE66" si="6">B58+B59</f>
        <v>0</v>
      </c>
      <c r="C66" s="191">
        <f t="shared" si="6"/>
        <v>-40501.730495599993</v>
      </c>
      <c r="D66" s="191">
        <f t="shared" ref="D66:E66" si="7">D58+D59</f>
        <v>-40501.730495599993</v>
      </c>
      <c r="E66" s="191">
        <f t="shared" si="7"/>
        <v>-40501.730495599993</v>
      </c>
      <c r="F66" s="191">
        <f t="shared" si="6"/>
        <v>-40501.730495599993</v>
      </c>
      <c r="G66" s="191">
        <f t="shared" si="6"/>
        <v>-39105.119099199997</v>
      </c>
      <c r="H66" s="191">
        <f t="shared" si="6"/>
        <v>-37708.507702799994</v>
      </c>
      <c r="I66" s="191">
        <f t="shared" si="6"/>
        <v>-36311.896306399991</v>
      </c>
      <c r="J66" s="191">
        <f t="shared" si="6"/>
        <v>-34915.284909999995</v>
      </c>
      <c r="K66" s="191">
        <f t="shared" si="6"/>
        <v>-33518.673513599992</v>
      </c>
      <c r="L66" s="191">
        <f t="shared" si="6"/>
        <v>-32350.598527519993</v>
      </c>
      <c r="M66" s="191">
        <f t="shared" si="6"/>
        <v>-30725.450720799992</v>
      </c>
      <c r="N66" s="191">
        <f t="shared" si="6"/>
        <v>-30014.448555359992</v>
      </c>
      <c r="O66" s="191">
        <f t="shared" si="6"/>
        <v>-27932.227927999993</v>
      </c>
      <c r="P66" s="191">
        <f t="shared" si="6"/>
        <v>-57261.06725239996</v>
      </c>
      <c r="Q66" s="191">
        <f t="shared" si="6"/>
        <v>-25139.00513519999</v>
      </c>
      <c r="R66" s="191">
        <f t="shared" si="6"/>
        <v>-357898.273192744</v>
      </c>
      <c r="S66" s="191">
        <f t="shared" si="6"/>
        <v>-22345.782342399991</v>
      </c>
      <c r="T66" s="191">
        <f t="shared" si="6"/>
        <v>-20949.170945999991</v>
      </c>
      <c r="U66" s="191">
        <f t="shared" si="6"/>
        <v>-19552.559549599988</v>
      </c>
      <c r="V66" s="191">
        <f t="shared" si="6"/>
        <v>-18841.557384159987</v>
      </c>
      <c r="W66" s="191">
        <f t="shared" si="6"/>
        <v>-16759.336756799989</v>
      </c>
      <c r="X66" s="191">
        <f t="shared" si="6"/>
        <v>-349518.60481434397</v>
      </c>
      <c r="Y66" s="191">
        <f t="shared" si="6"/>
        <v>-13966.113963999987</v>
      </c>
      <c r="Z66" s="191">
        <f t="shared" si="6"/>
        <v>-12569.502567599988</v>
      </c>
      <c r="AA66" s="191">
        <f t="shared" si="6"/>
        <v>-11172.891171199988</v>
      </c>
      <c r="AB66" s="191">
        <f t="shared" si="6"/>
        <v>-9776.2797747999866</v>
      </c>
      <c r="AC66" s="191">
        <f t="shared" si="6"/>
        <v>0</v>
      </c>
      <c r="AD66" s="191">
        <f t="shared" si="6"/>
        <v>-685.60923095999988</v>
      </c>
      <c r="AE66" s="191">
        <f t="shared" si="6"/>
        <v>0</v>
      </c>
    </row>
    <row r="67" spans="1:32" s="195" customFormat="1" ht="12.75" x14ac:dyDescent="0.2">
      <c r="A67" s="258" t="s">
        <v>294</v>
      </c>
      <c r="B67" s="263">
        <v>0</v>
      </c>
      <c r="C67" s="263">
        <f>($B$81+$C$81+$D$81+$E$81+$F$81)*$B$27/$B$26</f>
        <v>-63482.336200000005</v>
      </c>
      <c r="D67" s="263">
        <f t="shared" ref="D67:E67" si="8">($B$81+$C$81+$D$81+$E$81+$F$81)*$B$27/$B$26</f>
        <v>-63482.336200000005</v>
      </c>
      <c r="E67" s="263">
        <f t="shared" si="8"/>
        <v>-63482.336200000005</v>
      </c>
      <c r="F67" s="263">
        <f>($B$81+$C$81+$D$81+$E$81+$F$81)*$B$27/$B$26</f>
        <v>-63482.336200000005</v>
      </c>
      <c r="G67" s="263">
        <f>($B$81+$C$81+$D$81+$E$81+$F$81)*$B$27/$B$26</f>
        <v>-63482.336200000005</v>
      </c>
      <c r="H67" s="261">
        <f t="shared" ref="H67:AE67" si="9">G67</f>
        <v>-63482.336200000005</v>
      </c>
      <c r="I67" s="261">
        <f t="shared" si="9"/>
        <v>-63482.336200000005</v>
      </c>
      <c r="J67" s="261">
        <f t="shared" si="9"/>
        <v>-63482.336200000005</v>
      </c>
      <c r="K67" s="261">
        <f t="shared" si="9"/>
        <v>-63482.336200000005</v>
      </c>
      <c r="L67" s="261">
        <f t="shared" si="9"/>
        <v>-63482.336200000005</v>
      </c>
      <c r="M67" s="261">
        <f t="shared" si="9"/>
        <v>-63482.336200000005</v>
      </c>
      <c r="N67" s="261">
        <f t="shared" si="9"/>
        <v>-63482.336200000005</v>
      </c>
      <c r="O67" s="261">
        <f t="shared" si="9"/>
        <v>-63482.336200000005</v>
      </c>
      <c r="P67" s="261">
        <f t="shared" si="9"/>
        <v>-63482.336200000005</v>
      </c>
      <c r="Q67" s="261">
        <f t="shared" si="9"/>
        <v>-63482.336200000005</v>
      </c>
      <c r="R67" s="261">
        <f t="shared" si="9"/>
        <v>-63482.336200000005</v>
      </c>
      <c r="S67" s="261">
        <f t="shared" si="9"/>
        <v>-63482.336200000005</v>
      </c>
      <c r="T67" s="261">
        <f t="shared" si="9"/>
        <v>-63482.336200000005</v>
      </c>
      <c r="U67" s="261">
        <f t="shared" si="9"/>
        <v>-63482.336200000005</v>
      </c>
      <c r="V67" s="261">
        <f t="shared" si="9"/>
        <v>-63482.336200000005</v>
      </c>
      <c r="W67" s="261">
        <f t="shared" si="9"/>
        <v>-63482.336200000005</v>
      </c>
      <c r="X67" s="261">
        <f t="shared" si="9"/>
        <v>-63482.336200000005</v>
      </c>
      <c r="Y67" s="261">
        <f t="shared" si="9"/>
        <v>-63482.336200000005</v>
      </c>
      <c r="Z67" s="261">
        <f t="shared" si="9"/>
        <v>-63482.336200000005</v>
      </c>
      <c r="AA67" s="261">
        <f t="shared" si="9"/>
        <v>-63482.336200000005</v>
      </c>
      <c r="AB67" s="261">
        <f t="shared" si="9"/>
        <v>-63482.336200000005</v>
      </c>
      <c r="AC67" s="261">
        <v>0</v>
      </c>
      <c r="AD67" s="261">
        <f t="shared" si="9"/>
        <v>0</v>
      </c>
      <c r="AE67" s="261">
        <f t="shared" si="9"/>
        <v>0</v>
      </c>
    </row>
    <row r="68" spans="1:32" s="195" customFormat="1" ht="12.75" x14ac:dyDescent="0.2">
      <c r="A68" s="262" t="s">
        <v>559</v>
      </c>
      <c r="B68" s="191">
        <f t="shared" ref="B68:AE68" si="10">B66+B67</f>
        <v>0</v>
      </c>
      <c r="C68" s="191">
        <f t="shared" si="10"/>
        <v>-103984.06669559999</v>
      </c>
      <c r="D68" s="191">
        <f t="shared" si="10"/>
        <v>-103984.06669559999</v>
      </c>
      <c r="E68" s="191">
        <f t="shared" si="10"/>
        <v>-103984.06669559999</v>
      </c>
      <c r="F68" s="191">
        <f t="shared" si="10"/>
        <v>-103984.06669559999</v>
      </c>
      <c r="G68" s="191">
        <f t="shared" si="10"/>
        <v>-102587.4552992</v>
      </c>
      <c r="H68" s="191">
        <f t="shared" si="10"/>
        <v>-101190.8439028</v>
      </c>
      <c r="I68" s="191">
        <f t="shared" si="10"/>
        <v>-99794.232506400003</v>
      </c>
      <c r="J68" s="191">
        <f t="shared" si="10"/>
        <v>-98397.621110000007</v>
      </c>
      <c r="K68" s="191">
        <f t="shared" si="10"/>
        <v>-97001.009713599997</v>
      </c>
      <c r="L68" s="191">
        <f t="shared" si="10"/>
        <v>-95832.934727519998</v>
      </c>
      <c r="M68" s="191">
        <f t="shared" si="10"/>
        <v>-94207.78692079999</v>
      </c>
      <c r="N68" s="191">
        <f t="shared" si="10"/>
        <v>-93496.78475536</v>
      </c>
      <c r="O68" s="191">
        <f t="shared" si="10"/>
        <v>-91414.564127999998</v>
      </c>
      <c r="P68" s="191">
        <f t="shared" si="10"/>
        <v>-120743.40345239997</v>
      </c>
      <c r="Q68" s="191">
        <f t="shared" si="10"/>
        <v>-88621.341335199992</v>
      </c>
      <c r="R68" s="191">
        <f t="shared" si="10"/>
        <v>-421380.60939274402</v>
      </c>
      <c r="S68" s="191">
        <f t="shared" si="10"/>
        <v>-85828.1185424</v>
      </c>
      <c r="T68" s="191">
        <f t="shared" si="10"/>
        <v>-84431.507145999989</v>
      </c>
      <c r="U68" s="191">
        <f t="shared" si="10"/>
        <v>-83034.895749599993</v>
      </c>
      <c r="V68" s="191">
        <f t="shared" si="10"/>
        <v>-82323.893584159989</v>
      </c>
      <c r="W68" s="191">
        <f t="shared" si="10"/>
        <v>-80241.672956800001</v>
      </c>
      <c r="X68" s="191">
        <f t="shared" si="10"/>
        <v>-413000.94101434399</v>
      </c>
      <c r="Y68" s="191">
        <f t="shared" si="10"/>
        <v>-77448.450163999994</v>
      </c>
      <c r="Z68" s="191">
        <f t="shared" si="10"/>
        <v>-76051.838767599998</v>
      </c>
      <c r="AA68" s="191">
        <f t="shared" si="10"/>
        <v>-74655.227371199988</v>
      </c>
      <c r="AB68" s="191">
        <f t="shared" si="10"/>
        <v>-73258.615974799992</v>
      </c>
      <c r="AC68" s="191">
        <f t="shared" si="10"/>
        <v>0</v>
      </c>
      <c r="AD68" s="191">
        <f t="shared" si="10"/>
        <v>-685.60923095999988</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-103984.06669559999</v>
      </c>
      <c r="D70" s="191">
        <f t="shared" si="11"/>
        <v>-103984.06669559999</v>
      </c>
      <c r="E70" s="191">
        <f t="shared" si="11"/>
        <v>-103984.06669559999</v>
      </c>
      <c r="F70" s="191">
        <f t="shared" si="11"/>
        <v>-103984.06669559999</v>
      </c>
      <c r="G70" s="191">
        <f t="shared" si="11"/>
        <v>-102587.4552992</v>
      </c>
      <c r="H70" s="191">
        <f t="shared" si="11"/>
        <v>-101190.8439028</v>
      </c>
      <c r="I70" s="191">
        <f t="shared" si="11"/>
        <v>-99794.232506400003</v>
      </c>
      <c r="J70" s="191">
        <f t="shared" si="11"/>
        <v>-98397.621110000007</v>
      </c>
      <c r="K70" s="191">
        <f t="shared" si="11"/>
        <v>-97001.009713599997</v>
      </c>
      <c r="L70" s="191">
        <f t="shared" si="11"/>
        <v>-95832.934727519998</v>
      </c>
      <c r="M70" s="191">
        <f t="shared" si="11"/>
        <v>-94207.78692079999</v>
      </c>
      <c r="N70" s="191">
        <f t="shared" si="11"/>
        <v>-93496.78475536</v>
      </c>
      <c r="O70" s="191">
        <f t="shared" si="11"/>
        <v>-91414.564127999998</v>
      </c>
      <c r="P70" s="191">
        <f t="shared" si="11"/>
        <v>-120743.40345239997</v>
      </c>
      <c r="Q70" s="191">
        <f t="shared" si="11"/>
        <v>-88621.341335199992</v>
      </c>
      <c r="R70" s="191">
        <f t="shared" si="11"/>
        <v>-421380.60939274402</v>
      </c>
      <c r="S70" s="191">
        <f t="shared" si="11"/>
        <v>-85828.1185424</v>
      </c>
      <c r="T70" s="191">
        <f t="shared" si="11"/>
        <v>-84431.507145999989</v>
      </c>
      <c r="U70" s="191">
        <f t="shared" si="11"/>
        <v>-83034.895749599993</v>
      </c>
      <c r="V70" s="191">
        <f t="shared" si="11"/>
        <v>-82323.893584159989</v>
      </c>
      <c r="W70" s="191">
        <f t="shared" si="11"/>
        <v>-80241.672956800001</v>
      </c>
      <c r="X70" s="191">
        <f t="shared" si="11"/>
        <v>-413000.94101434399</v>
      </c>
      <c r="Y70" s="191">
        <f t="shared" si="11"/>
        <v>-77448.450163999994</v>
      </c>
      <c r="Z70" s="191">
        <f t="shared" si="11"/>
        <v>-76051.838767599998</v>
      </c>
      <c r="AA70" s="191">
        <f t="shared" si="11"/>
        <v>-74655.227371199988</v>
      </c>
      <c r="AB70" s="191">
        <f t="shared" si="11"/>
        <v>-73258.615974799992</v>
      </c>
      <c r="AC70" s="191">
        <f t="shared" si="11"/>
        <v>0</v>
      </c>
      <c r="AD70" s="191">
        <f t="shared" si="11"/>
        <v>-685.60923095999988</v>
      </c>
      <c r="AE70" s="191">
        <f t="shared" si="11"/>
        <v>0</v>
      </c>
    </row>
    <row r="71" spans="1:32" s="195" customFormat="1" ht="12.75" x14ac:dyDescent="0.2">
      <c r="A71" s="258" t="s">
        <v>292</v>
      </c>
      <c r="B71" s="263">
        <f t="shared" ref="B71:AE71" si="12">-B70*$B$35</f>
        <v>0</v>
      </c>
      <c r="C71" s="263">
        <f t="shared" si="12"/>
        <v>20796.813339119999</v>
      </c>
      <c r="D71" s="263">
        <f t="shared" si="12"/>
        <v>20796.813339119999</v>
      </c>
      <c r="E71" s="263">
        <f t="shared" si="12"/>
        <v>20796.813339119999</v>
      </c>
      <c r="F71" s="263">
        <f t="shared" si="12"/>
        <v>20796.813339119999</v>
      </c>
      <c r="G71" s="263">
        <f t="shared" si="12"/>
        <v>20517.491059840002</v>
      </c>
      <c r="H71" s="263">
        <f t="shared" si="12"/>
        <v>20238.168780560001</v>
      </c>
      <c r="I71" s="263">
        <f t="shared" si="12"/>
        <v>19958.846501280001</v>
      </c>
      <c r="J71" s="263">
        <f t="shared" si="12"/>
        <v>19679.524222000004</v>
      </c>
      <c r="K71" s="263">
        <f t="shared" si="12"/>
        <v>19400.201942719999</v>
      </c>
      <c r="L71" s="263">
        <f t="shared" si="12"/>
        <v>19166.586945504001</v>
      </c>
      <c r="M71" s="263">
        <f t="shared" si="12"/>
        <v>18841.557384159998</v>
      </c>
      <c r="N71" s="263">
        <f t="shared" si="12"/>
        <v>18699.356951072001</v>
      </c>
      <c r="O71" s="263">
        <f t="shared" si="12"/>
        <v>18282.9128256</v>
      </c>
      <c r="P71" s="263">
        <f t="shared" si="12"/>
        <v>24148.680690479996</v>
      </c>
      <c r="Q71" s="263">
        <f t="shared" si="12"/>
        <v>17724.268267039999</v>
      </c>
      <c r="R71" s="263">
        <f t="shared" si="12"/>
        <v>84276.121878548816</v>
      </c>
      <c r="S71" s="263">
        <f t="shared" si="12"/>
        <v>17165.623708480001</v>
      </c>
      <c r="T71" s="263">
        <f t="shared" si="12"/>
        <v>16886.301429199997</v>
      </c>
      <c r="U71" s="263">
        <f t="shared" si="12"/>
        <v>16606.97914992</v>
      </c>
      <c r="V71" s="263">
        <f t="shared" si="12"/>
        <v>16464.778716831999</v>
      </c>
      <c r="W71" s="263">
        <f t="shared" si="12"/>
        <v>16048.334591360001</v>
      </c>
      <c r="X71" s="263">
        <f t="shared" si="12"/>
        <v>82600.188202868798</v>
      </c>
      <c r="Y71" s="263">
        <f t="shared" si="12"/>
        <v>15489.690032799999</v>
      </c>
      <c r="Z71" s="263">
        <f t="shared" si="12"/>
        <v>15210.36775352</v>
      </c>
      <c r="AA71" s="263">
        <f t="shared" si="12"/>
        <v>14931.045474239998</v>
      </c>
      <c r="AB71" s="263">
        <f t="shared" si="12"/>
        <v>14651.723194959999</v>
      </c>
      <c r="AC71" s="263">
        <f t="shared" si="12"/>
        <v>0</v>
      </c>
      <c r="AD71" s="263">
        <f t="shared" si="12"/>
        <v>137.12184619199999</v>
      </c>
      <c r="AE71" s="263">
        <f t="shared" si="12"/>
        <v>0</v>
      </c>
    </row>
    <row r="72" spans="1:32" s="195" customFormat="1" ht="13.5" thickBot="1" x14ac:dyDescent="0.25">
      <c r="A72" s="264" t="s">
        <v>296</v>
      </c>
      <c r="B72" s="265">
        <f t="shared" ref="B72:AE72" si="13">B70+B71</f>
        <v>0</v>
      </c>
      <c r="C72" s="265">
        <f t="shared" si="13"/>
        <v>-83187.253356479996</v>
      </c>
      <c r="D72" s="265">
        <f t="shared" si="13"/>
        <v>-83187.253356479996</v>
      </c>
      <c r="E72" s="265">
        <f t="shared" si="13"/>
        <v>-83187.253356479996</v>
      </c>
      <c r="F72" s="265">
        <f t="shared" si="13"/>
        <v>-83187.253356479996</v>
      </c>
      <c r="G72" s="265">
        <f t="shared" si="13"/>
        <v>-82069.964239359993</v>
      </c>
      <c r="H72" s="265">
        <f t="shared" si="13"/>
        <v>-80952.675122240005</v>
      </c>
      <c r="I72" s="265">
        <f t="shared" si="13"/>
        <v>-79835.386005120003</v>
      </c>
      <c r="J72" s="265">
        <f t="shared" si="13"/>
        <v>-78718.096888</v>
      </c>
      <c r="K72" s="265">
        <f t="shared" si="13"/>
        <v>-77600.807770879997</v>
      </c>
      <c r="L72" s="265">
        <f t="shared" si="13"/>
        <v>-76666.347782016004</v>
      </c>
      <c r="M72" s="265">
        <f t="shared" si="13"/>
        <v>-75366.229536639992</v>
      </c>
      <c r="N72" s="265">
        <f t="shared" si="13"/>
        <v>-74797.427804288003</v>
      </c>
      <c r="O72" s="265">
        <f t="shared" si="13"/>
        <v>-73131.651302400001</v>
      </c>
      <c r="P72" s="265">
        <f t="shared" si="13"/>
        <v>-96594.722761919984</v>
      </c>
      <c r="Q72" s="265">
        <f t="shared" si="13"/>
        <v>-70897.073068159996</v>
      </c>
      <c r="R72" s="265">
        <f t="shared" si="13"/>
        <v>-337104.48751419521</v>
      </c>
      <c r="S72" s="265">
        <f t="shared" si="13"/>
        <v>-68662.494833920005</v>
      </c>
      <c r="T72" s="265">
        <f t="shared" si="13"/>
        <v>-67545.205716799988</v>
      </c>
      <c r="U72" s="265">
        <f t="shared" si="13"/>
        <v>-66427.91659968</v>
      </c>
      <c r="V72" s="265">
        <f t="shared" si="13"/>
        <v>-65859.114867327997</v>
      </c>
      <c r="W72" s="265">
        <f t="shared" si="13"/>
        <v>-64193.338365440002</v>
      </c>
      <c r="X72" s="265">
        <f t="shared" si="13"/>
        <v>-330400.75281147519</v>
      </c>
      <c r="Y72" s="265">
        <f t="shared" si="13"/>
        <v>-61958.760131199997</v>
      </c>
      <c r="Z72" s="265">
        <f t="shared" si="13"/>
        <v>-60841.471014080002</v>
      </c>
      <c r="AA72" s="265">
        <f t="shared" si="13"/>
        <v>-59724.181896959992</v>
      </c>
      <c r="AB72" s="265">
        <f t="shared" si="13"/>
        <v>-58606.892779839996</v>
      </c>
      <c r="AC72" s="265">
        <f t="shared" si="13"/>
        <v>0</v>
      </c>
      <c r="AD72" s="265">
        <f t="shared" si="13"/>
        <v>-548.48738476799986</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559</v>
      </c>
      <c r="B75" s="191">
        <f t="shared" ref="B75:AE75" si="14">B68</f>
        <v>0</v>
      </c>
      <c r="C75" s="191">
        <f t="shared" si="14"/>
        <v>-103984.06669559999</v>
      </c>
      <c r="D75" s="191">
        <f t="shared" si="14"/>
        <v>-103984.06669559999</v>
      </c>
      <c r="E75" s="191">
        <f t="shared" si="14"/>
        <v>-103984.06669559999</v>
      </c>
      <c r="F75" s="191">
        <f t="shared" si="14"/>
        <v>-103984.06669559999</v>
      </c>
      <c r="G75" s="191">
        <f t="shared" si="14"/>
        <v>-102587.4552992</v>
      </c>
      <c r="H75" s="191">
        <f t="shared" si="14"/>
        <v>-101190.8439028</v>
      </c>
      <c r="I75" s="191">
        <f t="shared" si="14"/>
        <v>-99794.232506400003</v>
      </c>
      <c r="J75" s="191">
        <f t="shared" si="14"/>
        <v>-98397.621110000007</v>
      </c>
      <c r="K75" s="191">
        <f t="shared" si="14"/>
        <v>-97001.009713599997</v>
      </c>
      <c r="L75" s="191">
        <f t="shared" si="14"/>
        <v>-95832.934727519998</v>
      </c>
      <c r="M75" s="191">
        <f t="shared" si="14"/>
        <v>-94207.78692079999</v>
      </c>
      <c r="N75" s="191">
        <f t="shared" si="14"/>
        <v>-93496.78475536</v>
      </c>
      <c r="O75" s="191">
        <f t="shared" si="14"/>
        <v>-91414.564127999998</v>
      </c>
      <c r="P75" s="191">
        <f t="shared" si="14"/>
        <v>-120743.40345239997</v>
      </c>
      <c r="Q75" s="191">
        <f t="shared" si="14"/>
        <v>-88621.341335199992</v>
      </c>
      <c r="R75" s="191">
        <f t="shared" si="14"/>
        <v>-421380.60939274402</v>
      </c>
      <c r="S75" s="191">
        <f t="shared" si="14"/>
        <v>-85828.1185424</v>
      </c>
      <c r="T75" s="191">
        <f t="shared" si="14"/>
        <v>-84431.507145999989</v>
      </c>
      <c r="U75" s="191">
        <f t="shared" si="14"/>
        <v>-83034.895749599993</v>
      </c>
      <c r="V75" s="191">
        <f t="shared" si="14"/>
        <v>-82323.893584159989</v>
      </c>
      <c r="W75" s="191">
        <f t="shared" si="14"/>
        <v>-80241.672956800001</v>
      </c>
      <c r="X75" s="191">
        <f t="shared" si="14"/>
        <v>-413000.94101434399</v>
      </c>
      <c r="Y75" s="191">
        <f t="shared" si="14"/>
        <v>-77448.450163999994</v>
      </c>
      <c r="Z75" s="191">
        <f t="shared" si="14"/>
        <v>-76051.838767599998</v>
      </c>
      <c r="AA75" s="191">
        <f t="shared" si="14"/>
        <v>-74655.227371199988</v>
      </c>
      <c r="AB75" s="191">
        <f t="shared" si="14"/>
        <v>-73258.615974799992</v>
      </c>
      <c r="AC75" s="191">
        <f t="shared" si="14"/>
        <v>0</v>
      </c>
      <c r="AD75" s="191">
        <f t="shared" si="14"/>
        <v>-685.60923095999988</v>
      </c>
      <c r="AE75" s="191">
        <f t="shared" si="14"/>
        <v>0</v>
      </c>
    </row>
    <row r="76" spans="1:32" s="195" customFormat="1" ht="12.75" x14ac:dyDescent="0.2">
      <c r="A76" s="258" t="s">
        <v>294</v>
      </c>
      <c r="B76" s="263">
        <f t="shared" ref="B76:AE76" si="15">-B67</f>
        <v>0</v>
      </c>
      <c r="C76" s="263">
        <f t="shared" si="15"/>
        <v>63482.336200000005</v>
      </c>
      <c r="D76" s="263">
        <f t="shared" si="15"/>
        <v>63482.336200000005</v>
      </c>
      <c r="E76" s="263">
        <f t="shared" si="15"/>
        <v>63482.336200000005</v>
      </c>
      <c r="F76" s="263">
        <f t="shared" si="15"/>
        <v>63482.336200000005</v>
      </c>
      <c r="G76" s="263">
        <f>-G67</f>
        <v>63482.336200000005</v>
      </c>
      <c r="H76" s="263">
        <f t="shared" si="15"/>
        <v>63482.336200000005</v>
      </c>
      <c r="I76" s="263">
        <f t="shared" si="15"/>
        <v>63482.336200000005</v>
      </c>
      <c r="J76" s="263">
        <f t="shared" si="15"/>
        <v>63482.336200000005</v>
      </c>
      <c r="K76" s="263">
        <f t="shared" si="15"/>
        <v>63482.336200000005</v>
      </c>
      <c r="L76" s="263">
        <f t="shared" si="15"/>
        <v>63482.336200000005</v>
      </c>
      <c r="M76" s="263">
        <f t="shared" si="15"/>
        <v>63482.336200000005</v>
      </c>
      <c r="N76" s="263">
        <f t="shared" si="15"/>
        <v>63482.336200000005</v>
      </c>
      <c r="O76" s="263">
        <f t="shared" si="15"/>
        <v>63482.336200000005</v>
      </c>
      <c r="P76" s="263">
        <f t="shared" si="15"/>
        <v>63482.336200000005</v>
      </c>
      <c r="Q76" s="263">
        <f t="shared" si="15"/>
        <v>63482.336200000005</v>
      </c>
      <c r="R76" s="263">
        <f t="shared" si="15"/>
        <v>63482.336200000005</v>
      </c>
      <c r="S76" s="263">
        <f t="shared" si="15"/>
        <v>63482.336200000005</v>
      </c>
      <c r="T76" s="263">
        <f t="shared" si="15"/>
        <v>63482.336200000005</v>
      </c>
      <c r="U76" s="263">
        <f t="shared" si="15"/>
        <v>63482.336200000005</v>
      </c>
      <c r="V76" s="263">
        <f t="shared" si="15"/>
        <v>63482.336200000005</v>
      </c>
      <c r="W76" s="263">
        <f t="shared" si="15"/>
        <v>63482.336200000005</v>
      </c>
      <c r="X76" s="263">
        <f t="shared" si="15"/>
        <v>63482.336200000005</v>
      </c>
      <c r="Y76" s="263">
        <f t="shared" si="15"/>
        <v>63482.336200000005</v>
      </c>
      <c r="Z76" s="263">
        <f t="shared" si="15"/>
        <v>63482.336200000005</v>
      </c>
      <c r="AA76" s="263">
        <f t="shared" si="15"/>
        <v>63482.336200000005</v>
      </c>
      <c r="AB76" s="263">
        <f t="shared" si="15"/>
        <v>63482.336200000005</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-155500</v>
      </c>
      <c r="C79" s="263">
        <f>IF(((SUM($B$58:C58)+SUM($B$60:C64))+SUM($B$81:C81))&lt;0,((SUM($B$58:C58)+SUM($B$60:C64))+SUM($B$81:C81))*0.2-SUM($A$79:B79),IF(SUM($A$79:B79)&lt;0,0-SUM($A$79:B79),0))</f>
        <v>-225394.01720000006</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-45.707282064016908</v>
      </c>
      <c r="M79" s="263">
        <f>IF(((SUM($B$58:M58)+SUM($B$60:M64))+SUM($B$81:M81))&lt;0,((SUM($B$58:M58)+SUM($B$60:M64))+SUM($B$81:M81))*0.2-SUM($A$79:L79),IF(SUM($A$79:L79)&lt;0,0-SUM($A$79:L79),0))</f>
        <v>0</v>
      </c>
      <c r="N79" s="263">
        <f>IF(((SUM($B$58:N58)+SUM($B$60:N64))+SUM($B$81:N81))&lt;0,((SUM($B$58:N58)+SUM($B$60:N64))+SUM($B$81:N81))*0.2-SUM($A$79:M79),IF(SUM($A$79:M79)&lt;0,0-SUM($A$79:M79),0))</f>
        <v>-137.12184619199252</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-66831.175890788785</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-137.12184619205073</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-137.12184619193431</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ввод'!R24*1000000</f>
        <v>-777500</v>
      </c>
      <c r="C81" s="263">
        <f>-'6.2. Паспорт фин осв ввод'!V24*1000000</f>
        <v>-1126970.0860000001</v>
      </c>
      <c r="D81" s="263">
        <f>-'6.2. Паспорт фин осв ввод'!Z24*1000000</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-933000</v>
      </c>
      <c r="C83" s="191">
        <f t="shared" ref="C83:AE83" si="18">SUM(C75:C82)</f>
        <v>-1392865.8336956003</v>
      </c>
      <c r="D83" s="191">
        <f t="shared" si="18"/>
        <v>-40501.730495599986</v>
      </c>
      <c r="E83" s="191">
        <f t="shared" si="18"/>
        <v>-40501.730495599986</v>
      </c>
      <c r="F83" s="191">
        <f t="shared" si="18"/>
        <v>-40501.730495599986</v>
      </c>
      <c r="G83" s="191">
        <f t="shared" si="18"/>
        <v>-39105.11909919999</v>
      </c>
      <c r="H83" s="191">
        <f t="shared" si="18"/>
        <v>-37708.507702799994</v>
      </c>
      <c r="I83" s="191">
        <f t="shared" si="18"/>
        <v>-36311.896306399998</v>
      </c>
      <c r="J83" s="191">
        <f t="shared" si="18"/>
        <v>-34915.284910000002</v>
      </c>
      <c r="K83" s="191">
        <f t="shared" si="18"/>
        <v>-33518.673513599992</v>
      </c>
      <c r="L83" s="191">
        <f t="shared" si="18"/>
        <v>-32396.30580958401</v>
      </c>
      <c r="M83" s="191">
        <f t="shared" si="18"/>
        <v>-30725.450720799985</v>
      </c>
      <c r="N83" s="191">
        <f t="shared" si="18"/>
        <v>-30151.570401551988</v>
      </c>
      <c r="O83" s="191">
        <f t="shared" si="18"/>
        <v>-27932.227927999993</v>
      </c>
      <c r="P83" s="191">
        <f t="shared" si="18"/>
        <v>-57261.067252399967</v>
      </c>
      <c r="Q83" s="191">
        <f t="shared" si="18"/>
        <v>-25139.005135199986</v>
      </c>
      <c r="R83" s="191">
        <f t="shared" si="18"/>
        <v>-424729.44908353279</v>
      </c>
      <c r="S83" s="191">
        <f t="shared" si="18"/>
        <v>-22345.782342399994</v>
      </c>
      <c r="T83" s="191">
        <f t="shared" si="18"/>
        <v>-20949.170945999984</v>
      </c>
      <c r="U83" s="191">
        <f t="shared" si="18"/>
        <v>-19552.559549599988</v>
      </c>
      <c r="V83" s="191">
        <f t="shared" si="18"/>
        <v>-18978.679230352034</v>
      </c>
      <c r="W83" s="191">
        <f t="shared" si="18"/>
        <v>-16759.336756799996</v>
      </c>
      <c r="X83" s="191">
        <f t="shared" si="18"/>
        <v>-416349.78070513275</v>
      </c>
      <c r="Y83" s="191">
        <f t="shared" si="18"/>
        <v>-13966.113963999989</v>
      </c>
      <c r="Z83" s="191">
        <f t="shared" si="18"/>
        <v>-12569.502567599993</v>
      </c>
      <c r="AA83" s="191">
        <f t="shared" si="18"/>
        <v>-11172.891171199983</v>
      </c>
      <c r="AB83" s="191">
        <f t="shared" si="18"/>
        <v>-9776.2797747999866</v>
      </c>
      <c r="AC83" s="191">
        <f t="shared" si="18"/>
        <v>0</v>
      </c>
      <c r="AD83" s="191">
        <f t="shared" si="18"/>
        <v>-822.73107715193419</v>
      </c>
      <c r="AE83" s="191">
        <f t="shared" si="18"/>
        <v>0</v>
      </c>
    </row>
    <row r="84" spans="1:31" s="195" customFormat="1" ht="12.75" x14ac:dyDescent="0.2">
      <c r="A84" s="262" t="s">
        <v>560</v>
      </c>
      <c r="B84" s="191">
        <f>SUM($B$83:B83)</f>
        <v>-933000</v>
      </c>
      <c r="C84" s="191">
        <f>SUM($B$83:C83)</f>
        <v>-2325865.8336956003</v>
      </c>
      <c r="D84" s="191">
        <f>SUM($B$83:D83)</f>
        <v>-2366367.5641912003</v>
      </c>
      <c r="E84" s="191">
        <f>SUM($B$83:E83)</f>
        <v>-2406869.2946868003</v>
      </c>
      <c r="F84" s="191">
        <f>SUM($B$83:F83)</f>
        <v>-2447371.0251824004</v>
      </c>
      <c r="G84" s="191">
        <f>SUM($B$83:G83)</f>
        <v>-2486476.1442816001</v>
      </c>
      <c r="H84" s="191">
        <f>SUM($B$83:H83)</f>
        <v>-2524184.6519844001</v>
      </c>
      <c r="I84" s="191">
        <f>SUM($B$83:I83)</f>
        <v>-2560496.5482908003</v>
      </c>
      <c r="J84" s="191">
        <f>SUM($B$83:J83)</f>
        <v>-2595411.8332008002</v>
      </c>
      <c r="K84" s="191">
        <f>SUM($B$83:K83)</f>
        <v>-2628930.5067144004</v>
      </c>
      <c r="L84" s="191">
        <f>SUM($B$83:L83)</f>
        <v>-2661326.8125239844</v>
      </c>
      <c r="M84" s="191">
        <f>SUM($B$83:M83)</f>
        <v>-2692052.2632447844</v>
      </c>
      <c r="N84" s="191">
        <f>SUM($B$83:N83)</f>
        <v>-2722203.8336463366</v>
      </c>
      <c r="O84" s="191">
        <f>SUM($B$83:O83)</f>
        <v>-2750136.0615743366</v>
      </c>
      <c r="P84" s="191">
        <f>SUM($B$83:P83)</f>
        <v>-2807397.1288267365</v>
      </c>
      <c r="Q84" s="191">
        <f>SUM($B$83:Q83)</f>
        <v>-2832536.1339619365</v>
      </c>
      <c r="R84" s="191">
        <f>SUM($B$83:R83)</f>
        <v>-3257265.5830454691</v>
      </c>
      <c r="S84" s="191">
        <f>SUM($B$83:S83)</f>
        <v>-3279611.3653878691</v>
      </c>
      <c r="T84" s="191">
        <f>SUM($B$83:T83)</f>
        <v>-3300560.5363338692</v>
      </c>
      <c r="U84" s="191">
        <f>SUM($B$83:U83)</f>
        <v>-3320113.0958834691</v>
      </c>
      <c r="V84" s="191">
        <f>SUM($B$83:V83)</f>
        <v>-3339091.775113821</v>
      </c>
      <c r="W84" s="191">
        <f>SUM($B$83:W83)</f>
        <v>-3355851.1118706209</v>
      </c>
      <c r="X84" s="191">
        <f>SUM($B$83:X83)</f>
        <v>-3772200.8925757539</v>
      </c>
      <c r="Y84" s="191">
        <f>SUM($B$83:Y83)</f>
        <v>-3786167.0065397536</v>
      </c>
      <c r="Z84" s="191">
        <f>SUM($B$83:Z83)</f>
        <v>-3798736.5091073536</v>
      </c>
      <c r="AA84" s="191">
        <f>SUM($B$83:AA83)</f>
        <v>-3809909.4002785538</v>
      </c>
      <c r="AB84" s="191">
        <f>SUM($B$83:AB83)</f>
        <v>-3819685.6800533538</v>
      </c>
      <c r="AC84" s="191">
        <f>SUM($B$83:AC83)</f>
        <v>-3819685.6800533538</v>
      </c>
      <c r="AD84" s="191">
        <f>SUM($B$83:AD83)</f>
        <v>-3820508.4111305056</v>
      </c>
      <c r="AE84" s="191">
        <f>SUM($B$83:AE83)</f>
        <v>-3820508.4111305056</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561</v>
      </c>
      <c r="B86" s="191">
        <f t="shared" ref="B86:AE86" si="20">B83*B85</f>
        <v>-890106.72341364168</v>
      </c>
      <c r="C86" s="191">
        <f t="shared" si="20"/>
        <v>-1209457.463063969</v>
      </c>
      <c r="D86" s="191">
        <f t="shared" si="20"/>
        <v>-32009.269882395882</v>
      </c>
      <c r="E86" s="191">
        <f t="shared" si="20"/>
        <v>-29133.767072354494</v>
      </c>
      <c r="F86" s="191">
        <f t="shared" si="20"/>
        <v>-26516.580570086917</v>
      </c>
      <c r="G86" s="191">
        <f t="shared" si="20"/>
        <v>-23302.280625141109</v>
      </c>
      <c r="H86" s="191">
        <f t="shared" si="20"/>
        <v>-20451.493871939892</v>
      </c>
      <c r="I86" s="191">
        <f t="shared" si="20"/>
        <v>-17924.848580997656</v>
      </c>
      <c r="J86" s="191">
        <f t="shared" si="20"/>
        <v>-15687.113250097715</v>
      </c>
      <c r="K86" s="191">
        <f t="shared" si="20"/>
        <v>-13706.770474282153</v>
      </c>
      <c r="L86" s="191">
        <f t="shared" si="20"/>
        <v>-12057.705781136097</v>
      </c>
      <c r="M86" s="191">
        <f t="shared" si="20"/>
        <v>-10408.504407983211</v>
      </c>
      <c r="N86" s="191">
        <f t="shared" si="20"/>
        <v>-9296.5301096181029</v>
      </c>
      <c r="O86" s="191">
        <f t="shared" si="20"/>
        <v>-7838.5800216461712</v>
      </c>
      <c r="P86" s="191">
        <f t="shared" si="20"/>
        <v>-14625.547505574446</v>
      </c>
      <c r="Q86" s="191">
        <f t="shared" si="20"/>
        <v>-5844.1540690070524</v>
      </c>
      <c r="R86" s="191">
        <f t="shared" si="20"/>
        <v>-89868.360713826318</v>
      </c>
      <c r="S86" s="191">
        <f t="shared" si="20"/>
        <v>-4303.3917724233015</v>
      </c>
      <c r="T86" s="191">
        <f t="shared" si="20"/>
        <v>-3672.0030824127084</v>
      </c>
      <c r="U86" s="191">
        <f t="shared" si="20"/>
        <v>-3119.3254545540449</v>
      </c>
      <c r="V86" s="191">
        <f t="shared" si="20"/>
        <v>-2755.776123534069</v>
      </c>
      <c r="W86" s="191">
        <f t="shared" si="20"/>
        <v>-2214.9077897184516</v>
      </c>
      <c r="X86" s="191">
        <f t="shared" si="20"/>
        <v>-50081.58194582296</v>
      </c>
      <c r="Y86" s="191">
        <f t="shared" si="20"/>
        <v>-1529.0305245211453</v>
      </c>
      <c r="Z86" s="191">
        <f t="shared" si="20"/>
        <v>-1252.5052080358889</v>
      </c>
      <c r="AA86" s="191">
        <f t="shared" si="20"/>
        <v>-1013.3229841617976</v>
      </c>
      <c r="AB86" s="191">
        <f t="shared" si="20"/>
        <v>-807.00610825664205</v>
      </c>
      <c r="AC86" s="191">
        <f t="shared" si="20"/>
        <v>0</v>
      </c>
      <c r="AD86" s="191">
        <f t="shared" si="20"/>
        <v>-56.260404923348275</v>
      </c>
      <c r="AE86" s="191">
        <f t="shared" si="20"/>
        <v>0</v>
      </c>
    </row>
    <row r="87" spans="1:31" s="195" customFormat="1" ht="12.75" x14ac:dyDescent="0.2">
      <c r="A87" s="267" t="s">
        <v>562</v>
      </c>
      <c r="B87" s="191">
        <f>SUM($B$86:B86)</f>
        <v>-890106.72341364168</v>
      </c>
      <c r="C87" s="191">
        <f>SUM($B$86:C86)</f>
        <v>-2099564.1864776108</v>
      </c>
      <c r="D87" s="191">
        <f>SUM($B$86:D86)</f>
        <v>-2131573.4563600067</v>
      </c>
      <c r="E87" s="191">
        <f>SUM($B$86:E86)</f>
        <v>-2160707.2234323611</v>
      </c>
      <c r="F87" s="191">
        <f>SUM($B$86:F86)</f>
        <v>-2187223.804002448</v>
      </c>
      <c r="G87" s="191">
        <f>SUM($B$86:G86)</f>
        <v>-2210526.0846275892</v>
      </c>
      <c r="H87" s="191">
        <f>SUM($B$86:H86)</f>
        <v>-2230977.578499529</v>
      </c>
      <c r="I87" s="191">
        <f>SUM($B$86:I86)</f>
        <v>-2248902.4270805265</v>
      </c>
      <c r="J87" s="191">
        <f>SUM($B$86:J86)</f>
        <v>-2264589.5403306242</v>
      </c>
      <c r="K87" s="191">
        <f>SUM($B$86:K86)</f>
        <v>-2278296.3108049063</v>
      </c>
      <c r="L87" s="191">
        <f>SUM($B$86:L86)</f>
        <v>-2290354.0165860425</v>
      </c>
      <c r="M87" s="191">
        <f>SUM($B$86:M86)</f>
        <v>-2300762.5209940257</v>
      </c>
      <c r="N87" s="191">
        <f>SUM($B$86:N86)</f>
        <v>-2310059.0511036441</v>
      </c>
      <c r="O87" s="191">
        <f>SUM($B$86:O86)</f>
        <v>-2317897.6311252904</v>
      </c>
      <c r="P87" s="191">
        <f>SUM($B$86:P86)</f>
        <v>-2332523.1786308647</v>
      </c>
      <c r="Q87" s="191">
        <f>SUM($B$86:Q86)</f>
        <v>-2338367.3326998716</v>
      </c>
      <c r="R87" s="191">
        <f>SUM($B$86:R86)</f>
        <v>-2428235.6934136981</v>
      </c>
      <c r="S87" s="191">
        <f>SUM($B$86:S86)</f>
        <v>-2432539.0851861215</v>
      </c>
      <c r="T87" s="191">
        <f>SUM($B$86:T86)</f>
        <v>-2436211.0882685343</v>
      </c>
      <c r="U87" s="191">
        <f>SUM($B$86:U86)</f>
        <v>-2439330.4137230883</v>
      </c>
      <c r="V87" s="191">
        <f>SUM($B$86:V86)</f>
        <v>-2442086.1898466223</v>
      </c>
      <c r="W87" s="191">
        <f>SUM($B$86:W86)</f>
        <v>-2444301.0976363407</v>
      </c>
      <c r="X87" s="191">
        <f>SUM($B$86:X86)</f>
        <v>-2494382.6795821637</v>
      </c>
      <c r="Y87" s="191">
        <f>SUM($B$86:Y86)</f>
        <v>-2495911.7101066848</v>
      </c>
      <c r="Z87" s="191">
        <f>SUM($B$86:Z86)</f>
        <v>-2497164.2153147208</v>
      </c>
      <c r="AA87" s="191">
        <f>SUM($B$86:AA86)</f>
        <v>-2498177.5382988825</v>
      </c>
      <c r="AB87" s="191">
        <f>SUM($B$86:AB86)</f>
        <v>-2498984.5444071391</v>
      </c>
      <c r="AC87" s="191">
        <f>SUM($B$86:AC86)</f>
        <v>-2498984.5444071391</v>
      </c>
      <c r="AD87" s="191">
        <f>SUM($B$86:AD86)</f>
        <v>-2499040.8048120625</v>
      </c>
      <c r="AE87" s="191">
        <f>SUM($B$86:AE86)</f>
        <v>-2499040.8048120625</v>
      </c>
    </row>
    <row r="88" spans="1:31" s="195" customFormat="1" ht="12.75" x14ac:dyDescent="0.2">
      <c r="A88" s="267" t="s">
        <v>563</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564</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565</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90" t="s">
        <v>566</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row>
    <row r="94" spans="1:31" s="195" customFormat="1" ht="12.75" x14ac:dyDescent="0.2">
      <c r="A94" s="390" t="s">
        <v>567</v>
      </c>
      <c r="B94" s="390"/>
      <c r="C94" s="390"/>
      <c r="D94" s="390"/>
      <c r="E94" s="390"/>
      <c r="F94" s="390"/>
      <c r="G94" s="390"/>
      <c r="H94" s="390"/>
      <c r="I94" s="390"/>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x14ac:dyDescent="0.2">
      <c r="N97" s="205"/>
    </row>
    <row r="98" spans="1:71" s="195" customFormat="1" ht="12.75" x14ac:dyDescent="0.2">
      <c r="N98" s="205"/>
    </row>
    <row r="99" spans="1:71" s="195" customFormat="1" ht="12.75" x14ac:dyDescent="0.2">
      <c r="N99" s="205"/>
    </row>
    <row r="100" spans="1:71" s="282" customFormat="1" ht="15.75" x14ac:dyDescent="0.2">
      <c r="A100" s="278" t="s">
        <v>568</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x14ac:dyDescent="0.2">
      <c r="A102" s="284" t="s">
        <v>569</v>
      </c>
      <c r="B102" s="284" t="s">
        <v>570</v>
      </c>
      <c r="C102" s="284" t="s">
        <v>571</v>
      </c>
      <c r="D102" s="284" t="s">
        <v>572</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x14ac:dyDescent="0.2">
      <c r="A103" s="286" t="e">
        <f>G28/1000/1000</f>
        <v>#VALUE!</v>
      </c>
      <c r="B103" s="287">
        <f>L86</f>
        <v>-12057.705781136097</v>
      </c>
      <c r="C103" s="288">
        <f>G26</f>
        <v>0</v>
      </c>
      <c r="D103" s="288" t="str">
        <f>G27</f>
        <v>не окупается</v>
      </c>
      <c r="E103" s="285" t="s">
        <v>573</v>
      </c>
    </row>
    <row r="104" spans="1:71" s="285"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x14ac:dyDescent="0.2">
      <c r="A106" s="292" t="s">
        <v>574</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x14ac:dyDescent="0.2">
      <c r="A107" s="292" t="s">
        <v>575</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x14ac:dyDescent="0.2">
      <c r="A108" s="292" t="s">
        <v>576</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x14ac:dyDescent="0.2">
      <c r="A109" s="292" t="s">
        <v>577</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x14ac:dyDescent="0.2">
      <c r="A110" s="292" t="s">
        <v>578</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x14ac:dyDescent="0.2">
      <c r="A111" s="295" t="s">
        <v>579</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x14ac:dyDescent="0.2">
      <c r="A114" s="289"/>
      <c r="B114" s="391" t="s">
        <v>580</v>
      </c>
      <c r="C114" s="392"/>
      <c r="D114" s="391" t="s">
        <v>581</v>
      </c>
      <c r="E114" s="392"/>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x14ac:dyDescent="0.2">
      <c r="A115" s="292" t="s">
        <v>582</v>
      </c>
      <c r="B115" s="298"/>
      <c r="C115" s="289" t="s">
        <v>583</v>
      </c>
      <c r="D115" s="298">
        <v>16</v>
      </c>
      <c r="E115" s="289" t="s">
        <v>583</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x14ac:dyDescent="0.2">
      <c r="A116" s="292" t="s">
        <v>582</v>
      </c>
      <c r="B116" s="289">
        <f>$B$110*B115</f>
        <v>0</v>
      </c>
      <c r="C116" s="289" t="s">
        <v>125</v>
      </c>
      <c r="D116" s="289">
        <f>D115*B108</f>
        <v>14.88</v>
      </c>
      <c r="E116" s="289" t="s">
        <v>125</v>
      </c>
      <c r="F116" s="292" t="s">
        <v>584</v>
      </c>
      <c r="G116" s="289">
        <f>D115-B115</f>
        <v>16</v>
      </c>
      <c r="H116" s="289" t="s">
        <v>583</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x14ac:dyDescent="0.2">
      <c r="A117" s="289"/>
      <c r="B117" s="289"/>
      <c r="C117" s="289"/>
      <c r="D117" s="289"/>
      <c r="E117" s="289"/>
      <c r="F117" s="292" t="s">
        <v>585</v>
      </c>
      <c r="G117" s="299">
        <v>9.4623655913978499</v>
      </c>
      <c r="H117" s="289" t="s">
        <v>583</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x14ac:dyDescent="0.2">
      <c r="A118" s="300"/>
      <c r="B118" s="301"/>
      <c r="C118" s="301"/>
      <c r="D118" s="301"/>
      <c r="E118" s="301"/>
      <c r="F118" s="302" t="s">
        <v>586</v>
      </c>
      <c r="G118" s="289">
        <f>G116</f>
        <v>16</v>
      </c>
      <c r="H118" s="289" t="s">
        <v>583</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x14ac:dyDescent="0.2">
      <c r="A120" s="304" t="s">
        <v>587</v>
      </c>
      <c r="B120" s="305">
        <f>B124/1000000</f>
        <v>0</v>
      </c>
      <c r="D120" s="382" t="s">
        <v>323</v>
      </c>
      <c r="E120" s="306" t="s">
        <v>588</v>
      </c>
      <c r="F120" s="307">
        <v>35</v>
      </c>
      <c r="G120" s="383"/>
    </row>
    <row r="121" spans="1:71" s="285" customFormat="1" ht="15.75" x14ac:dyDescent="0.2">
      <c r="A121" s="304" t="s">
        <v>323</v>
      </c>
      <c r="B121" s="308">
        <v>30</v>
      </c>
      <c r="D121" s="382"/>
      <c r="E121" s="306" t="s">
        <v>589</v>
      </c>
      <c r="F121" s="307">
        <v>30</v>
      </c>
      <c r="G121" s="383"/>
    </row>
    <row r="122" spans="1:71" s="285" customFormat="1" ht="15.75" x14ac:dyDescent="0.2">
      <c r="A122" s="304" t="s">
        <v>590</v>
      </c>
      <c r="B122" s="308" t="s">
        <v>591</v>
      </c>
      <c r="C122" s="309" t="s">
        <v>592</v>
      </c>
      <c r="D122" s="382"/>
      <c r="E122" s="306" t="s">
        <v>593</v>
      </c>
      <c r="F122" s="307">
        <v>30</v>
      </c>
      <c r="G122" s="383"/>
    </row>
    <row r="123" spans="1:71" s="285" customFormat="1" ht="15.75" x14ac:dyDescent="0.2">
      <c r="A123" s="310"/>
      <c r="B123" s="311"/>
      <c r="C123" s="309"/>
      <c r="D123" s="382"/>
      <c r="E123" s="306" t="s">
        <v>594</v>
      </c>
      <c r="F123" s="307">
        <v>30</v>
      </c>
      <c r="G123" s="383"/>
    </row>
    <row r="124" spans="1:71" s="285" customFormat="1" ht="12.75" x14ac:dyDescent="0.2">
      <c r="A124" s="304" t="s">
        <v>595</v>
      </c>
      <c r="B124" s="312">
        <f>B126*1000000</f>
        <v>0</v>
      </c>
      <c r="C124" s="312"/>
      <c r="D124" s="312"/>
    </row>
    <row r="125" spans="1:71" s="285" customFormat="1" ht="12.75" x14ac:dyDescent="0.2">
      <c r="A125" s="304" t="s">
        <v>596</v>
      </c>
      <c r="B125" s="313">
        <v>1E-3</v>
      </c>
      <c r="C125" s="285">
        <v>2018</v>
      </c>
      <c r="D125" s="285">
        <v>2019</v>
      </c>
      <c r="E125" s="285">
        <v>2020</v>
      </c>
      <c r="F125" s="285">
        <v>2021</v>
      </c>
      <c r="G125" s="285">
        <v>2022</v>
      </c>
      <c r="H125" s="285">
        <v>2023</v>
      </c>
      <c r="I125" s="285">
        <v>2024</v>
      </c>
    </row>
    <row r="126" spans="1:71" s="285" customFormat="1" ht="12.75" x14ac:dyDescent="0.2">
      <c r="A126" s="303"/>
      <c r="B126" s="314">
        <f>SUM(C126:F126)</f>
        <v>0</v>
      </c>
      <c r="C126" s="314">
        <v>0</v>
      </c>
      <c r="D126" s="314">
        <v>0</v>
      </c>
      <c r="E126" s="314" t="s">
        <v>460</v>
      </c>
      <c r="F126" s="314" t="s">
        <v>460</v>
      </c>
    </row>
    <row r="127" spans="1:71" s="285" customFormat="1" ht="25.5" x14ac:dyDescent="0.2">
      <c r="A127" s="304" t="s">
        <v>597</v>
      </c>
      <c r="B127" s="315">
        <v>9.8699999999999996E-2</v>
      </c>
    </row>
    <row r="128" spans="1:71" s="285" customFormat="1" ht="15.75" x14ac:dyDescent="0.2">
      <c r="A128" s="316"/>
      <c r="B128" s="317"/>
    </row>
    <row r="129" spans="1:51" s="285" customFormat="1" ht="25.5" x14ac:dyDescent="0.2">
      <c r="A129" s="318" t="s">
        <v>598</v>
      </c>
      <c r="B129" s="319">
        <v>0.74426999999999999</v>
      </c>
    </row>
    <row r="130" spans="1:51" s="285" customFormat="1" ht="12.75" x14ac:dyDescent="0.2"/>
    <row r="131" spans="1:51" s="285" customFormat="1" ht="12.75" x14ac:dyDescent="0.2">
      <c r="A131" s="303"/>
      <c r="C131" s="285" t="s">
        <v>599</v>
      </c>
    </row>
    <row r="132" spans="1:51" s="285" customFormat="1" ht="15.75" x14ac:dyDescent="0.2">
      <c r="A132" s="304" t="s">
        <v>523</v>
      </c>
      <c r="B132" s="320"/>
      <c r="C132" s="321"/>
    </row>
    <row r="133" spans="1:51" s="285" customFormat="1" ht="12.75"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x14ac:dyDescent="0.2">
      <c r="A134" s="304" t="s">
        <v>524</v>
      </c>
      <c r="B134" s="323"/>
      <c r="C134" s="324"/>
      <c r="D134" s="324"/>
      <c r="E134" s="324"/>
      <c r="F134" s="324">
        <v>5.6000000000000001E-2</v>
      </c>
      <c r="G134" s="324">
        <v>5.3999999999999999E-2</v>
      </c>
      <c r="H134" s="324">
        <v>5.0999999999999997E-2</v>
      </c>
      <c r="I134" s="324">
        <v>4.9000000000000002E-2</v>
      </c>
      <c r="J134" s="324">
        <v>4.7E-2</v>
      </c>
      <c r="K134" s="324">
        <v>4.7E-2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x14ac:dyDescent="0.2">
      <c r="A135" s="304" t="s">
        <v>525</v>
      </c>
      <c r="B135" s="325"/>
      <c r="C135" s="326">
        <f>(1+B135)*(1+C134)-1</f>
        <v>0</v>
      </c>
      <c r="D135" s="326">
        <f>(1+C135)*(1+D134)-1</f>
        <v>0</v>
      </c>
      <c r="E135" s="326">
        <f>(1+D135)*(1+E134)-1</f>
        <v>0</v>
      </c>
      <c r="F135" s="326">
        <f t="shared" ref="F135:AY135" si="64">(1+E135)*(1+F134)-1</f>
        <v>5.600000000000005E-2</v>
      </c>
      <c r="G135" s="326">
        <f>(1+F135)*(1+G134)-1</f>
        <v>0.11302400000000001</v>
      </c>
      <c r="H135" s="326">
        <f t="shared" si="64"/>
        <v>0.16978822399999993</v>
      </c>
      <c r="I135" s="326">
        <f t="shared" si="64"/>
        <v>0.22710784697599995</v>
      </c>
      <c r="J135" s="326">
        <f t="shared" si="64"/>
        <v>0.2847819157838718</v>
      </c>
      <c r="K135" s="326">
        <f t="shared" si="64"/>
        <v>0.34516666582571376</v>
      </c>
      <c r="L135" s="326">
        <f t="shared" si="64"/>
        <v>0.40838949911952227</v>
      </c>
      <c r="M135" s="326">
        <f t="shared" si="64"/>
        <v>0.47458380557813973</v>
      </c>
      <c r="N135" s="326">
        <f t="shared" si="64"/>
        <v>0.54388924444031228</v>
      </c>
      <c r="O135" s="326">
        <f t="shared" si="64"/>
        <v>0.61645203892900691</v>
      </c>
      <c r="P135" s="326">
        <f t="shared" si="64"/>
        <v>0.69242528475867005</v>
      </c>
      <c r="Q135" s="326">
        <f t="shared" si="64"/>
        <v>0.77196927314232733</v>
      </c>
      <c r="R135" s="326">
        <f t="shared" si="64"/>
        <v>0.85525182898001662</v>
      </c>
      <c r="S135" s="326">
        <f t="shared" si="64"/>
        <v>0.94244866494207735</v>
      </c>
      <c r="T135" s="326">
        <f t="shared" si="64"/>
        <v>1.0337437521943547</v>
      </c>
      <c r="U135" s="326">
        <f t="shared" si="64"/>
        <v>1.1293297085474894</v>
      </c>
      <c r="V135" s="326">
        <f t="shared" si="64"/>
        <v>1.2294082048492214</v>
      </c>
      <c r="W135" s="326">
        <f t="shared" si="64"/>
        <v>1.3341903904771346</v>
      </c>
      <c r="X135" s="326">
        <f t="shared" si="64"/>
        <v>1.4438973388295597</v>
      </c>
      <c r="Y135" s="326">
        <f t="shared" si="64"/>
        <v>1.558760513754549</v>
      </c>
      <c r="Z135" s="326">
        <f t="shared" si="64"/>
        <v>1.6790222579010128</v>
      </c>
      <c r="AA135" s="326">
        <f t="shared" si="64"/>
        <v>1.8049363040223603</v>
      </c>
      <c r="AB135" s="326">
        <f t="shared" si="64"/>
        <v>1.9367683103114111</v>
      </c>
      <c r="AC135" s="326">
        <f t="shared" si="64"/>
        <v>2.074796420896047</v>
      </c>
      <c r="AD135" s="326">
        <f t="shared" si="64"/>
        <v>2.2193118526781608</v>
      </c>
      <c r="AE135" s="326">
        <f t="shared" si="64"/>
        <v>2.3706195097540341</v>
      </c>
      <c r="AF135" s="326">
        <f t="shared" si="64"/>
        <v>2.5290386267124734</v>
      </c>
      <c r="AG135" s="326">
        <f t="shared" si="64"/>
        <v>2.6949034421679592</v>
      </c>
      <c r="AH135" s="326">
        <f t="shared" si="64"/>
        <v>2.8685639039498532</v>
      </c>
      <c r="AI135" s="326">
        <f t="shared" si="64"/>
        <v>3.0503864074354956</v>
      </c>
      <c r="AJ135" s="326">
        <f t="shared" si="64"/>
        <v>3.2205026365477867</v>
      </c>
      <c r="AK135" s="326">
        <f t="shared" si="64"/>
        <v>3.3977637472827942</v>
      </c>
      <c r="AL135" s="326">
        <f t="shared" si="64"/>
        <v>3.5824698246686717</v>
      </c>
      <c r="AM135" s="326">
        <f t="shared" si="64"/>
        <v>3.774933557304756</v>
      </c>
      <c r="AN135" s="326">
        <f t="shared" si="64"/>
        <v>3.9754807667115557</v>
      </c>
      <c r="AO135" s="326">
        <f t="shared" si="64"/>
        <v>4.1844509589134411</v>
      </c>
      <c r="AP135" s="326">
        <f t="shared" si="64"/>
        <v>4.4021978991878061</v>
      </c>
      <c r="AQ135" s="326">
        <f t="shared" si="64"/>
        <v>4.6290902109536942</v>
      </c>
      <c r="AR135" s="326">
        <f t="shared" si="64"/>
        <v>4.8655119998137497</v>
      </c>
      <c r="AS135" s="326">
        <f t="shared" si="64"/>
        <v>5.1118635038059272</v>
      </c>
      <c r="AT135" s="326">
        <f t="shared" si="64"/>
        <v>5.3685617709657762</v>
      </c>
      <c r="AU135" s="326">
        <f t="shared" si="64"/>
        <v>5.6360413653463395</v>
      </c>
      <c r="AV135" s="326">
        <f t="shared" si="64"/>
        <v>5.9147551026908856</v>
      </c>
      <c r="AW135" s="326">
        <f>(1+AV135)*(1+AW134)-1</f>
        <v>6.2051748170039032</v>
      </c>
      <c r="AX135" s="326">
        <f t="shared" si="64"/>
        <v>6.5077921593180674</v>
      </c>
      <c r="AY135" s="326">
        <f t="shared" si="64"/>
        <v>6.8231194300094264</v>
      </c>
    </row>
    <row r="136" spans="1:51" s="285" customFormat="1" ht="15.75"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x14ac:dyDescent="0.2">
      <c r="A140" s="303"/>
      <c r="AQ140" s="281"/>
    </row>
    <row r="141" spans="1:51" s="285" customFormat="1" ht="12.75" x14ac:dyDescent="0.2">
      <c r="A141" s="303"/>
    </row>
    <row r="142" spans="1:51" s="285" customFormat="1" ht="12.75" x14ac:dyDescent="0.2">
      <c r="A142" s="303"/>
    </row>
    <row r="143" spans="1:51" s="285" customFormat="1" ht="12.75" x14ac:dyDescent="0.2">
      <c r="A143" s="303"/>
    </row>
    <row r="144" spans="1:51" s="285" customFormat="1" ht="12.75" x14ac:dyDescent="0.2">
      <c r="A144" s="303"/>
    </row>
    <row r="145" spans="1:71" s="285" customFormat="1" ht="12.75" x14ac:dyDescent="0.2">
      <c r="A145" s="303"/>
    </row>
    <row r="146" spans="1:71" s="285" customFormat="1" ht="12.75" x14ac:dyDescent="0.2">
      <c r="A146" s="303"/>
    </row>
    <row r="147" spans="1:71" s="285" customFormat="1" ht="12.75" x14ac:dyDescent="0.2">
      <c r="A147" s="303"/>
    </row>
    <row r="148" spans="1:71" s="285" customFormat="1" ht="12.75" x14ac:dyDescent="0.2">
      <c r="A148" s="303"/>
    </row>
    <row r="149" spans="1:71" s="285" customFormat="1" ht="12.75" x14ac:dyDescent="0.2">
      <c r="A149" s="303"/>
    </row>
    <row r="150" spans="1:71" s="285" customFormat="1" ht="12.75" x14ac:dyDescent="0.2">
      <c r="A150" s="303"/>
    </row>
    <row r="151" spans="1:71" s="285" customFormat="1" ht="12.75" x14ac:dyDescent="0.2">
      <c r="A151" s="303"/>
    </row>
    <row r="152" spans="1:71" s="285" customFormat="1" ht="12.75" x14ac:dyDescent="0.2">
      <c r="A152" s="303"/>
    </row>
    <row r="153" spans="1:71" s="285" customFormat="1" ht="12.75" x14ac:dyDescent="0.2">
      <c r="A153" s="303"/>
    </row>
    <row r="154" spans="1:71" s="285"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5" zoomScale="70" zoomScaleSheetLayoutView="70" workbookViewId="0">
      <selection activeCell="I29" sqref="I29"/>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7" t="str">
        <f>'1. паспорт местоположение'!A12:C12</f>
        <v>M 22-09</v>
      </c>
      <c r="B12" s="347"/>
      <c r="C12" s="347"/>
      <c r="D12" s="347"/>
      <c r="E12" s="347"/>
      <c r="F12" s="347"/>
      <c r="G12" s="347"/>
      <c r="H12" s="347"/>
      <c r="I12" s="347"/>
      <c r="J12" s="347"/>
      <c r="K12" s="347"/>
      <c r="L12" s="347"/>
    </row>
    <row r="13" spans="1:44" x14ac:dyDescent="0.25">
      <c r="A13" s="338" t="s">
        <v>5</v>
      </c>
      <c r="B13" s="338"/>
      <c r="C13" s="338"/>
      <c r="D13" s="338"/>
      <c r="E13" s="338"/>
      <c r="F13" s="338"/>
      <c r="G13" s="338"/>
      <c r="H13" s="338"/>
      <c r="I13" s="338"/>
      <c r="J13" s="338"/>
      <c r="K13" s="338"/>
      <c r="L13" s="338"/>
    </row>
    <row r="14" spans="1:44" ht="18.75" x14ac:dyDescent="0.25">
      <c r="A14" s="345"/>
      <c r="B14" s="345"/>
      <c r="C14" s="345"/>
      <c r="D14" s="345"/>
      <c r="E14" s="345"/>
      <c r="F14" s="345"/>
      <c r="G14" s="345"/>
      <c r="H14" s="345"/>
      <c r="I14" s="345"/>
      <c r="J14" s="345"/>
      <c r="K14" s="345"/>
      <c r="L14" s="345"/>
    </row>
    <row r="15" spans="1:44" ht="102" customHeight="1" x14ac:dyDescent="0.25">
      <c r="A15" s="344" t="str">
        <f>'1. паспорт местоположение'!A15</f>
        <v>Приобретение мини-экскаватора JCB8030ZTS</v>
      </c>
      <c r="B15" s="344"/>
      <c r="C15" s="344"/>
      <c r="D15" s="344"/>
      <c r="E15" s="344"/>
      <c r="F15" s="344"/>
      <c r="G15" s="344"/>
      <c r="H15" s="344"/>
      <c r="I15" s="344"/>
      <c r="J15" s="344"/>
      <c r="K15" s="344"/>
      <c r="L15" s="344"/>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393" t="s">
        <v>478</v>
      </c>
      <c r="B19" s="393"/>
      <c r="C19" s="393"/>
      <c r="D19" s="393"/>
      <c r="E19" s="393"/>
      <c r="F19" s="393"/>
      <c r="G19" s="393"/>
      <c r="H19" s="393"/>
      <c r="I19" s="393"/>
      <c r="J19" s="393"/>
      <c r="K19" s="393"/>
      <c r="L19" s="393"/>
    </row>
    <row r="20" spans="1:12" x14ac:dyDescent="0.25">
      <c r="A20" s="46"/>
      <c r="B20" s="46"/>
    </row>
    <row r="21" spans="1:12" ht="28.5" customHeight="1" x14ac:dyDescent="0.25">
      <c r="A21" s="394" t="s">
        <v>216</v>
      </c>
      <c r="B21" s="394" t="s">
        <v>215</v>
      </c>
      <c r="C21" s="399" t="s">
        <v>410</v>
      </c>
      <c r="D21" s="399"/>
      <c r="E21" s="399"/>
      <c r="F21" s="399"/>
      <c r="G21" s="399"/>
      <c r="H21" s="399"/>
      <c r="I21" s="394" t="s">
        <v>214</v>
      </c>
      <c r="J21" s="396" t="s">
        <v>412</v>
      </c>
      <c r="K21" s="394" t="s">
        <v>213</v>
      </c>
      <c r="L21" s="395" t="s">
        <v>411</v>
      </c>
    </row>
    <row r="22" spans="1:12" ht="58.5" customHeight="1" x14ac:dyDescent="0.25">
      <c r="A22" s="394"/>
      <c r="B22" s="394"/>
      <c r="C22" s="400" t="s">
        <v>2</v>
      </c>
      <c r="D22" s="400"/>
      <c r="E22" s="400" t="s">
        <v>9</v>
      </c>
      <c r="F22" s="400"/>
      <c r="G22" s="400" t="s">
        <v>532</v>
      </c>
      <c r="H22" s="400"/>
      <c r="I22" s="394"/>
      <c r="J22" s="397"/>
      <c r="K22" s="394"/>
      <c r="L22" s="395"/>
    </row>
    <row r="23" spans="1:12" ht="31.5" x14ac:dyDescent="0.25">
      <c r="A23" s="394"/>
      <c r="B23" s="394"/>
      <c r="C23" s="59" t="s">
        <v>212</v>
      </c>
      <c r="D23" s="59" t="s">
        <v>211</v>
      </c>
      <c r="E23" s="59" t="s">
        <v>212</v>
      </c>
      <c r="F23" s="59" t="s">
        <v>211</v>
      </c>
      <c r="G23" s="59" t="s">
        <v>212</v>
      </c>
      <c r="H23" s="59" t="s">
        <v>211</v>
      </c>
      <c r="I23" s="394"/>
      <c r="J23" s="398"/>
      <c r="K23" s="394"/>
      <c r="L23" s="395"/>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125"/>
      <c r="D38" s="125"/>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5">
        <v>44591</v>
      </c>
      <c r="D40" s="125">
        <v>44925</v>
      </c>
      <c r="E40" s="126"/>
      <c r="F40" s="126"/>
      <c r="G40" s="126">
        <v>44591</v>
      </c>
      <c r="H40" s="126">
        <v>44925</v>
      </c>
      <c r="I40" s="125"/>
      <c r="J40" s="57"/>
      <c r="K40" s="57"/>
      <c r="L40" s="57"/>
    </row>
    <row r="41" spans="1:12" ht="63" customHeight="1" x14ac:dyDescent="0.25">
      <c r="A41" s="59" t="s">
        <v>199</v>
      </c>
      <c r="B41" s="60" t="s">
        <v>509</v>
      </c>
      <c r="C41" s="125"/>
      <c r="D41" s="125"/>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5">
        <v>44591</v>
      </c>
      <c r="D43" s="125">
        <v>44925</v>
      </c>
      <c r="E43" s="126"/>
      <c r="F43" s="125"/>
      <c r="G43" s="126">
        <v>44591</v>
      </c>
      <c r="H43" s="126">
        <v>44925</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125"/>
      <c r="D48" s="125"/>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5">
        <v>44591</v>
      </c>
      <c r="D53" s="125">
        <v>44925</v>
      </c>
      <c r="E53" s="126"/>
      <c r="F53" s="126"/>
      <c r="G53" s="126">
        <v>44591</v>
      </c>
      <c r="H53" s="126">
        <v>44925</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2023-02-24T15:17:16Z</dcterms:modified>
</cp:coreProperties>
</file>