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6\паспорт карта\"/>
    </mc:Choice>
  </mc:AlternateContent>
  <xr:revisionPtr revIDLastSave="0" documentId="13_ncr:1_{525F9AF8-D1BE-4B63-84FC-9D289AA9AF36}" xr6:coauthVersionLast="47" xr6:coauthVersionMax="47" xr10:uidLastSave="{00000000-0000-0000-0000-000000000000}"/>
  <bookViews>
    <workbookView xWindow="390" yWindow="39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100" i="53" l="1"/>
  <c r="AC52" i="57"/>
  <c r="R25" i="57"/>
  <c r="R26" i="57"/>
  <c r="R27" i="57"/>
  <c r="R28" i="57"/>
  <c r="R29" i="57"/>
  <c r="R30" i="57"/>
  <c r="R31" i="57"/>
  <c r="R32" i="57"/>
  <c r="R33" i="57"/>
  <c r="R34" i="57"/>
  <c r="R35" i="57"/>
  <c r="R36" i="57"/>
  <c r="R37" i="57"/>
  <c r="R38" i="57"/>
  <c r="R39" i="57"/>
  <c r="R40" i="57"/>
  <c r="R41" i="57"/>
  <c r="R42" i="57"/>
  <c r="R43" i="57"/>
  <c r="R44" i="57"/>
  <c r="R45" i="57"/>
  <c r="R46" i="57"/>
  <c r="R47" i="57"/>
  <c r="R48" i="57"/>
  <c r="R49" i="57"/>
  <c r="R50" i="57"/>
  <c r="R51" i="57"/>
  <c r="R52" i="57"/>
  <c r="R53" i="57"/>
  <c r="R54" i="57"/>
  <c r="R55" i="57"/>
  <c r="R56" i="57"/>
  <c r="R57" i="57"/>
  <c r="R58" i="57"/>
  <c r="R59" i="57"/>
  <c r="R60" i="57"/>
  <c r="R61" i="57"/>
  <c r="R62" i="57"/>
  <c r="R63" i="57"/>
  <c r="R64" i="57"/>
  <c r="R24" i="57"/>
  <c r="D52" i="57"/>
  <c r="D45" i="57"/>
  <c r="D29" i="57"/>
  <c r="B27" i="53"/>
  <c r="C49" i="7"/>
  <c r="C48" i="7"/>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V24" i="57"/>
  <c r="S24" i="57"/>
  <c r="B81" i="58"/>
  <c r="E39" i="57"/>
  <c r="E41" i="57"/>
  <c r="E47" i="57"/>
  <c r="E49" i="57"/>
  <c r="E56" i="57"/>
  <c r="E63" i="57"/>
  <c r="N60" i="58" l="1"/>
  <c r="B70" i="58"/>
  <c r="B75" i="58"/>
  <c r="R61" i="58"/>
  <c r="E34" i="57"/>
  <c r="E33" i="57"/>
  <c r="E32" i="57"/>
  <c r="E31" i="57"/>
  <c r="E30" i="57" l="1"/>
  <c r="AC30" i="57" s="1"/>
  <c r="B71" i="58"/>
  <c r="Z61" i="58"/>
  <c r="T60" i="58"/>
  <c r="B78" i="58" l="1"/>
  <c r="Z60" i="58"/>
  <c r="B72" i="58"/>
  <c r="B25" i="53"/>
  <c r="E52" i="57" l="1"/>
  <c r="E24" i="57"/>
  <c r="AC24" i="57" l="1"/>
  <c r="E27" i="57"/>
  <c r="AC27" i="57" s="1"/>
  <c r="B97" i="53"/>
  <c r="C68" i="58" l="1"/>
  <c r="D67" i="58"/>
  <c r="B79" i="58"/>
  <c r="B24" i="53"/>
  <c r="N49" i="57"/>
  <c r="N33" i="57"/>
  <c r="N31" i="57"/>
  <c r="J64" i="57"/>
  <c r="J63" i="57"/>
  <c r="AC63" i="57" s="1"/>
  <c r="J62" i="57"/>
  <c r="J61" i="57"/>
  <c r="J60" i="57"/>
  <c r="J59" i="57"/>
  <c r="J58" i="57"/>
  <c r="J57" i="57"/>
  <c r="J56" i="57"/>
  <c r="AC56" i="57" s="1"/>
  <c r="J55" i="57"/>
  <c r="J54" i="57"/>
  <c r="J53" i="57"/>
  <c r="J52" i="57"/>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84" i="58"/>
  <c r="D72" i="58"/>
  <c r="A5" i="53"/>
  <c r="D89" i="58" l="1"/>
  <c r="E78" i="58"/>
  <c r="E83" i="58" s="1"/>
  <c r="E86" i="58" s="1"/>
  <c r="E88" i="58"/>
  <c r="D88" i="58"/>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H78" i="58"/>
  <c r="H83" i="58" s="1"/>
  <c r="H86" i="58" s="1"/>
  <c r="F86" i="58"/>
  <c r="F84" i="58"/>
  <c r="F89" i="58" s="1"/>
  <c r="G88" i="58"/>
  <c r="G84" i="58"/>
  <c r="F88" i="58"/>
  <c r="J76" i="58"/>
  <c r="K67" i="58"/>
  <c r="I70" i="58"/>
  <c r="I71" i="58" s="1"/>
  <c r="I75" i="58"/>
  <c r="K65" i="58" l="1"/>
  <c r="K59" i="58" s="1"/>
  <c r="K66" i="58" s="1"/>
  <c r="K68" i="58" s="1"/>
  <c r="H88" i="58"/>
  <c r="I78" i="58"/>
  <c r="I83" i="58" s="1"/>
  <c r="I86" i="58" s="1"/>
  <c r="I87" i="58" s="1"/>
  <c r="H84" i="58"/>
  <c r="H89" i="58" s="1"/>
  <c r="J75" i="58"/>
  <c r="J70" i="58"/>
  <c r="L67" i="58"/>
  <c r="K76" i="58"/>
  <c r="G89" i="58"/>
  <c r="H87" i="58"/>
  <c r="G87" i="58"/>
  <c r="F87" i="58"/>
  <c r="F90" i="58" s="1"/>
  <c r="I72" i="58"/>
  <c r="L65" i="58" l="1"/>
  <c r="L59" i="58" s="1"/>
  <c r="L66" i="58" s="1"/>
  <c r="L68" i="58" s="1"/>
  <c r="I88" i="58"/>
  <c r="I84" i="58"/>
  <c r="I89" i="58" s="1"/>
  <c r="H90" i="58"/>
  <c r="L76"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8" i="58"/>
  <c r="R65" i="58"/>
  <c r="R59" i="58" s="1"/>
  <c r="R66" i="58" s="1"/>
  <c r="R68" i="58" s="1"/>
  <c r="O78" i="58"/>
  <c r="O83" i="58" s="1"/>
  <c r="O84" i="58" s="1"/>
  <c r="N89" i="58"/>
  <c r="M90" i="58"/>
  <c r="N87" i="58"/>
  <c r="N90" i="58" s="1"/>
  <c r="P71" i="58"/>
  <c r="P78" i="58" s="1"/>
  <c r="P83" i="58" s="1"/>
  <c r="P84" i="58" s="1"/>
  <c r="Q70" i="58"/>
  <c r="Q75" i="58"/>
  <c r="R76" i="58"/>
  <c r="S67" i="58"/>
  <c r="L90" i="58"/>
  <c r="O89" i="58" l="1"/>
  <c r="O88" i="58"/>
  <c r="P89" i="58"/>
  <c r="S65" i="58"/>
  <c r="S59" i="58" s="1"/>
  <c r="S66" i="58" s="1"/>
  <c r="S68" i="58" s="1"/>
  <c r="O86" i="58"/>
  <c r="O87" i="58" s="1"/>
  <c r="O90" i="58" s="1"/>
  <c r="P72" i="58"/>
  <c r="T67" i="58"/>
  <c r="S76" i="58"/>
  <c r="Q71" i="58"/>
  <c r="Q78" i="58" s="1"/>
  <c r="Q83" i="58" s="1"/>
  <c r="R75" i="58"/>
  <c r="R70" i="58"/>
  <c r="P86" i="58"/>
  <c r="P88" i="58"/>
  <c r="P87" i="58" l="1"/>
  <c r="P90" i="58"/>
  <c r="T65" i="58"/>
  <c r="T59" i="58" s="1"/>
  <c r="T66" i="58" s="1"/>
  <c r="T68" i="58" s="1"/>
  <c r="Q86" i="58"/>
  <c r="Q87" i="58" s="1"/>
  <c r="Q84" i="58"/>
  <c r="Q89" i="58" s="1"/>
  <c r="R71" i="58"/>
  <c r="R78" i="58" s="1"/>
  <c r="R83" i="58" s="1"/>
  <c r="R84" i="58" s="1"/>
  <c r="S75" i="58"/>
  <c r="S70" i="58"/>
  <c r="Q88" i="58"/>
  <c r="Q72" i="58"/>
  <c r="T76" i="58"/>
  <c r="U67" i="58"/>
  <c r="Q90" i="58" l="1"/>
  <c r="U65" i="58"/>
  <c r="U59" i="58" s="1"/>
  <c r="U66" i="58" s="1"/>
  <c r="U68" i="58" s="1"/>
  <c r="R89" i="58"/>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<sst xmlns="http://schemas.openxmlformats.org/spreadsheetml/2006/main" count="1151" uniqueCount="608">
  <si>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</si>
  <si>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</si>
  <si>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</si>
  <si>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</si>
  <si>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</si>
  <si>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</si>
  <si>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</si>
  <si>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</si>
  <si>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</si>
  <si>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</si>
  <si>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</si>
  <si>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</si>
  <si>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</si>
  <si>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</si>
  <si>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</si>
  <si>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</si>
  <si>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</si>
  <si>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</si>
  <si>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</si>
  <si>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</si>
  <si>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</si>
  <si>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</si>
  <si>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</si>
  <si>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</si>
  <si>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</si>
  <si>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</si>
  <si>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</si>
  <si>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</si>
  <si>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</si>
  <si>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</si>
  <si>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</si>
  <si>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</si>
  <si>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</si>
  <si>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</si>
  <si>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</si>
  <si>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</si>
  <si>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</si>
  <si>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</si>
  <si>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</si>
  <si>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</si>
  <si>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</si>
  <si>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</si>
  <si>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</si>
  <si>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</si>
  <si>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</si>
  <si>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</si>
  <si>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</si>
  <si>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</si>
  <si>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</si>
  <si>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</si>
  <si>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</si>
  <si>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</si>
  <si>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</si>
  <si>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</si>
  <si>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</si>
  <si>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</si>
  <si>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</si>
  <si>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</si>
  <si>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</si>
  <si>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</si>
  <si>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</si>
  <si>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</si>
  <si>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</si>
  <si>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</si>
  <si>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</si>
  <si>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</si>
  <si>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</si>
  <si>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</si>
  <si>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</si>
  <si>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</si>
  <si>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</si>
  <si>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</si>
  <si>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</si>
  <si>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</si>
  <si>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</si>
  <si>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</si>
  <si>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</si>
  <si>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</si>
  <si>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</si>
  <si>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</si>
  <si>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</si>
  <si>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</si>
  <si>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</si>
  <si>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</si>
  <si>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</si>
  <si>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</si>
  <si>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</si>
  <si>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</si>
  <si>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</si>
  <si>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</si>
  <si>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</si>
  <si>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</si>
  <si>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</si>
  <si>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</si>
  <si>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</si>
  <si>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</si>
  <si>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</si>
  <si>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</si>
  <si>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</si>
  <si>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</si>
  <si>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</si>
  <si>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</si>
  <si>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</si>
  <si>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</si>
  <si>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</si>
  <si>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</si>
  <si>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</si>
  <si>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</si>
  <si>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</si>
  <si>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</si>
  <si>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</si>
  <si>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</si>
  <si>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</si>
  <si>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</si>
  <si>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</si>
  <si>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</si>
  <si>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</si>
  <si>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</si>
  <si>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</si>
  <si>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</si>
  <si>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</si>
  <si>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</si>
  <si>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</si>
  <si>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</si>
  <si>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</si>
  <si>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</si>
  <si>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</si>
  <si>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</si>
  <si>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</si>
  <si>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</si>
  <si>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</si>
  <si>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</si>
  <si>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</si>
  <si>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</si>
  <si>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</si>
  <si>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</si>
  <si>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</si>
  <si>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</si>
  <si>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</si>
  <si>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</si>
  <si>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</si>
  <si>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</si>
  <si>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</si>
  <si>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</si>
  <si>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</si>
  <si>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</si>
  <si>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</si>
  <si>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</si>
  <si>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</si>
  <si>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</si>
  <si>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</si>
  <si>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</si>
  <si>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</si>
  <si>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</si>
  <si>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</si>
  <si>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</si>
  <si>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</si>
  <si>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</si>
  <si>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</si>
  <si>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</si>
  <si>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</si>
  <si>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</si>
  <si>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</si>
  <si>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</si>
  <si>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</si>
  <si>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</si>
  <si>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</si>
  <si>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</si>
  <si>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</si>
  <si>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</si>
  <si>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</si>
  <si>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</si>
  <si>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</si>
  <si>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</si>
  <si>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</si>
  <si>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</si>
  <si>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</si>
  <si>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</si>
  <si>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</si>
  <si>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</si>
  <si>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</si>
  <si>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</si>
  <si>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</si>
  <si>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</si>
  <si>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</si>
  <si>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</si>
  <si>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</si>
  <si>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</si>
  <si>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</si>
  <si>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</si>
  <si>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</si>
  <si>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</si>
  <si>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</si>
  <si>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</si>
  <si>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</si>
  <si>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</si>
  <si>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</si>
  <si>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</si>
  <si>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</si>
  <si>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</si>
  <si>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</si>
  <si>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</si>
  <si>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</si>
  <si>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</si>
  <si>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</si>
  <si>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</si>
  <si>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</si>
  <si>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</si>
  <si>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</si>
  <si>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</si>
  <si>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</si>
  <si>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</si>
  <si>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</si>
  <si>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</si>
  <si>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</si>
  <si>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</si>
  <si>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</si>
  <si>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</si>
  <si>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</si>
  <si>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</si>
  <si>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</si>
  <si>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</si>
  <si>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</si>
  <si>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</si>
  <si>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</si>
  <si>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</si>
  <si>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</si>
  <si>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</si>
  <si>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</si>
  <si>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</si>
  <si>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</si>
  <si>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</si>
  <si>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</si>
  <si>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</si>
  <si>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</si>
  <si>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</si>
  <si>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</si>
  <si>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</si>
  <si>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</si>
  <si>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</si>
  <si>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</si>
  <si>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</si>
  <si>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</si>
  <si>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</si>
  <si>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</si>
  <si>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</si>
  <si>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</si>
  <si>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</si>
  <si>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</si>
  <si>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</si>
  <si>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</si>
  <si>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</si>
  <si>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</si>
  <si>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</si>
  <si>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</si>
  <si>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</si>
  <si>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</si>
  <si>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</si>
  <si>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</si>
  <si>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</si>
  <si>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</si>
  <si>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</si>
  <si>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</si>
  <si>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</si>
  <si>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</si>
  <si>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</si>
  <si>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</si>
  <si>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</si>
  <si>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</si>
  <si>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</si>
  <si>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</si>
  <si>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</si>
  <si>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</si>
  <si>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</si>
  <si>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</si>
  <si>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</si>
  <si>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</si>
  <si>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</si>
  <si>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</si>
  <si>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</si>
  <si>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</si>
  <si>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</si>
  <si>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</si>
  <si>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</si>
  <si>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</si>
  <si>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</si>
  <si>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</si>
  <si>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</si>
  <si>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</si>
  <si>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</si>
  <si>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</si>
  <si>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</si>
  <si>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</si>
  <si>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</si>
  <si>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</si>
  <si>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</si>
  <si>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</si>
  <si>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</si>
  <si>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</si>
  <si>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</si>
  <si>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</si>
  <si>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</si>
  <si>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</si>
  <si>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</si>
  <si>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</si>
  <si>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</si>
  <si>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</si>
  <si>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</si>
  <si>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</si>
  <si>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</si>
  <si>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</si>
  <si>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</si>
  <si>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</si>
  <si>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</si>
  <si>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</si>
  <si>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</si>
  <si>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</si>
  <si>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</si>
  <si>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</si>
  <si>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</si>
  <si>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</si>
  <si>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</si>
  <si>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</si>
  <si>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</si>
  <si>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</si>
  <si>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</si>
  <si>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</si>
  <si>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</si>
  <si>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</si>
  <si>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</si>
  <si>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</si>
  <si>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</si>
  <si>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</si>
  <si>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</si>
  <si>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</si>
  <si>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</si>
  <si>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</si>
  <si>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</si>
  <si>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</si>
  <si>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</si>
  <si>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</si>
  <si>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</si>
  <si>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</si>
  <si>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</si>
  <si>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</si>
  <si>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</si>
  <si>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</si>
  <si>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</si>
  <si>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</si>
  <si>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</si>
  <si>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</si>
  <si>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</si>
  <si>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</si>
  <si>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</si>
  <si>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</si>
  <si>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</si>
  <si>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</si>
  <si>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</si>
  <si>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</si>
  <si>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</si>
  <si>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</si>
  <si>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</si>
  <si>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</si>
  <si>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</si>
  <si>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</si>
  <si>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</si>
  <si>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</si>
  <si>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</si>
  <si>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</si>
  <si>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</si>
  <si>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</si>
  <si>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</si>
  <si>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</si>
  <si>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</si>
  <si>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</si>
  <si>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</si>
  <si>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</si>
  <si>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</si>
  <si>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</si>
  <si>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</si>
  <si>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</si>
  <si>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</si>
  <si>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</si>
  <si>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</si>
  <si>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</si>
  <si>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</si>
  <si>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</si>
  <si>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</si>
  <si>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</si>
  <si>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</si>
  <si>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</si>
  <si>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</si>
  <si>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</si>
  <si>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</si>
  <si>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</si>
  <si>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</si>
  <si>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</si>
  <si>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</si>
  <si>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</si>
  <si>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</si>
  <si>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</si>
  <si>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</si>
  <si>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</si>
  <si>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</si>
  <si>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</si>
  <si>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</si>
  <si>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</si>
  <si>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</si>
  <si>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</si>
  <si>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</si>
  <si>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</si>
  <si>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</si>
  <si>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</si>
  <si>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</si>
  <si>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</si>
  <si>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</si>
  <si>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</si>
  <si>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</si>
  <si>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</si>
  <si>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</si>
  <si>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</si>
  <si>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</si>
  <si>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</si>
  <si>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</si>
  <si>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</si>
  <si>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</si>
  <si>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</si>
  <si>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</si>
  <si>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</si>
  <si>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</si>
  <si>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</si>
  <si>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</si>
  <si>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</si>
  <si>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</si>
  <si>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</si>
  <si>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</si>
  <si>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</si>
  <si>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</si>
  <si>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</si>
  <si>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</si>
  <si>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</si>
  <si>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</si>
  <si>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</si>
  <si>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</si>
  <si>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</si>
  <si>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</si>
  <si>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</si>
  <si>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</si>
  <si>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</si>
  <si>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</si>
  <si>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</si>
  <si>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</si>
  <si>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</si>
  <si>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</si>
  <si>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</si>
  <si>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</si>
  <si>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</si>
  <si>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</si>
  <si>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</si>
  <si>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</si>
  <si>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</si>
  <si>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</si>
  <si>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</si>
  <si>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</si>
  <si>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</si>
  <si>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</si>
  <si>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</si>
  <si>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</si>
  <si>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</si>
  <si>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</si>
  <si>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</si>
  <si>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</si>
  <si>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</si>
  <si>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</si>
  <si>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</si>
  <si>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</si>
  <si>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</si>
  <si>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</si>
  <si>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</si>
  <si>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</si>
  <si>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</si>
  <si>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</si>
  <si>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</si>
  <si>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</si>
  <si>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</si>
  <si>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</si>
  <si>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</si>
  <si>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</si>
  <si>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</si>
  <si>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</si>
  <si>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</si>
  <si>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</si>
  <si>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</si>
  <si>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</si>
  <si>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</si>
  <si>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</si>
  <si>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</si>
  <si>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</si>
  <si>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</si>
  <si>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</si>
  <si>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</si>
  <si>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</si>
  <si>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</si>
  <si>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</si>
  <si>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</si>
  <si>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</si>
  <si>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</si>
  <si>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</si>
  <si>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</si>
  <si>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</si>
  <si>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</si>
  <si>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</si>
  <si>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</si>
  <si>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</si>
  <si>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</si>
  <si>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</si>
  <si>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</si>
  <si>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</si>
  <si>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</si>
  <si>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</si>
  <si>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</si>
  <si>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</si>
  <si>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</si>
  <si>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</si>
  <si>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</si>
  <si>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</si>
  <si>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</si>
  <si>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</si>
  <si>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</si>
  <si>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</si>
  <si>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</si>
  <si>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</si>
  <si>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</si>
  <si>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</si>
  <si>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</si>
  <si>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</si>
  <si>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</si>
  <si>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</si>
  <si>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</si>
  <si>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</si>
  <si>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</si>
  <si>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</si>
  <si>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</si>
  <si>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</si>
  <si>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</si>
  <si>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</si>
  <si>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</si>
  <si>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</si>
  <si>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</si>
  <si>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</si>
  <si>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</si>
  <si>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</si>
  <si>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</si>
  <si>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</si>
  <si>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</si>
  <si>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</si>
  <si>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</si>
  <si>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</si>
  <si>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Факт 2015 года</t>
  </si>
  <si>
    <t>по состоянию на 01.01.2017</t>
  </si>
  <si>
    <t>34586101 1510150110359</t>
  </si>
  <si>
    <t>3.4.10.1,    4.12</t>
  </si>
  <si>
    <t>Утвержденный план</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</si>
  <si>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</si>
  <si>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</si>
  <si>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</si>
  <si>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</si>
  <si>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</si>
  <si>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</si>
  <si>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</si>
  <si>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</si>
  <si>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</si>
  <si>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</si>
  <si>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</si>
  <si>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строительство</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</si>
  <si>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</si>
  <si>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</si>
  <si>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</si>
  <si>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</si>
  <si>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</si>
  <si>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</si>
  <si>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</si>
  <si>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</si>
  <si>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</si>
  <si>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</si>
  <si>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</si>
  <si>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</si>
  <si>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</si>
  <si>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</si>
  <si>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</si>
  <si>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</si>
  <si>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</si>
  <si>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</si>
  <si>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</si>
  <si>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Трансформатор  </t>
  </si>
  <si>
    <t xml:space="preserve"> обеспечение 2-й категории надёжности электроснабжения</t>
  </si>
  <si>
    <t>M 22-02</t>
  </si>
  <si>
    <t>ТМГ-15/0,4кВ  мощностью 630 кВА, 2-хобмоточный, схема соединения обмоток Д/У н-11</t>
  </si>
  <si>
    <t xml:space="preserve">Ртр = 0,63 МВА
</t>
  </si>
  <si>
    <t>ТП7</t>
  </si>
  <si>
    <t xml:space="preserve">ТП 7 </t>
  </si>
  <si>
    <t xml:space="preserve">
Т 15 кВ 0,66 млн.руб.</t>
  </si>
  <si>
    <t xml:space="preserve">«Реконструкция трансформаторной подстанции ТП-7 с монтажом трансформатора 15 кВ  мощностью 630 кВА  в г. Пионерске Калининградской области»
</t>
  </si>
  <si>
    <t>Год раскрытия информации: 2023 год</t>
  </si>
  <si>
    <t>2х0,63</t>
  </si>
  <si>
    <t>З</t>
  </si>
  <si>
    <t xml:space="preserve"> по состоянию на 01.01.2023</t>
  </si>
  <si>
    <t xml:space="preserve">введен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</si>
</sst>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u/>
      <sz val="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49" fillId="0" borderId="0" xfId="1" applyFont="1" applyAlignment="1">
      <alignment vertic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42" fillId="0" borderId="0" xfId="2" applyFont="1"/>
    <xf numFmtId="0" fontId="11" fillId="0" borderId="47" xfId="45" applyFont="1" applyBorder="1" applyAlignment="1">
      <alignment horizontal="left" vertical="center" wrapText="1"/>
    </xf>
    <xf numFmtId="175"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5"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67" applyNumberFormat="1"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1"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1" fontId="73" fillId="0" borderId="52" xfId="0" applyNumberFormat="1" applyFont="1" applyBorder="1" applyAlignment="1">
      <alignment horizontal="center" vertical="center"/>
    </xf>
    <xf numFmtId="181" fontId="45" fillId="0" borderId="52" xfId="0" applyNumberFormat="1" applyFont="1" applyBorder="1" applyAlignment="1">
      <alignment horizontal="center"/>
    </xf>
    <xf numFmtId="181" fontId="77" fillId="0" borderId="52"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2"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14" fontId="40" fillId="0" borderId="34" xfId="2" applyNumberFormat="1" applyFont="1" applyBorder="1" applyAlignment="1">
      <alignment horizontal="left"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11" fillId="0" borderId="7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1" xfId="62" applyFont="1" applyBorder="1" applyAlignment="1">
      <alignment horizontal="center" vertical="center" wrapText="1"/>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81" fillId="0" borderId="0" xfId="1" applyNumberFormat="1" applyFont="1" applyAlignment="1">
      <alignment horizontal="center" wrapText="1"/>
    </xf>
    <xf numFmtId="0" fontId="81"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center" vertical="top" wrapText="1"/>
    </xf>
    <xf numFmtId="0" fontId="40" fillId="0" borderId="33" xfId="2" applyFont="1" applyBorder="1" applyAlignment="1">
      <alignment horizontal="center" vertical="top" wrapText="1"/>
    </xf>
    <xf numFmtId="0" fontId="40" fillId="0" borderId="31" xfId="2" applyFont="1" applyBorder="1" applyAlignment="1">
      <alignment horizontal="center"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8" t="s">
        <v>603</v>
      </c>
      <c r="B5" s="318"/>
      <c r="C5" s="318"/>
      <c r="D5" s="117"/>
      <c r="E5" s="117"/>
      <c r="F5" s="117"/>
      <c r="G5" s="117"/>
      <c r="H5" s="117"/>
      <c r="I5" s="117"/>
      <c r="J5" s="117"/>
    </row>
    <row r="6" spans="1:22" s="8" customFormat="1" ht="18.75" x14ac:dyDescent="0.3">
      <c r="A6" s="13"/>
      <c r="H6" s="12"/>
    </row>
    <row r="7" spans="1:22" s="8" customFormat="1" ht="18.75" x14ac:dyDescent="0.2">
      <c r="A7" s="322" t="s">
        <v>6</v>
      </c>
      <c r="B7" s="322"/>
      <c r="C7" s="32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3" t="s">
        <v>568</v>
      </c>
      <c r="B9" s="323"/>
      <c r="C9" s="323"/>
      <c r="D9" s="7"/>
      <c r="E9" s="7"/>
      <c r="F9" s="7"/>
      <c r="G9" s="7"/>
      <c r="H9" s="7"/>
      <c r="I9" s="10"/>
      <c r="J9" s="10"/>
      <c r="K9" s="10"/>
      <c r="L9" s="10"/>
      <c r="M9" s="10"/>
      <c r="N9" s="10"/>
      <c r="O9" s="10"/>
      <c r="P9" s="10"/>
      <c r="Q9" s="10"/>
      <c r="R9" s="10"/>
      <c r="S9" s="10"/>
      <c r="T9" s="10"/>
      <c r="U9" s="10"/>
      <c r="V9" s="10"/>
    </row>
    <row r="10" spans="1:22" s="8" customFormat="1" ht="18.75" x14ac:dyDescent="0.2">
      <c r="A10" s="319" t="s">
        <v>5</v>
      </c>
      <c r="B10" s="319"/>
      <c r="C10" s="31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4" t="s">
        <v>596</v>
      </c>
      <c r="B12" s="324"/>
      <c r="C12" s="324"/>
      <c r="D12" s="7"/>
      <c r="E12" s="7"/>
      <c r="F12" s="7"/>
      <c r="G12" s="7"/>
      <c r="H12" s="7"/>
      <c r="I12" s="10"/>
      <c r="J12" s="10"/>
      <c r="K12" s="10"/>
      <c r="L12" s="10"/>
      <c r="M12" s="10"/>
      <c r="N12" s="10"/>
      <c r="O12" s="10"/>
      <c r="P12" s="10"/>
      <c r="Q12" s="10"/>
      <c r="R12" s="10"/>
      <c r="S12" s="10"/>
      <c r="T12" s="10"/>
      <c r="U12" s="10"/>
      <c r="V12" s="10"/>
    </row>
    <row r="13" spans="1:22" s="8" customFormat="1" ht="18.75" x14ac:dyDescent="0.2">
      <c r="A13" s="325" t="s">
        <v>4</v>
      </c>
      <c r="B13" s="325"/>
      <c r="C13" s="32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5"/>
      <c r="B14" s="145"/>
      <c r="C14" s="145"/>
      <c r="D14" s="4"/>
      <c r="E14" s="4"/>
      <c r="F14" s="4"/>
      <c r="G14" s="4"/>
      <c r="H14" s="4"/>
      <c r="I14" s="4"/>
      <c r="J14" s="4"/>
      <c r="K14" s="4"/>
      <c r="L14" s="4"/>
      <c r="M14" s="4"/>
      <c r="N14" s="4"/>
      <c r="O14" s="4"/>
      <c r="P14" s="4"/>
      <c r="Q14" s="4"/>
      <c r="R14" s="4"/>
      <c r="S14" s="4"/>
      <c r="T14" s="4"/>
      <c r="U14" s="4"/>
      <c r="V14" s="4"/>
    </row>
    <row r="15" spans="1:22" s="3" customFormat="1" ht="31.5" customHeight="1" x14ac:dyDescent="0.2">
      <c r="A15" s="326" t="s">
        <v>602</v>
      </c>
      <c r="B15" s="327"/>
      <c r="C15" s="327"/>
      <c r="D15" s="7"/>
      <c r="E15" s="7"/>
      <c r="F15" s="7"/>
      <c r="G15" s="7"/>
      <c r="H15" s="7"/>
      <c r="I15" s="7"/>
      <c r="J15" s="7"/>
      <c r="K15" s="7"/>
      <c r="L15" s="7"/>
      <c r="M15" s="7"/>
      <c r="N15" s="7"/>
      <c r="O15" s="7"/>
      <c r="P15" s="7"/>
      <c r="Q15" s="7"/>
      <c r="R15" s="7"/>
      <c r="S15" s="7"/>
      <c r="T15" s="7"/>
      <c r="U15" s="7"/>
      <c r="V15" s="7"/>
    </row>
    <row r="16" spans="1:22" s="3" customFormat="1" ht="15" customHeight="1" x14ac:dyDescent="0.2">
      <c r="A16" s="319" t="s">
        <v>3</v>
      </c>
      <c r="B16" s="319"/>
      <c r="C16" s="3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438</v>
      </c>
      <c r="B18" s="321"/>
      <c r="C18" s="3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4" t="s">
        <v>289</v>
      </c>
      <c r="C22" s="26" t="s">
        <v>494</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6" t="s">
        <v>472</v>
      </c>
      <c r="D23" s="5" t="s">
        <v>467</v>
      </c>
      <c r="E23" s="5"/>
      <c r="F23" s="5"/>
      <c r="G23" s="5"/>
      <c r="H23" s="5"/>
      <c r="I23" s="4"/>
      <c r="J23" s="4"/>
      <c r="K23" s="4"/>
      <c r="L23" s="4"/>
      <c r="M23" s="4"/>
      <c r="N23" s="4"/>
      <c r="O23" s="4"/>
      <c r="P23" s="4"/>
      <c r="Q23" s="4"/>
      <c r="R23" s="4"/>
      <c r="S23" s="4"/>
    </row>
    <row r="24" spans="1:22" s="3" customFormat="1" ht="22.5" customHeight="1" x14ac:dyDescent="0.2">
      <c r="A24" s="315"/>
      <c r="B24" s="316"/>
      <c r="C24" s="317"/>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7"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5"/>
      <c r="B39" s="316"/>
      <c r="C39" s="317"/>
    </row>
    <row r="40" spans="1:18" ht="63" x14ac:dyDescent="0.25">
      <c r="A40" s="22" t="s">
        <v>399</v>
      </c>
      <c r="B40" s="29" t="s">
        <v>451</v>
      </c>
      <c r="C40" s="174" t="s">
        <v>598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5"/>
      <c r="B47" s="316"/>
      <c r="C47" s="317"/>
    </row>
    <row r="48" spans="1:18" ht="75.75" customHeight="1" x14ac:dyDescent="0.25">
      <c r="A48" s="22" t="s">
        <v>435</v>
      </c>
      <c r="B48" s="29" t="s">
        <v>449</v>
      </c>
      <c r="C48" s="148">
        <f>'6.2. Паспорт фин осв ввод'!D24</f>
        <v>1.1391039999999999</v>
      </c>
    </row>
    <row r="49" spans="1:3" ht="71.25" customHeight="1" x14ac:dyDescent="0.25">
      <c r="A49" s="22" t="s">
        <v>403</v>
      </c>
      <c r="B49" s="29" t="s">
        <v>450</v>
      </c>
      <c r="C49" s="148">
        <f>'6.2. Паспорт фин осв ввод'!D30</f>
        <v>0.94925472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29" t="str">
        <f>'1. паспорт местоположение'!A12:C12</f>
        <v>M 22-02</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8" t="s">
        <v>423</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20" spans="1:32" ht="33" customHeight="1" x14ac:dyDescent="0.25">
      <c r="A20" s="383" t="s">
        <v>183</v>
      </c>
      <c r="B20" s="383" t="s">
        <v>182</v>
      </c>
      <c r="C20" s="395" t="s">
        <v>181</v>
      </c>
      <c r="D20" s="395"/>
      <c r="E20" s="397" t="s">
        <v>180</v>
      </c>
      <c r="F20" s="397"/>
      <c r="G20" s="403" t="s">
        <v>558</v>
      </c>
      <c r="H20" s="389" t="s">
        <v>551</v>
      </c>
      <c r="I20" s="390"/>
      <c r="J20" s="390"/>
      <c r="K20" s="390"/>
      <c r="L20" s="389" t="s">
        <v>552</v>
      </c>
      <c r="M20" s="390"/>
      <c r="N20" s="390"/>
      <c r="O20" s="390"/>
      <c r="P20" s="389" t="s">
        <v>553</v>
      </c>
      <c r="Q20" s="390"/>
      <c r="R20" s="390"/>
      <c r="S20" s="390"/>
      <c r="T20" s="389" t="s">
        <v>554</v>
      </c>
      <c r="U20" s="390"/>
      <c r="V20" s="390"/>
      <c r="W20" s="390"/>
      <c r="X20" s="389" t="s">
        <v>555</v>
      </c>
      <c r="Y20" s="390"/>
      <c r="Z20" s="390"/>
      <c r="AA20" s="390"/>
      <c r="AB20" s="399" t="s">
        <v>179</v>
      </c>
      <c r="AC20" s="400"/>
      <c r="AD20" s="61"/>
      <c r="AE20" s="61"/>
      <c r="AF20" s="61"/>
    </row>
    <row r="21" spans="1:32" ht="99.75" customHeight="1" x14ac:dyDescent="0.25">
      <c r="A21" s="384"/>
      <c r="B21" s="384"/>
      <c r="C21" s="395"/>
      <c r="D21" s="395"/>
      <c r="E21" s="397"/>
      <c r="F21" s="397"/>
      <c r="G21" s="404"/>
      <c r="H21" s="391" t="s">
        <v>1</v>
      </c>
      <c r="I21" s="391"/>
      <c r="J21" s="391" t="s">
        <v>550</v>
      </c>
      <c r="K21" s="391"/>
      <c r="L21" s="391" t="s">
        <v>1</v>
      </c>
      <c r="M21" s="391"/>
      <c r="N21" s="391" t="s">
        <v>550</v>
      </c>
      <c r="O21" s="391"/>
      <c r="P21" s="391" t="s">
        <v>1</v>
      </c>
      <c r="Q21" s="391"/>
      <c r="R21" s="391" t="s">
        <v>178</v>
      </c>
      <c r="S21" s="391"/>
      <c r="T21" s="391" t="s">
        <v>1</v>
      </c>
      <c r="U21" s="391"/>
      <c r="V21" s="391" t="s">
        <v>178</v>
      </c>
      <c r="W21" s="391"/>
      <c r="X21" s="391" t="s">
        <v>1</v>
      </c>
      <c r="Y21" s="391"/>
      <c r="Z21" s="391" t="s">
        <v>178</v>
      </c>
      <c r="AA21" s="391"/>
      <c r="AB21" s="401"/>
      <c r="AC21" s="402"/>
    </row>
    <row r="22" spans="1:32" ht="89.25" customHeight="1" x14ac:dyDescent="0.25">
      <c r="A22" s="385"/>
      <c r="B22" s="385"/>
      <c r="C22" s="150" t="s">
        <v>1</v>
      </c>
      <c r="D22" s="150" t="s">
        <v>178</v>
      </c>
      <c r="E22" s="156" t="s">
        <v>557</v>
      </c>
      <c r="F22" s="60" t="s">
        <v>559</v>
      </c>
      <c r="G22" s="405"/>
      <c r="H22" s="157" t="s">
        <v>404</v>
      </c>
      <c r="I22" s="157" t="s">
        <v>405</v>
      </c>
      <c r="J22" s="157" t="s">
        <v>404</v>
      </c>
      <c r="K22" s="157" t="s">
        <v>405</v>
      </c>
      <c r="L22" s="157" t="s">
        <v>404</v>
      </c>
      <c r="M22" s="157" t="s">
        <v>405</v>
      </c>
      <c r="N22" s="157" t="s">
        <v>404</v>
      </c>
      <c r="O22" s="157" t="s">
        <v>405</v>
      </c>
      <c r="P22" s="157" t="s">
        <v>404</v>
      </c>
      <c r="Q22" s="157" t="s">
        <v>405</v>
      </c>
      <c r="R22" s="157" t="s">
        <v>404</v>
      </c>
      <c r="S22" s="157" t="s">
        <v>405</v>
      </c>
      <c r="T22" s="157" t="s">
        <v>404</v>
      </c>
      <c r="U22" s="157" t="s">
        <v>405</v>
      </c>
      <c r="V22" s="157" t="s">
        <v>404</v>
      </c>
      <c r="W22" s="157" t="s">
        <v>405</v>
      </c>
      <c r="X22" s="157" t="s">
        <v>404</v>
      </c>
      <c r="Y22" s="157" t="s">
        <v>405</v>
      </c>
      <c r="Z22" s="157" t="s">
        <v>404</v>
      </c>
      <c r="AA22" s="157" t="s">
        <v>405</v>
      </c>
      <c r="AB22" s="150" t="s">
        <v>1</v>
      </c>
      <c r="AC22" s="150" t="s">
        <v>8</v>
      </c>
    </row>
    <row r="23" spans="1:32" ht="19.5" customHeight="1" x14ac:dyDescent="0.25">
      <c r="A23" s="53">
        <v>1</v>
      </c>
      <c r="B23" s="53">
        <v>2</v>
      </c>
      <c r="C23" s="158">
        <f t="shared" ref="C23:AC23" si="0">B23+1</f>
        <v>3</v>
      </c>
      <c r="D23" s="158">
        <f t="shared" si="0"/>
        <v>4</v>
      </c>
      <c r="E23" s="158">
        <f t="shared" si="0"/>
        <v>5</v>
      </c>
      <c r="F23" s="158">
        <f t="shared" si="0"/>
        <v>6</v>
      </c>
      <c r="G23" s="158">
        <f t="shared" si="0"/>
        <v>7</v>
      </c>
      <c r="H23" s="158">
        <f t="shared" si="0"/>
        <v>8</v>
      </c>
      <c r="I23" s="158">
        <f t="shared" si="0"/>
        <v>9</v>
      </c>
      <c r="J23" s="158">
        <f t="shared" si="0"/>
        <v>10</v>
      </c>
      <c r="K23" s="158">
        <f t="shared" si="0"/>
        <v>11</v>
      </c>
      <c r="L23" s="158">
        <f t="shared" si="0"/>
        <v>12</v>
      </c>
      <c r="M23" s="158">
        <f t="shared" si="0"/>
        <v>13</v>
      </c>
      <c r="N23" s="158">
        <f t="shared" si="0"/>
        <v>14</v>
      </c>
      <c r="O23" s="158">
        <f t="shared" si="0"/>
        <v>15</v>
      </c>
      <c r="P23" s="158">
        <f t="shared" si="0"/>
        <v>16</v>
      </c>
      <c r="Q23" s="158">
        <f t="shared" si="0"/>
        <v>17</v>
      </c>
      <c r="R23" s="158">
        <f t="shared" si="0"/>
        <v>18</v>
      </c>
      <c r="S23" s="158">
        <f t="shared" si="0"/>
        <v>19</v>
      </c>
      <c r="T23" s="158">
        <f t="shared" si="0"/>
        <v>20</v>
      </c>
      <c r="U23" s="158">
        <f t="shared" si="0"/>
        <v>21</v>
      </c>
      <c r="V23" s="158">
        <f t="shared" si="0"/>
        <v>22</v>
      </c>
      <c r="W23" s="158">
        <f t="shared" si="0"/>
        <v>23</v>
      </c>
      <c r="X23" s="158">
        <f t="shared" si="0"/>
        <v>24</v>
      </c>
      <c r="Y23" s="158">
        <f t="shared" si="0"/>
        <v>25</v>
      </c>
      <c r="Z23" s="158">
        <f t="shared" si="0"/>
        <v>26</v>
      </c>
      <c r="AA23" s="158">
        <f t="shared" si="0"/>
        <v>27</v>
      </c>
      <c r="AB23" s="158">
        <f>AA23+1</f>
        <v>28</v>
      </c>
      <c r="AC23" s="158">
        <f t="shared" si="0"/>
        <v>29</v>
      </c>
    </row>
    <row r="24" spans="1:32" ht="47.25" customHeight="1" x14ac:dyDescent="0.25">
      <c r="A24" s="58">
        <v>1</v>
      </c>
      <c r="B24" s="57" t="s">
        <v>177</v>
      </c>
      <c r="C24" s="137">
        <f t="shared" ref="C24:C29" si="1">AB24</f>
        <v>1.5714928417674427</v>
      </c>
      <c r="D24" s="137">
        <v>0</v>
      </c>
      <c r="E24" s="154">
        <f t="shared" ref="E24:F24" si="2">SUM(E25:E29)</f>
        <v>1.5714928417674427</v>
      </c>
      <c r="F24" s="154">
        <f t="shared" si="2"/>
        <v>1.5714928417674427</v>
      </c>
      <c r="G24" s="137">
        <v>0</v>
      </c>
      <c r="H24" s="137">
        <v>0</v>
      </c>
      <c r="I24" s="137">
        <v>0</v>
      </c>
      <c r="J24" s="137">
        <v>0</v>
      </c>
      <c r="K24" s="137">
        <v>0</v>
      </c>
      <c r="L24" s="140">
        <v>0</v>
      </c>
      <c r="M24" s="137">
        <v>0</v>
      </c>
      <c r="N24" s="137">
        <v>0</v>
      </c>
      <c r="O24" s="137">
        <v>0</v>
      </c>
      <c r="P24" s="137">
        <v>0</v>
      </c>
      <c r="Q24" s="137">
        <v>0</v>
      </c>
      <c r="R24" s="137">
        <v>0</v>
      </c>
      <c r="S24" s="137">
        <v>0</v>
      </c>
      <c r="T24" s="137">
        <v>0.10419562767521964</v>
      </c>
      <c r="U24" s="137">
        <v>0</v>
      </c>
      <c r="V24" s="137">
        <v>0</v>
      </c>
      <c r="W24" s="137">
        <v>0</v>
      </c>
      <c r="X24" s="137">
        <v>1.4672972140922231</v>
      </c>
      <c r="Y24" s="137">
        <v>0</v>
      </c>
      <c r="Z24" s="137">
        <v>0</v>
      </c>
      <c r="AA24" s="137">
        <v>0</v>
      </c>
      <c r="AB24" s="141">
        <f t="shared" ref="AB24:AB64" si="3">H24+L24+P24+T24+X24</f>
        <v>1.5714928417674427</v>
      </c>
      <c r="AC24" s="141">
        <f>J24+N24+R24+V24+Z24</f>
        <v>0</v>
      </c>
    </row>
    <row r="25" spans="1:32" ht="24" customHeight="1" x14ac:dyDescent="0.25">
      <c r="A25" s="55" t="s">
        <v>176</v>
      </c>
      <c r="B25" s="34" t="s">
        <v>175</v>
      </c>
      <c r="C25" s="137">
        <f t="shared" si="1"/>
        <v>0</v>
      </c>
      <c r="D25" s="137">
        <v>0</v>
      </c>
      <c r="E25" s="155">
        <f>G25+H25+L25+P25+T25+X25</f>
        <v>0</v>
      </c>
      <c r="F25" s="154">
        <f>AB25-H25</f>
        <v>0</v>
      </c>
      <c r="G25" s="138">
        <v>0</v>
      </c>
      <c r="H25" s="138">
        <v>0</v>
      </c>
      <c r="I25" s="138">
        <v>0</v>
      </c>
      <c r="J25" s="138">
        <v>0</v>
      </c>
      <c r="K25" s="138">
        <v>0</v>
      </c>
      <c r="L25" s="138">
        <v>0</v>
      </c>
      <c r="M25" s="138">
        <v>0</v>
      </c>
      <c r="N25" s="138">
        <v>0</v>
      </c>
      <c r="O25" s="138">
        <v>0</v>
      </c>
      <c r="P25" s="138">
        <v>0</v>
      </c>
      <c r="Q25" s="138">
        <v>0</v>
      </c>
      <c r="R25" s="138">
        <v>0</v>
      </c>
      <c r="S25" s="138">
        <v>0</v>
      </c>
      <c r="T25" s="138">
        <v>0</v>
      </c>
      <c r="U25" s="138">
        <v>0</v>
      </c>
      <c r="V25" s="138">
        <v>0</v>
      </c>
      <c r="W25" s="138">
        <v>0</v>
      </c>
      <c r="X25" s="138">
        <v>0</v>
      </c>
      <c r="Y25" s="138">
        <v>0</v>
      </c>
      <c r="Z25" s="138">
        <v>0</v>
      </c>
      <c r="AA25" s="138">
        <v>0</v>
      </c>
      <c r="AB25" s="141">
        <f t="shared" si="3"/>
        <v>0</v>
      </c>
      <c r="AC25" s="141">
        <f t="shared" ref="AC25:AC64" si="4">J25+N25+R25+V25+Z25</f>
        <v>0</v>
      </c>
    </row>
    <row r="26" spans="1:32" x14ac:dyDescent="0.25">
      <c r="A26" s="55" t="s">
        <v>174</v>
      </c>
      <c r="B26" s="34" t="s">
        <v>173</v>
      </c>
      <c r="C26" s="137">
        <f t="shared" si="1"/>
        <v>0</v>
      </c>
      <c r="D26" s="137">
        <v>0</v>
      </c>
      <c r="E26" s="155">
        <f>G26+H26+L26+P26+T26+X26</f>
        <v>0</v>
      </c>
      <c r="F26" s="154">
        <f>AB26-H26</f>
        <v>0</v>
      </c>
      <c r="G26" s="138">
        <v>0</v>
      </c>
      <c r="H26" s="138">
        <v>0</v>
      </c>
      <c r="I26" s="138">
        <v>0</v>
      </c>
      <c r="J26" s="138">
        <v>0</v>
      </c>
      <c r="K26" s="138">
        <v>0</v>
      </c>
      <c r="L26" s="138">
        <v>0</v>
      </c>
      <c r="M26" s="138">
        <v>0</v>
      </c>
      <c r="N26" s="138">
        <v>0</v>
      </c>
      <c r="O26" s="138">
        <v>0</v>
      </c>
      <c r="P26" s="138">
        <v>0</v>
      </c>
      <c r="Q26" s="138">
        <v>0</v>
      </c>
      <c r="R26" s="138">
        <v>0</v>
      </c>
      <c r="S26" s="138">
        <v>0</v>
      </c>
      <c r="T26" s="138">
        <v>0</v>
      </c>
      <c r="U26" s="138">
        <v>0</v>
      </c>
      <c r="V26" s="138">
        <v>0</v>
      </c>
      <c r="W26" s="138">
        <v>0</v>
      </c>
      <c r="X26" s="138">
        <v>0</v>
      </c>
      <c r="Y26" s="138">
        <v>0</v>
      </c>
      <c r="Z26" s="138">
        <v>0</v>
      </c>
      <c r="AA26" s="138">
        <v>0</v>
      </c>
      <c r="AB26" s="141">
        <f t="shared" si="3"/>
        <v>0</v>
      </c>
      <c r="AC26" s="141">
        <f t="shared" si="4"/>
        <v>0</v>
      </c>
    </row>
    <row r="27" spans="1:32" ht="31.5" x14ac:dyDescent="0.25">
      <c r="A27" s="55" t="s">
        <v>172</v>
      </c>
      <c r="B27" s="34" t="s">
        <v>360</v>
      </c>
      <c r="C27" s="137">
        <f t="shared" si="1"/>
        <v>1.5714928417674427</v>
      </c>
      <c r="D27" s="137">
        <v>0</v>
      </c>
      <c r="E27" s="155">
        <f>G27+H27+L27+P27+T27+X27</f>
        <v>1.5714928417674427</v>
      </c>
      <c r="F27" s="154">
        <f>AB27-H27</f>
        <v>1.5714928417674427</v>
      </c>
      <c r="G27" s="138">
        <v>0</v>
      </c>
      <c r="H27" s="138">
        <v>0</v>
      </c>
      <c r="I27" s="138">
        <v>0</v>
      </c>
      <c r="J27" s="138">
        <v>0</v>
      </c>
      <c r="K27" s="138">
        <v>0</v>
      </c>
      <c r="L27" s="139">
        <v>0</v>
      </c>
      <c r="M27" s="138">
        <v>0</v>
      </c>
      <c r="N27" s="138">
        <v>0</v>
      </c>
      <c r="O27" s="138">
        <v>0</v>
      </c>
      <c r="P27" s="138">
        <v>0</v>
      </c>
      <c r="Q27" s="138">
        <v>0</v>
      </c>
      <c r="R27" s="138">
        <v>0</v>
      </c>
      <c r="S27" s="138">
        <v>0</v>
      </c>
      <c r="T27" s="138">
        <f>T24</f>
        <v>0.10419562767521964</v>
      </c>
      <c r="U27" s="138">
        <v>0</v>
      </c>
      <c r="V27" s="138">
        <v>0</v>
      </c>
      <c r="W27" s="138">
        <v>0</v>
      </c>
      <c r="X27" s="138">
        <f>X24</f>
        <v>1.4672972140922231</v>
      </c>
      <c r="Y27" s="138">
        <v>0</v>
      </c>
      <c r="Z27" s="138">
        <v>0</v>
      </c>
      <c r="AA27" s="138">
        <v>0</v>
      </c>
      <c r="AB27" s="141">
        <f t="shared" si="3"/>
        <v>1.5714928417674427</v>
      </c>
      <c r="AC27" s="141">
        <f t="shared" si="4"/>
        <v>0</v>
      </c>
    </row>
    <row r="28" spans="1:32" x14ac:dyDescent="0.25">
      <c r="A28" s="55" t="s">
        <v>171</v>
      </c>
      <c r="B28" s="34" t="s">
        <v>170</v>
      </c>
      <c r="C28" s="137">
        <f t="shared" si="1"/>
        <v>0</v>
      </c>
      <c r="D28" s="137">
        <v>0</v>
      </c>
      <c r="E28" s="155">
        <f>G28+AB28</f>
        <v>0</v>
      </c>
      <c r="F28" s="154">
        <f>AB28-H28</f>
        <v>0</v>
      </c>
      <c r="G28" s="138">
        <v>0</v>
      </c>
      <c r="H28" s="138">
        <v>0</v>
      </c>
      <c r="I28" s="138">
        <v>0</v>
      </c>
      <c r="J28" s="138">
        <v>0</v>
      </c>
      <c r="K28" s="138">
        <v>0</v>
      </c>
      <c r="L28" s="138">
        <v>0</v>
      </c>
      <c r="M28" s="138">
        <v>0</v>
      </c>
      <c r="N28" s="138">
        <v>0</v>
      </c>
      <c r="O28" s="138">
        <v>0</v>
      </c>
      <c r="P28" s="138">
        <v>0</v>
      </c>
      <c r="Q28" s="138">
        <v>0</v>
      </c>
      <c r="R28" s="138">
        <v>0</v>
      </c>
      <c r="S28" s="138">
        <v>0</v>
      </c>
      <c r="T28" s="138">
        <v>0</v>
      </c>
      <c r="U28" s="138">
        <v>0</v>
      </c>
      <c r="V28" s="138">
        <v>0</v>
      </c>
      <c r="W28" s="138">
        <v>0</v>
      </c>
      <c r="X28" s="138">
        <v>0</v>
      </c>
      <c r="Y28" s="138">
        <v>0</v>
      </c>
      <c r="Z28" s="138">
        <v>0</v>
      </c>
      <c r="AA28" s="138">
        <v>0</v>
      </c>
      <c r="AB28" s="141">
        <f t="shared" si="3"/>
        <v>0</v>
      </c>
      <c r="AC28" s="141">
        <f t="shared" si="4"/>
        <v>0</v>
      </c>
    </row>
    <row r="29" spans="1:32" x14ac:dyDescent="0.25">
      <c r="A29" s="55" t="s">
        <v>169</v>
      </c>
      <c r="B29" s="59" t="s">
        <v>168</v>
      </c>
      <c r="C29" s="137">
        <f t="shared" si="1"/>
        <v>0</v>
      </c>
      <c r="D29" s="137">
        <v>0</v>
      </c>
      <c r="E29" s="155">
        <v>0</v>
      </c>
      <c r="F29" s="154">
        <f>AB29-H29</f>
        <v>0</v>
      </c>
      <c r="G29" s="138">
        <v>0</v>
      </c>
      <c r="H29" s="138">
        <v>0</v>
      </c>
      <c r="I29" s="138">
        <v>0</v>
      </c>
      <c r="J29" s="138">
        <v>0</v>
      </c>
      <c r="K29" s="138">
        <v>0</v>
      </c>
      <c r="L29" s="138">
        <v>0</v>
      </c>
      <c r="M29" s="138">
        <v>0</v>
      </c>
      <c r="N29" s="138">
        <v>0</v>
      </c>
      <c r="O29" s="138">
        <v>0</v>
      </c>
      <c r="P29" s="138">
        <v>0</v>
      </c>
      <c r="Q29" s="138">
        <v>0</v>
      </c>
      <c r="R29" s="138">
        <v>0</v>
      </c>
      <c r="S29" s="138">
        <v>0</v>
      </c>
      <c r="T29" s="138">
        <v>0</v>
      </c>
      <c r="U29" s="138">
        <v>0</v>
      </c>
      <c r="V29" s="138">
        <v>0</v>
      </c>
      <c r="W29" s="138">
        <v>0</v>
      </c>
      <c r="X29" s="138">
        <v>0</v>
      </c>
      <c r="Y29" s="138">
        <v>0</v>
      </c>
      <c r="Z29" s="138">
        <v>0</v>
      </c>
      <c r="AA29" s="138">
        <v>0</v>
      </c>
      <c r="AB29" s="141">
        <f t="shared" si="3"/>
        <v>0</v>
      </c>
      <c r="AC29" s="141">
        <f t="shared" si="4"/>
        <v>0</v>
      </c>
    </row>
    <row r="30" spans="1:32" ht="47.25" x14ac:dyDescent="0.25">
      <c r="A30" s="58" t="s">
        <v>60</v>
      </c>
      <c r="B30" s="57" t="s">
        <v>167</v>
      </c>
      <c r="C30" s="137">
        <v>1.3317735947181697</v>
      </c>
      <c r="D30" s="137">
        <v>0</v>
      </c>
      <c r="E30" s="154">
        <v>1.3317735947181697</v>
      </c>
      <c r="F30" s="154">
        <v>1.3317735947181697</v>
      </c>
      <c r="G30" s="137">
        <v>0</v>
      </c>
      <c r="H30" s="137">
        <v>0</v>
      </c>
      <c r="I30" s="137">
        <v>0</v>
      </c>
      <c r="J30" s="137">
        <v>0</v>
      </c>
      <c r="K30" s="137">
        <v>0</v>
      </c>
      <c r="L30" s="140">
        <v>0</v>
      </c>
      <c r="M30" s="137">
        <v>0</v>
      </c>
      <c r="N30" s="137">
        <v>0</v>
      </c>
      <c r="O30" s="137">
        <v>0</v>
      </c>
      <c r="P30" s="137">
        <v>0</v>
      </c>
      <c r="Q30" s="137">
        <v>0</v>
      </c>
      <c r="R30" s="137">
        <v>0</v>
      </c>
      <c r="S30" s="137">
        <v>0</v>
      </c>
      <c r="T30" s="137">
        <v>8.8301379385779366E-2</v>
      </c>
      <c r="U30" s="137">
        <v>0</v>
      </c>
      <c r="V30" s="137">
        <v>0</v>
      </c>
      <c r="W30" s="137">
        <v>0</v>
      </c>
      <c r="X30" s="137">
        <v>1.2434722153323925</v>
      </c>
      <c r="Y30" s="137">
        <v>0</v>
      </c>
      <c r="Z30" s="137">
        <v>0</v>
      </c>
      <c r="AA30" s="137">
        <v>0</v>
      </c>
      <c r="AB30" s="141">
        <f t="shared" si="3"/>
        <v>1.3317735947181719</v>
      </c>
      <c r="AC30" s="141">
        <f t="shared" si="4"/>
        <v>0</v>
      </c>
    </row>
    <row r="31" spans="1:32" x14ac:dyDescent="0.25">
      <c r="A31" s="58" t="s">
        <v>166</v>
      </c>
      <c r="B31" s="34" t="s">
        <v>165</v>
      </c>
      <c r="C31" s="137">
        <v>2.3572392626511604E-2</v>
      </c>
      <c r="D31" s="137">
        <v>0</v>
      </c>
      <c r="E31" s="154">
        <v>2.3572392626511604E-2</v>
      </c>
      <c r="F31" s="154">
        <v>2.3572392626511604E-2</v>
      </c>
      <c r="G31" s="138">
        <v>0</v>
      </c>
      <c r="H31" s="138">
        <v>0</v>
      </c>
      <c r="I31" s="138">
        <v>0</v>
      </c>
      <c r="J31" s="138">
        <v>0</v>
      </c>
      <c r="K31" s="138">
        <v>0</v>
      </c>
      <c r="L31" s="138">
        <v>0</v>
      </c>
      <c r="M31" s="138">
        <v>0</v>
      </c>
      <c r="N31" s="138">
        <v>0</v>
      </c>
      <c r="O31" s="138">
        <v>0</v>
      </c>
      <c r="P31" s="138">
        <v>0</v>
      </c>
      <c r="Q31" s="138">
        <v>0</v>
      </c>
      <c r="R31" s="138">
        <v>0</v>
      </c>
      <c r="S31" s="138">
        <v>0</v>
      </c>
      <c r="T31" s="138">
        <v>0</v>
      </c>
      <c r="U31" s="138">
        <v>0</v>
      </c>
      <c r="V31" s="138">
        <v>0</v>
      </c>
      <c r="W31" s="138">
        <v>0</v>
      </c>
      <c r="X31" s="138">
        <v>0</v>
      </c>
      <c r="Y31" s="138">
        <v>0</v>
      </c>
      <c r="Z31" s="138">
        <v>0</v>
      </c>
      <c r="AA31" s="138">
        <v>0</v>
      </c>
      <c r="AB31" s="141">
        <f t="shared" si="3"/>
        <v>0</v>
      </c>
      <c r="AC31" s="141">
        <f t="shared" si="4"/>
        <v>0</v>
      </c>
    </row>
    <row r="32" spans="1:32" ht="31.5" x14ac:dyDescent="0.25">
      <c r="A32" s="58" t="s">
        <v>164</v>
      </c>
      <c r="B32" s="34" t="s">
        <v>163</v>
      </c>
      <c r="C32" s="137">
        <v>1.2583928696491984</v>
      </c>
      <c r="D32" s="137">
        <v>0</v>
      </c>
      <c r="E32" s="154">
        <v>1.2583928696491984</v>
      </c>
      <c r="F32" s="154">
        <v>1.2583928696491984</v>
      </c>
      <c r="G32" s="138">
        <v>0</v>
      </c>
      <c r="H32" s="138">
        <v>0</v>
      </c>
      <c r="I32" s="138">
        <v>0</v>
      </c>
      <c r="J32" s="138">
        <v>0</v>
      </c>
      <c r="K32" s="138">
        <v>0</v>
      </c>
      <c r="L32" s="138">
        <v>0</v>
      </c>
      <c r="M32" s="138">
        <v>0</v>
      </c>
      <c r="N32" s="138">
        <v>0</v>
      </c>
      <c r="O32" s="138">
        <v>0</v>
      </c>
      <c r="P32" s="138">
        <v>0</v>
      </c>
      <c r="Q32" s="138">
        <v>0</v>
      </c>
      <c r="R32" s="138">
        <v>0</v>
      </c>
      <c r="S32" s="138">
        <v>0</v>
      </c>
      <c r="T32" s="138">
        <v>0</v>
      </c>
      <c r="U32" s="138">
        <v>0</v>
      </c>
      <c r="V32" s="138">
        <v>0</v>
      </c>
      <c r="W32" s="138">
        <v>0</v>
      </c>
      <c r="X32" s="138">
        <v>0</v>
      </c>
      <c r="Y32" s="138">
        <v>0</v>
      </c>
      <c r="Z32" s="138">
        <v>0</v>
      </c>
      <c r="AA32" s="138">
        <v>0</v>
      </c>
      <c r="AB32" s="141">
        <f t="shared" si="3"/>
        <v>0</v>
      </c>
      <c r="AC32" s="141">
        <f t="shared" si="4"/>
        <v>0</v>
      </c>
    </row>
    <row r="33" spans="1:29" x14ac:dyDescent="0.25">
      <c r="A33" s="58" t="s">
        <v>162</v>
      </c>
      <c r="B33" s="34" t="s">
        <v>161</v>
      </c>
      <c r="C33" s="137">
        <v>3.1962566273236069E-3</v>
      </c>
      <c r="D33" s="137">
        <v>0</v>
      </c>
      <c r="E33" s="154">
        <v>3.1962566273236069E-3</v>
      </c>
      <c r="F33" s="154">
        <v>3.1962566273236069E-3</v>
      </c>
      <c r="G33" s="138">
        <v>0</v>
      </c>
      <c r="H33" s="138">
        <v>0</v>
      </c>
      <c r="I33" s="138">
        <v>0</v>
      </c>
      <c r="J33" s="138">
        <v>0</v>
      </c>
      <c r="K33" s="138">
        <v>0</v>
      </c>
      <c r="L33" s="138">
        <v>0</v>
      </c>
      <c r="M33" s="138">
        <v>0</v>
      </c>
      <c r="N33" s="138">
        <v>0</v>
      </c>
      <c r="O33" s="138">
        <v>0</v>
      </c>
      <c r="P33" s="138">
        <v>0</v>
      </c>
      <c r="Q33" s="138">
        <v>0</v>
      </c>
      <c r="R33" s="138">
        <v>0</v>
      </c>
      <c r="S33" s="138">
        <v>0</v>
      </c>
      <c r="T33" s="138">
        <v>0</v>
      </c>
      <c r="U33" s="138">
        <v>0</v>
      </c>
      <c r="V33" s="138">
        <v>0</v>
      </c>
      <c r="W33" s="138">
        <v>0</v>
      </c>
      <c r="X33" s="138">
        <v>0</v>
      </c>
      <c r="Y33" s="138">
        <v>0</v>
      </c>
      <c r="Z33" s="138">
        <v>0</v>
      </c>
      <c r="AA33" s="138">
        <v>0</v>
      </c>
      <c r="AB33" s="141">
        <f t="shared" si="3"/>
        <v>0</v>
      </c>
      <c r="AC33" s="141">
        <f t="shared" si="4"/>
        <v>0</v>
      </c>
    </row>
    <row r="34" spans="1:29" x14ac:dyDescent="0.25">
      <c r="A34" s="58" t="s">
        <v>160</v>
      </c>
      <c r="B34" s="34" t="s">
        <v>159</v>
      </c>
      <c r="C34" s="137">
        <v>4.6612075815135941E-2</v>
      </c>
      <c r="D34" s="137">
        <v>0</v>
      </c>
      <c r="E34" s="154">
        <v>4.6612075815135941E-2</v>
      </c>
      <c r="F34" s="154">
        <v>4.6612075815135941E-2</v>
      </c>
      <c r="G34" s="138">
        <v>0</v>
      </c>
      <c r="H34" s="138">
        <v>0</v>
      </c>
      <c r="I34" s="138">
        <v>0</v>
      </c>
      <c r="J34" s="138">
        <v>0</v>
      </c>
      <c r="K34" s="138">
        <v>0</v>
      </c>
      <c r="L34" s="138">
        <v>0</v>
      </c>
      <c r="M34" s="138">
        <v>0</v>
      </c>
      <c r="N34" s="138">
        <v>0</v>
      </c>
      <c r="O34" s="138">
        <v>0</v>
      </c>
      <c r="P34" s="138">
        <v>0</v>
      </c>
      <c r="Q34" s="138">
        <v>0</v>
      </c>
      <c r="R34" s="138">
        <v>0</v>
      </c>
      <c r="S34" s="138">
        <v>0</v>
      </c>
      <c r="T34" s="138">
        <v>0</v>
      </c>
      <c r="U34" s="138">
        <v>0</v>
      </c>
      <c r="V34" s="138">
        <v>0</v>
      </c>
      <c r="W34" s="138">
        <v>0</v>
      </c>
      <c r="X34" s="138">
        <v>0</v>
      </c>
      <c r="Y34" s="138">
        <v>0</v>
      </c>
      <c r="Z34" s="138">
        <v>0</v>
      </c>
      <c r="AA34" s="138">
        <v>0</v>
      </c>
      <c r="AB34" s="141">
        <f t="shared" si="3"/>
        <v>0</v>
      </c>
      <c r="AC34" s="141">
        <f t="shared" si="4"/>
        <v>0</v>
      </c>
    </row>
    <row r="35" spans="1:29" ht="31.5" x14ac:dyDescent="0.25">
      <c r="A35" s="58" t="s">
        <v>59</v>
      </c>
      <c r="B35" s="57" t="s">
        <v>158</v>
      </c>
      <c r="C35" s="137">
        <f t="shared" ref="C35:C64" si="5">AB35</f>
        <v>0</v>
      </c>
      <c r="D35" s="137">
        <v>0</v>
      </c>
      <c r="E35" s="154">
        <v>0</v>
      </c>
      <c r="F35" s="154">
        <f t="shared" ref="F35:F64" si="6">AB35-H35</f>
        <v>0</v>
      </c>
      <c r="G35" s="137">
        <v>0</v>
      </c>
      <c r="H35" s="137">
        <v>0</v>
      </c>
      <c r="I35" s="137">
        <v>0</v>
      </c>
      <c r="J35" s="137">
        <v>0</v>
      </c>
      <c r="K35" s="137">
        <v>0</v>
      </c>
      <c r="L35" s="140">
        <v>0</v>
      </c>
      <c r="M35" s="137">
        <v>0</v>
      </c>
      <c r="N35" s="137">
        <v>0</v>
      </c>
      <c r="O35" s="137">
        <v>0</v>
      </c>
      <c r="P35" s="137">
        <v>0</v>
      </c>
      <c r="Q35" s="137">
        <v>0</v>
      </c>
      <c r="R35" s="137">
        <v>0</v>
      </c>
      <c r="S35" s="137">
        <v>0</v>
      </c>
      <c r="T35" s="137">
        <v>0</v>
      </c>
      <c r="U35" s="137">
        <v>0</v>
      </c>
      <c r="V35" s="137">
        <v>0</v>
      </c>
      <c r="W35" s="137">
        <v>0</v>
      </c>
      <c r="X35" s="137">
        <v>0</v>
      </c>
      <c r="Y35" s="137">
        <v>0</v>
      </c>
      <c r="Z35" s="137">
        <v>0</v>
      </c>
      <c r="AA35" s="137">
        <v>0</v>
      </c>
      <c r="AB35" s="141">
        <f t="shared" si="3"/>
        <v>0</v>
      </c>
      <c r="AC35" s="141">
        <f t="shared" si="4"/>
        <v>0</v>
      </c>
    </row>
    <row r="36" spans="1:29" ht="31.5" x14ac:dyDescent="0.25">
      <c r="A36" s="55" t="s">
        <v>157</v>
      </c>
      <c r="B36" s="54" t="s">
        <v>156</v>
      </c>
      <c r="C36" s="137">
        <f t="shared" si="5"/>
        <v>0</v>
      </c>
      <c r="D36" s="137">
        <v>0</v>
      </c>
      <c r="E36" s="154">
        <f t="shared" ref="E36:E42" si="7">G36+AB36</f>
        <v>0</v>
      </c>
      <c r="F36" s="154">
        <f t="shared" si="6"/>
        <v>0</v>
      </c>
      <c r="G36" s="138">
        <v>0</v>
      </c>
      <c r="H36" s="138">
        <v>0</v>
      </c>
      <c r="I36" s="138">
        <v>0</v>
      </c>
      <c r="J36" s="138">
        <v>0</v>
      </c>
      <c r="K36" s="138">
        <v>0</v>
      </c>
      <c r="L36" s="138">
        <v>0</v>
      </c>
      <c r="M36" s="138">
        <v>0</v>
      </c>
      <c r="N36" s="138">
        <v>0</v>
      </c>
      <c r="O36" s="138">
        <v>0</v>
      </c>
      <c r="P36" s="138">
        <v>0</v>
      </c>
      <c r="Q36" s="138">
        <v>0</v>
      </c>
      <c r="R36" s="138">
        <v>0</v>
      </c>
      <c r="S36" s="138">
        <v>0</v>
      </c>
      <c r="T36" s="138">
        <v>0</v>
      </c>
      <c r="U36" s="138">
        <v>0</v>
      </c>
      <c r="V36" s="138">
        <v>0</v>
      </c>
      <c r="W36" s="138">
        <v>0</v>
      </c>
      <c r="X36" s="138">
        <v>0</v>
      </c>
      <c r="Y36" s="138">
        <v>0</v>
      </c>
      <c r="Z36" s="138">
        <v>0</v>
      </c>
      <c r="AA36" s="138">
        <v>0</v>
      </c>
      <c r="AB36" s="141">
        <f t="shared" si="3"/>
        <v>0</v>
      </c>
      <c r="AC36" s="141">
        <f t="shared" si="4"/>
        <v>0</v>
      </c>
    </row>
    <row r="37" spans="1:29" x14ac:dyDescent="0.25">
      <c r="A37" s="55" t="s">
        <v>155</v>
      </c>
      <c r="B37" s="54" t="s">
        <v>145</v>
      </c>
      <c r="C37" s="137">
        <f t="shared" si="5"/>
        <v>0</v>
      </c>
      <c r="D37" s="137">
        <v>0</v>
      </c>
      <c r="E37" s="154">
        <f t="shared" si="7"/>
        <v>0</v>
      </c>
      <c r="F37" s="154">
        <f t="shared" si="6"/>
        <v>0</v>
      </c>
      <c r="G37" s="138">
        <v>0</v>
      </c>
      <c r="H37" s="138">
        <v>0</v>
      </c>
      <c r="I37" s="138">
        <v>0</v>
      </c>
      <c r="J37" s="138">
        <v>0</v>
      </c>
      <c r="K37" s="138">
        <v>0</v>
      </c>
      <c r="L37" s="139">
        <v>0</v>
      </c>
      <c r="M37" s="138">
        <v>0</v>
      </c>
      <c r="N37" s="138">
        <v>0</v>
      </c>
      <c r="O37" s="138">
        <v>0</v>
      </c>
      <c r="P37" s="138">
        <v>0</v>
      </c>
      <c r="Q37" s="138">
        <v>0</v>
      </c>
      <c r="R37" s="138">
        <v>0</v>
      </c>
      <c r="S37" s="138">
        <v>0</v>
      </c>
      <c r="T37" s="138">
        <v>0</v>
      </c>
      <c r="U37" s="138">
        <v>0</v>
      </c>
      <c r="V37" s="138">
        <v>0</v>
      </c>
      <c r="W37" s="138">
        <v>0</v>
      </c>
      <c r="X37" s="138">
        <v>0</v>
      </c>
      <c r="Y37" s="138">
        <v>0</v>
      </c>
      <c r="Z37" s="138">
        <v>0</v>
      </c>
      <c r="AA37" s="138">
        <v>0</v>
      </c>
      <c r="AB37" s="141">
        <f t="shared" si="3"/>
        <v>0</v>
      </c>
      <c r="AC37" s="141">
        <f t="shared" si="4"/>
        <v>0</v>
      </c>
    </row>
    <row r="38" spans="1:29" x14ac:dyDescent="0.25">
      <c r="A38" s="55" t="s">
        <v>154</v>
      </c>
      <c r="B38" s="54" t="s">
        <v>143</v>
      </c>
      <c r="C38" s="137">
        <f t="shared" si="5"/>
        <v>0</v>
      </c>
      <c r="D38" s="137">
        <v>0</v>
      </c>
      <c r="E38" s="154">
        <f t="shared" si="7"/>
        <v>0</v>
      </c>
      <c r="F38" s="154">
        <f t="shared" si="6"/>
        <v>0</v>
      </c>
      <c r="G38" s="138">
        <v>0</v>
      </c>
      <c r="H38" s="138">
        <v>0</v>
      </c>
      <c r="I38" s="138">
        <v>0</v>
      </c>
      <c r="J38" s="138">
        <v>0</v>
      </c>
      <c r="K38" s="138">
        <v>0</v>
      </c>
      <c r="L38" s="138">
        <v>0</v>
      </c>
      <c r="M38" s="138">
        <v>0</v>
      </c>
      <c r="N38" s="138">
        <v>0</v>
      </c>
      <c r="O38" s="138">
        <v>0</v>
      </c>
      <c r="P38" s="138">
        <v>0</v>
      </c>
      <c r="Q38" s="138">
        <v>0</v>
      </c>
      <c r="R38" s="138">
        <v>0</v>
      </c>
      <c r="S38" s="138">
        <v>0</v>
      </c>
      <c r="T38" s="138">
        <v>0</v>
      </c>
      <c r="U38" s="138">
        <v>0</v>
      </c>
      <c r="V38" s="138">
        <v>0</v>
      </c>
      <c r="W38" s="138">
        <v>0</v>
      </c>
      <c r="X38" s="138">
        <v>0</v>
      </c>
      <c r="Y38" s="138">
        <v>0</v>
      </c>
      <c r="Z38" s="138">
        <v>0</v>
      </c>
      <c r="AA38" s="138">
        <v>0</v>
      </c>
      <c r="AB38" s="141">
        <f t="shared" si="3"/>
        <v>0</v>
      </c>
      <c r="AC38" s="141">
        <f t="shared" si="4"/>
        <v>0</v>
      </c>
    </row>
    <row r="39" spans="1:29" ht="31.5" x14ac:dyDescent="0.25">
      <c r="A39" s="55" t="s">
        <v>153</v>
      </c>
      <c r="B39" s="34" t="s">
        <v>141</v>
      </c>
      <c r="C39" s="137">
        <f t="shared" si="5"/>
        <v>0</v>
      </c>
      <c r="D39" s="137">
        <v>0</v>
      </c>
      <c r="E39" s="154">
        <f t="shared" si="7"/>
        <v>0</v>
      </c>
      <c r="F39" s="154">
        <f t="shared" si="6"/>
        <v>0</v>
      </c>
      <c r="G39" s="138">
        <v>0</v>
      </c>
      <c r="H39" s="138">
        <v>0</v>
      </c>
      <c r="I39" s="138">
        <v>0</v>
      </c>
      <c r="J39" s="138">
        <v>0</v>
      </c>
      <c r="K39" s="138">
        <v>0</v>
      </c>
      <c r="L39" s="138">
        <v>0</v>
      </c>
      <c r="M39" s="138">
        <v>0</v>
      </c>
      <c r="N39" s="138">
        <v>0</v>
      </c>
      <c r="O39" s="138">
        <v>0</v>
      </c>
      <c r="P39" s="138">
        <v>0</v>
      </c>
      <c r="Q39" s="138">
        <v>0</v>
      </c>
      <c r="R39" s="138">
        <v>0</v>
      </c>
      <c r="S39" s="138">
        <v>0</v>
      </c>
      <c r="T39" s="138">
        <v>0</v>
      </c>
      <c r="U39" s="138">
        <v>0</v>
      </c>
      <c r="V39" s="138">
        <v>0</v>
      </c>
      <c r="W39" s="138">
        <v>0</v>
      </c>
      <c r="X39" s="138">
        <v>0</v>
      </c>
      <c r="Y39" s="138">
        <v>0</v>
      </c>
      <c r="Z39" s="138">
        <v>0</v>
      </c>
      <c r="AA39" s="138">
        <v>0</v>
      </c>
      <c r="AB39" s="141">
        <f t="shared" si="3"/>
        <v>0</v>
      </c>
      <c r="AC39" s="141">
        <f t="shared" si="4"/>
        <v>0</v>
      </c>
    </row>
    <row r="40" spans="1:29" ht="31.5" x14ac:dyDescent="0.25">
      <c r="A40" s="55" t="s">
        <v>152</v>
      </c>
      <c r="B40" s="34" t="s">
        <v>139</v>
      </c>
      <c r="C40" s="137">
        <f t="shared" si="5"/>
        <v>0</v>
      </c>
      <c r="D40" s="137">
        <v>0</v>
      </c>
      <c r="E40" s="154">
        <f t="shared" si="7"/>
        <v>0</v>
      </c>
      <c r="F40" s="154">
        <f t="shared" si="6"/>
        <v>0</v>
      </c>
      <c r="G40" s="138">
        <v>0</v>
      </c>
      <c r="H40" s="138">
        <v>0</v>
      </c>
      <c r="I40" s="138">
        <v>0</v>
      </c>
      <c r="J40" s="138">
        <v>0</v>
      </c>
      <c r="K40" s="138">
        <v>0</v>
      </c>
      <c r="L40" s="138">
        <v>0</v>
      </c>
      <c r="M40" s="138">
        <v>0</v>
      </c>
      <c r="N40" s="138">
        <v>0</v>
      </c>
      <c r="O40" s="138">
        <v>0</v>
      </c>
      <c r="P40" s="138">
        <v>0</v>
      </c>
      <c r="Q40" s="138">
        <v>0</v>
      </c>
      <c r="R40" s="138">
        <v>0</v>
      </c>
      <c r="S40" s="138">
        <v>0</v>
      </c>
      <c r="T40" s="138">
        <v>0</v>
      </c>
      <c r="U40" s="138">
        <v>0</v>
      </c>
      <c r="V40" s="138">
        <v>0</v>
      </c>
      <c r="W40" s="138">
        <v>0</v>
      </c>
      <c r="X40" s="138">
        <v>0</v>
      </c>
      <c r="Y40" s="138">
        <v>0</v>
      </c>
      <c r="Z40" s="138">
        <v>0</v>
      </c>
      <c r="AA40" s="138">
        <v>0</v>
      </c>
      <c r="AB40" s="141">
        <f t="shared" si="3"/>
        <v>0</v>
      </c>
      <c r="AC40" s="141">
        <f t="shared" si="4"/>
        <v>0</v>
      </c>
    </row>
    <row r="41" spans="1:29" x14ac:dyDescent="0.25">
      <c r="A41" s="55" t="s">
        <v>151</v>
      </c>
      <c r="B41" s="34" t="s">
        <v>137</v>
      </c>
      <c r="C41" s="137">
        <f t="shared" si="5"/>
        <v>0.26</v>
      </c>
      <c r="D41" s="137">
        <v>0</v>
      </c>
      <c r="E41" s="154">
        <f t="shared" si="7"/>
        <v>0.26</v>
      </c>
      <c r="F41" s="154">
        <f t="shared" si="6"/>
        <v>0.26</v>
      </c>
      <c r="G41" s="138">
        <v>0</v>
      </c>
      <c r="H41" s="138">
        <v>0</v>
      </c>
      <c r="I41" s="138">
        <v>0</v>
      </c>
      <c r="J41" s="138">
        <v>0</v>
      </c>
      <c r="K41" s="138">
        <v>0</v>
      </c>
      <c r="L41" s="138">
        <v>0</v>
      </c>
      <c r="M41" s="138">
        <v>0</v>
      </c>
      <c r="N41" s="138">
        <v>0</v>
      </c>
      <c r="O41" s="138">
        <v>0</v>
      </c>
      <c r="P41" s="138">
        <v>0</v>
      </c>
      <c r="Q41" s="138">
        <v>0</v>
      </c>
      <c r="R41" s="138">
        <v>0</v>
      </c>
      <c r="S41" s="138">
        <v>0</v>
      </c>
      <c r="T41" s="138">
        <v>0</v>
      </c>
      <c r="U41" s="138">
        <v>0</v>
      </c>
      <c r="V41" s="138">
        <v>0</v>
      </c>
      <c r="W41" s="138">
        <v>0</v>
      </c>
      <c r="X41" s="138">
        <v>0.26</v>
      </c>
      <c r="Y41" s="138">
        <v>0</v>
      </c>
      <c r="Z41" s="138">
        <v>0</v>
      </c>
      <c r="AA41" s="138">
        <v>0</v>
      </c>
      <c r="AB41" s="141">
        <f t="shared" si="3"/>
        <v>0.26</v>
      </c>
      <c r="AC41" s="141">
        <f t="shared" si="4"/>
        <v>0</v>
      </c>
    </row>
    <row r="42" spans="1:29" ht="18.75" x14ac:dyDescent="0.25">
      <c r="A42" s="55" t="s">
        <v>150</v>
      </c>
      <c r="B42" s="54" t="s">
        <v>135</v>
      </c>
      <c r="C42" s="137">
        <f t="shared" si="5"/>
        <v>0</v>
      </c>
      <c r="D42" s="137">
        <v>0</v>
      </c>
      <c r="E42" s="154">
        <f t="shared" si="7"/>
        <v>0</v>
      </c>
      <c r="F42" s="154">
        <f t="shared" si="6"/>
        <v>0</v>
      </c>
      <c r="G42" s="138">
        <v>0</v>
      </c>
      <c r="H42" s="138">
        <v>0</v>
      </c>
      <c r="I42" s="138">
        <v>0</v>
      </c>
      <c r="J42" s="138">
        <v>0</v>
      </c>
      <c r="K42" s="138">
        <v>0</v>
      </c>
      <c r="L42" s="138">
        <v>0</v>
      </c>
      <c r="M42" s="138">
        <v>0</v>
      </c>
      <c r="N42" s="138">
        <v>0</v>
      </c>
      <c r="O42" s="138">
        <v>0</v>
      </c>
      <c r="P42" s="138">
        <v>0</v>
      </c>
      <c r="Q42" s="138">
        <v>0</v>
      </c>
      <c r="R42" s="138">
        <v>0</v>
      </c>
      <c r="S42" s="138">
        <v>0</v>
      </c>
      <c r="T42" s="138">
        <v>0</v>
      </c>
      <c r="U42" s="138">
        <v>0</v>
      </c>
      <c r="V42" s="138">
        <v>0</v>
      </c>
      <c r="W42" s="138">
        <v>0</v>
      </c>
      <c r="X42" s="138">
        <v>0</v>
      </c>
      <c r="Y42" s="138">
        <v>0</v>
      </c>
      <c r="Z42" s="138">
        <v>0</v>
      </c>
      <c r="AA42" s="138">
        <v>0</v>
      </c>
      <c r="AB42" s="141">
        <f t="shared" si="3"/>
        <v>0</v>
      </c>
      <c r="AC42" s="141">
        <f t="shared" si="4"/>
        <v>0</v>
      </c>
    </row>
    <row r="43" spans="1:29" x14ac:dyDescent="0.25">
      <c r="A43" s="58" t="s">
        <v>58</v>
      </c>
      <c r="B43" s="57" t="s">
        <v>149</v>
      </c>
      <c r="C43" s="137">
        <f t="shared" si="5"/>
        <v>0</v>
      </c>
      <c r="D43" s="137">
        <v>0</v>
      </c>
      <c r="E43" s="154">
        <v>0</v>
      </c>
      <c r="F43" s="154">
        <f t="shared" si="6"/>
        <v>0</v>
      </c>
      <c r="G43" s="137">
        <v>0</v>
      </c>
      <c r="H43" s="137">
        <v>0</v>
      </c>
      <c r="I43" s="137">
        <v>0</v>
      </c>
      <c r="J43" s="137">
        <v>0</v>
      </c>
      <c r="K43" s="137">
        <v>0</v>
      </c>
      <c r="L43" s="140">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41">
        <f t="shared" si="3"/>
        <v>0</v>
      </c>
      <c r="AC43" s="141">
        <f t="shared" si="4"/>
        <v>0</v>
      </c>
    </row>
    <row r="44" spans="1:29" x14ac:dyDescent="0.25">
      <c r="A44" s="55" t="s">
        <v>148</v>
      </c>
      <c r="B44" s="34" t="s">
        <v>147</v>
      </c>
      <c r="C44" s="137">
        <f t="shared" si="5"/>
        <v>0</v>
      </c>
      <c r="D44" s="137">
        <v>0</v>
      </c>
      <c r="E44" s="154">
        <f t="shared" ref="E44:E50" si="8">G44+AB44</f>
        <v>0</v>
      </c>
      <c r="F44" s="154">
        <f t="shared" si="6"/>
        <v>0</v>
      </c>
      <c r="G44" s="138">
        <v>0</v>
      </c>
      <c r="H44" s="138">
        <v>0</v>
      </c>
      <c r="I44" s="138">
        <v>0</v>
      </c>
      <c r="J44" s="138">
        <v>0</v>
      </c>
      <c r="K44" s="138">
        <v>0</v>
      </c>
      <c r="L44" s="138">
        <v>0</v>
      </c>
      <c r="M44" s="138">
        <v>0</v>
      </c>
      <c r="N44" s="138">
        <v>0</v>
      </c>
      <c r="O44" s="138">
        <v>0</v>
      </c>
      <c r="P44" s="138">
        <v>0</v>
      </c>
      <c r="Q44" s="138">
        <v>0</v>
      </c>
      <c r="R44" s="138">
        <v>0</v>
      </c>
      <c r="S44" s="138">
        <v>0</v>
      </c>
      <c r="T44" s="138">
        <v>0</v>
      </c>
      <c r="U44" s="138">
        <v>0</v>
      </c>
      <c r="V44" s="138">
        <v>0</v>
      </c>
      <c r="W44" s="138">
        <v>0</v>
      </c>
      <c r="X44" s="138">
        <v>0</v>
      </c>
      <c r="Y44" s="138">
        <v>0</v>
      </c>
      <c r="Z44" s="138">
        <v>0</v>
      </c>
      <c r="AA44" s="138">
        <v>0</v>
      </c>
      <c r="AB44" s="141">
        <f t="shared" si="3"/>
        <v>0</v>
      </c>
      <c r="AC44" s="141">
        <f t="shared" si="4"/>
        <v>0</v>
      </c>
    </row>
    <row r="45" spans="1:29" x14ac:dyDescent="0.25">
      <c r="A45" s="55" t="s">
        <v>146</v>
      </c>
      <c r="B45" s="34" t="s">
        <v>145</v>
      </c>
      <c r="C45" s="137">
        <f t="shared" si="5"/>
        <v>0</v>
      </c>
      <c r="D45" s="137">
        <v>0</v>
      </c>
      <c r="E45" s="154">
        <f t="shared" si="8"/>
        <v>0</v>
      </c>
      <c r="F45" s="154">
        <f t="shared" si="6"/>
        <v>0</v>
      </c>
      <c r="G45" s="138">
        <v>0</v>
      </c>
      <c r="H45" s="138">
        <v>0</v>
      </c>
      <c r="I45" s="138">
        <v>0</v>
      </c>
      <c r="J45" s="138">
        <v>0</v>
      </c>
      <c r="K45" s="138">
        <v>0</v>
      </c>
      <c r="L45" s="139">
        <v>0</v>
      </c>
      <c r="M45" s="138">
        <v>0</v>
      </c>
      <c r="N45" s="138">
        <v>0</v>
      </c>
      <c r="O45" s="138">
        <v>0</v>
      </c>
      <c r="P45" s="138">
        <v>0</v>
      </c>
      <c r="Q45" s="138">
        <v>0</v>
      </c>
      <c r="R45" s="138">
        <v>0</v>
      </c>
      <c r="S45" s="138">
        <v>0</v>
      </c>
      <c r="T45" s="138">
        <v>0</v>
      </c>
      <c r="U45" s="138">
        <v>0</v>
      </c>
      <c r="V45" s="138">
        <v>0</v>
      </c>
      <c r="W45" s="138">
        <v>0</v>
      </c>
      <c r="X45" s="138">
        <f>X37</f>
        <v>0</v>
      </c>
      <c r="Y45" s="138">
        <v>0</v>
      </c>
      <c r="Z45" s="138">
        <v>0</v>
      </c>
      <c r="AA45" s="138">
        <v>0</v>
      </c>
      <c r="AB45" s="141">
        <f t="shared" si="3"/>
        <v>0</v>
      </c>
      <c r="AC45" s="141">
        <f t="shared" si="4"/>
        <v>0</v>
      </c>
    </row>
    <row r="46" spans="1:29" x14ac:dyDescent="0.25">
      <c r="A46" s="55" t="s">
        <v>144</v>
      </c>
      <c r="B46" s="34" t="s">
        <v>143</v>
      </c>
      <c r="C46" s="137">
        <f t="shared" si="5"/>
        <v>0</v>
      </c>
      <c r="D46" s="137">
        <v>0</v>
      </c>
      <c r="E46" s="154">
        <f t="shared" si="8"/>
        <v>0</v>
      </c>
      <c r="F46" s="154">
        <f t="shared" si="6"/>
        <v>0</v>
      </c>
      <c r="G46" s="138">
        <v>0</v>
      </c>
      <c r="H46" s="138">
        <v>0</v>
      </c>
      <c r="I46" s="138">
        <v>0</v>
      </c>
      <c r="J46" s="138">
        <v>0</v>
      </c>
      <c r="K46" s="138">
        <v>0</v>
      </c>
      <c r="L46" s="138">
        <v>0</v>
      </c>
      <c r="M46" s="138">
        <v>0</v>
      </c>
      <c r="N46" s="138">
        <v>0</v>
      </c>
      <c r="O46" s="138">
        <v>0</v>
      </c>
      <c r="P46" s="138">
        <v>0</v>
      </c>
      <c r="Q46" s="138">
        <v>0</v>
      </c>
      <c r="R46" s="138">
        <v>0</v>
      </c>
      <c r="S46" s="138">
        <v>0</v>
      </c>
      <c r="T46" s="138">
        <v>0</v>
      </c>
      <c r="U46" s="138">
        <v>0</v>
      </c>
      <c r="V46" s="138">
        <v>0</v>
      </c>
      <c r="W46" s="138">
        <v>0</v>
      </c>
      <c r="X46" s="138">
        <v>0</v>
      </c>
      <c r="Y46" s="138">
        <v>0</v>
      </c>
      <c r="Z46" s="138">
        <v>0</v>
      </c>
      <c r="AA46" s="138">
        <v>0</v>
      </c>
      <c r="AB46" s="141">
        <f t="shared" si="3"/>
        <v>0</v>
      </c>
      <c r="AC46" s="141">
        <f t="shared" si="4"/>
        <v>0</v>
      </c>
    </row>
    <row r="47" spans="1:29" ht="31.5" x14ac:dyDescent="0.25">
      <c r="A47" s="55" t="s">
        <v>142</v>
      </c>
      <c r="B47" s="34" t="s">
        <v>141</v>
      </c>
      <c r="C47" s="137">
        <f t="shared" si="5"/>
        <v>0</v>
      </c>
      <c r="D47" s="137">
        <v>0</v>
      </c>
      <c r="E47" s="154">
        <f t="shared" si="8"/>
        <v>0</v>
      </c>
      <c r="F47" s="154">
        <f t="shared" si="6"/>
        <v>0</v>
      </c>
      <c r="G47" s="138">
        <v>0</v>
      </c>
      <c r="H47" s="138">
        <v>0</v>
      </c>
      <c r="I47" s="138">
        <v>0</v>
      </c>
      <c r="J47" s="138">
        <v>0</v>
      </c>
      <c r="K47" s="138">
        <v>0</v>
      </c>
      <c r="L47" s="138">
        <v>0</v>
      </c>
      <c r="M47" s="138">
        <v>0</v>
      </c>
      <c r="N47" s="138">
        <v>0</v>
      </c>
      <c r="O47" s="138">
        <v>0</v>
      </c>
      <c r="P47" s="138">
        <v>0</v>
      </c>
      <c r="Q47" s="138">
        <v>0</v>
      </c>
      <c r="R47" s="138">
        <v>0</v>
      </c>
      <c r="S47" s="138">
        <v>0</v>
      </c>
      <c r="T47" s="138">
        <v>0</v>
      </c>
      <c r="U47" s="138">
        <v>0</v>
      </c>
      <c r="V47" s="138">
        <v>0</v>
      </c>
      <c r="W47" s="138">
        <v>0</v>
      </c>
      <c r="X47" s="138">
        <f>X39</f>
        <v>0</v>
      </c>
      <c r="Y47" s="138">
        <v>0</v>
      </c>
      <c r="Z47" s="138">
        <v>0</v>
      </c>
      <c r="AA47" s="138">
        <v>0</v>
      </c>
      <c r="AB47" s="141">
        <f t="shared" si="3"/>
        <v>0</v>
      </c>
      <c r="AC47" s="141">
        <f t="shared" si="4"/>
        <v>0</v>
      </c>
    </row>
    <row r="48" spans="1:29" ht="31.5" x14ac:dyDescent="0.25">
      <c r="A48" s="55" t="s">
        <v>140</v>
      </c>
      <c r="B48" s="34" t="s">
        <v>139</v>
      </c>
      <c r="C48" s="137">
        <f t="shared" si="5"/>
        <v>0</v>
      </c>
      <c r="D48" s="137">
        <v>0</v>
      </c>
      <c r="E48" s="154">
        <f t="shared" si="8"/>
        <v>0</v>
      </c>
      <c r="F48" s="154">
        <f t="shared" si="6"/>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f>X40</f>
        <v>0</v>
      </c>
      <c r="Y48" s="138">
        <v>0</v>
      </c>
      <c r="Z48" s="138">
        <v>0</v>
      </c>
      <c r="AA48" s="138">
        <v>0</v>
      </c>
      <c r="AB48" s="141">
        <f t="shared" si="3"/>
        <v>0</v>
      </c>
      <c r="AC48" s="141">
        <f t="shared" si="4"/>
        <v>0</v>
      </c>
    </row>
    <row r="49" spans="1:29" x14ac:dyDescent="0.25">
      <c r="A49" s="55" t="s">
        <v>138</v>
      </c>
      <c r="B49" s="34" t="s">
        <v>137</v>
      </c>
      <c r="C49" s="137">
        <f t="shared" si="5"/>
        <v>0.26</v>
      </c>
      <c r="D49" s="137">
        <v>0</v>
      </c>
      <c r="E49" s="154">
        <f t="shared" si="8"/>
        <v>0.26</v>
      </c>
      <c r="F49" s="154">
        <f t="shared" si="6"/>
        <v>0.26</v>
      </c>
      <c r="G49" s="138">
        <v>0</v>
      </c>
      <c r="H49" s="138">
        <v>0</v>
      </c>
      <c r="I49" s="138">
        <v>0</v>
      </c>
      <c r="J49" s="138">
        <v>0</v>
      </c>
      <c r="K49" s="138">
        <v>0</v>
      </c>
      <c r="L49" s="138">
        <v>0</v>
      </c>
      <c r="M49" s="138">
        <v>0</v>
      </c>
      <c r="N49" s="138">
        <v>0</v>
      </c>
      <c r="O49" s="138">
        <v>0</v>
      </c>
      <c r="P49" s="138">
        <v>0</v>
      </c>
      <c r="Q49" s="138">
        <v>0</v>
      </c>
      <c r="R49" s="138">
        <v>0</v>
      </c>
      <c r="S49" s="138">
        <v>0</v>
      </c>
      <c r="T49" s="138">
        <v>0</v>
      </c>
      <c r="U49" s="138">
        <v>0</v>
      </c>
      <c r="V49" s="138">
        <v>0</v>
      </c>
      <c r="W49" s="138">
        <v>0</v>
      </c>
      <c r="X49" s="138">
        <f>X41</f>
        <v>0.26</v>
      </c>
      <c r="Y49" s="138">
        <v>0</v>
      </c>
      <c r="Z49" s="138">
        <v>0</v>
      </c>
      <c r="AA49" s="138">
        <v>0</v>
      </c>
      <c r="AB49" s="141">
        <f t="shared" si="3"/>
        <v>0.26</v>
      </c>
      <c r="AC49" s="141">
        <f t="shared" si="4"/>
        <v>0</v>
      </c>
    </row>
    <row r="50" spans="1:29" ht="18.75" x14ac:dyDescent="0.25">
      <c r="A50" s="55" t="s">
        <v>136</v>
      </c>
      <c r="B50" s="54" t="s">
        <v>135</v>
      </c>
      <c r="C50" s="137">
        <f t="shared" si="5"/>
        <v>0</v>
      </c>
      <c r="D50" s="137">
        <v>0</v>
      </c>
      <c r="E50" s="154">
        <f t="shared" si="8"/>
        <v>0</v>
      </c>
      <c r="F50" s="154">
        <f t="shared" si="6"/>
        <v>0</v>
      </c>
      <c r="G50" s="138">
        <v>0</v>
      </c>
      <c r="H50" s="138">
        <v>0</v>
      </c>
      <c r="I50" s="138">
        <v>0</v>
      </c>
      <c r="J50" s="138">
        <v>0</v>
      </c>
      <c r="K50" s="138">
        <v>0</v>
      </c>
      <c r="L50" s="138">
        <v>0</v>
      </c>
      <c r="M50" s="138">
        <v>0</v>
      </c>
      <c r="N50" s="138">
        <v>0</v>
      </c>
      <c r="O50" s="138">
        <v>0</v>
      </c>
      <c r="P50" s="138">
        <v>0</v>
      </c>
      <c r="Q50" s="138">
        <v>0</v>
      </c>
      <c r="R50" s="138">
        <v>0</v>
      </c>
      <c r="S50" s="138">
        <v>0</v>
      </c>
      <c r="T50" s="138">
        <v>0</v>
      </c>
      <c r="U50" s="138">
        <v>0</v>
      </c>
      <c r="V50" s="138">
        <v>0</v>
      </c>
      <c r="W50" s="138">
        <v>0</v>
      </c>
      <c r="X50" s="138">
        <v>0</v>
      </c>
      <c r="Y50" s="138">
        <v>0</v>
      </c>
      <c r="Z50" s="138">
        <v>0</v>
      </c>
      <c r="AA50" s="138">
        <v>0</v>
      </c>
      <c r="AB50" s="141">
        <f t="shared" si="3"/>
        <v>0</v>
      </c>
      <c r="AC50" s="141">
        <f t="shared" si="4"/>
        <v>0</v>
      </c>
    </row>
    <row r="51" spans="1:29" ht="35.25" customHeight="1" x14ac:dyDescent="0.25">
      <c r="A51" s="58" t="s">
        <v>56</v>
      </c>
      <c r="B51" s="57" t="s">
        <v>134</v>
      </c>
      <c r="C51" s="137">
        <f t="shared" si="5"/>
        <v>0</v>
      </c>
      <c r="D51" s="137">
        <v>0</v>
      </c>
      <c r="E51" s="154">
        <v>0</v>
      </c>
      <c r="F51" s="154">
        <f t="shared" si="6"/>
        <v>0</v>
      </c>
      <c r="G51" s="137">
        <v>0</v>
      </c>
      <c r="H51" s="137">
        <v>0</v>
      </c>
      <c r="I51" s="137">
        <v>0</v>
      </c>
      <c r="J51" s="137">
        <v>0</v>
      </c>
      <c r="K51" s="137">
        <v>0</v>
      </c>
      <c r="L51" s="140">
        <v>0</v>
      </c>
      <c r="M51" s="137">
        <v>0</v>
      </c>
      <c r="N51" s="137">
        <v>0</v>
      </c>
      <c r="O51" s="137">
        <v>0</v>
      </c>
      <c r="P51" s="137">
        <v>0</v>
      </c>
      <c r="Q51" s="137">
        <v>0</v>
      </c>
      <c r="R51" s="137">
        <v>0</v>
      </c>
      <c r="S51" s="137">
        <v>0</v>
      </c>
      <c r="T51" s="137">
        <v>0</v>
      </c>
      <c r="U51" s="137">
        <v>0</v>
      </c>
      <c r="V51" s="137">
        <v>0</v>
      </c>
      <c r="W51" s="137">
        <v>0</v>
      </c>
      <c r="X51" s="137">
        <v>0</v>
      </c>
      <c r="Y51" s="137">
        <v>0</v>
      </c>
      <c r="Z51" s="137">
        <v>0</v>
      </c>
      <c r="AA51" s="137">
        <v>0</v>
      </c>
      <c r="AB51" s="141">
        <f t="shared" si="3"/>
        <v>0</v>
      </c>
      <c r="AC51" s="141">
        <f t="shared" si="4"/>
        <v>0</v>
      </c>
    </row>
    <row r="52" spans="1:29" x14ac:dyDescent="0.25">
      <c r="A52" s="55" t="s">
        <v>133</v>
      </c>
      <c r="B52" s="34" t="s">
        <v>132</v>
      </c>
      <c r="C52" s="137">
        <f t="shared" si="5"/>
        <v>1.3317735947181719</v>
      </c>
      <c r="D52" s="137">
        <v>0</v>
      </c>
      <c r="E52" s="154">
        <f>C52</f>
        <v>1.3317735947181719</v>
      </c>
      <c r="F52" s="154">
        <f t="shared" si="6"/>
        <v>1.3317735947181719</v>
      </c>
      <c r="G52" s="138">
        <v>0</v>
      </c>
      <c r="H52" s="138">
        <v>0</v>
      </c>
      <c r="I52" s="138">
        <v>0</v>
      </c>
      <c r="J52" s="138">
        <v>0</v>
      </c>
      <c r="K52" s="138">
        <v>0</v>
      </c>
      <c r="L52" s="138">
        <v>0</v>
      </c>
      <c r="M52" s="138">
        <v>0</v>
      </c>
      <c r="N52" s="138">
        <v>0</v>
      </c>
      <c r="O52" s="138">
        <v>0</v>
      </c>
      <c r="P52" s="138">
        <v>0</v>
      </c>
      <c r="Q52" s="138">
        <v>0</v>
      </c>
      <c r="R52" s="138">
        <v>0</v>
      </c>
      <c r="S52" s="138">
        <v>0</v>
      </c>
      <c r="T52" s="138">
        <v>0</v>
      </c>
      <c r="U52" s="138">
        <v>0</v>
      </c>
      <c r="V52" s="138">
        <v>0</v>
      </c>
      <c r="W52" s="138">
        <v>0</v>
      </c>
      <c r="X52" s="138">
        <f>AB30</f>
        <v>1.3317735947181719</v>
      </c>
      <c r="Y52" s="138">
        <v>0</v>
      </c>
      <c r="Z52" s="138">
        <v>0</v>
      </c>
      <c r="AA52" s="138">
        <v>0</v>
      </c>
      <c r="AB52" s="141">
        <f t="shared" si="3"/>
        <v>1.3317735947181719</v>
      </c>
      <c r="AC52" s="141">
        <f t="shared" si="4"/>
        <v>0</v>
      </c>
    </row>
    <row r="53" spans="1:29" x14ac:dyDescent="0.25">
      <c r="A53" s="55" t="s">
        <v>131</v>
      </c>
      <c r="B53" s="34" t="s">
        <v>125</v>
      </c>
      <c r="C53" s="137">
        <f t="shared" si="5"/>
        <v>0</v>
      </c>
      <c r="D53" s="137">
        <v>0</v>
      </c>
      <c r="E53" s="154">
        <f>G53+AB53</f>
        <v>0</v>
      </c>
      <c r="F53" s="154">
        <f t="shared" si="6"/>
        <v>0</v>
      </c>
      <c r="G53" s="138">
        <v>0</v>
      </c>
      <c r="H53" s="138">
        <v>0</v>
      </c>
      <c r="I53" s="138">
        <v>0</v>
      </c>
      <c r="J53" s="138">
        <v>0</v>
      </c>
      <c r="K53" s="138">
        <v>0</v>
      </c>
      <c r="L53" s="139">
        <v>0</v>
      </c>
      <c r="M53" s="138">
        <v>0</v>
      </c>
      <c r="N53" s="138">
        <v>0</v>
      </c>
      <c r="O53" s="138">
        <v>0</v>
      </c>
      <c r="P53" s="138">
        <v>0</v>
      </c>
      <c r="Q53" s="138">
        <v>0</v>
      </c>
      <c r="R53" s="138">
        <v>0</v>
      </c>
      <c r="S53" s="138">
        <v>0</v>
      </c>
      <c r="T53" s="138">
        <v>0</v>
      </c>
      <c r="U53" s="138">
        <v>0</v>
      </c>
      <c r="V53" s="138">
        <v>0</v>
      </c>
      <c r="W53" s="138">
        <v>0</v>
      </c>
      <c r="X53" s="138">
        <v>0</v>
      </c>
      <c r="Y53" s="138">
        <v>0</v>
      </c>
      <c r="Z53" s="138">
        <v>0</v>
      </c>
      <c r="AA53" s="138">
        <v>0</v>
      </c>
      <c r="AB53" s="141">
        <f t="shared" si="3"/>
        <v>0</v>
      </c>
      <c r="AC53" s="141">
        <f t="shared" si="4"/>
        <v>0</v>
      </c>
    </row>
    <row r="54" spans="1:29" x14ac:dyDescent="0.25">
      <c r="A54" s="55" t="s">
        <v>130</v>
      </c>
      <c r="B54" s="54" t="s">
        <v>124</v>
      </c>
      <c r="C54" s="137">
        <f t="shared" si="5"/>
        <v>0</v>
      </c>
      <c r="D54" s="137">
        <v>0</v>
      </c>
      <c r="E54" s="154">
        <f>G54+AB54</f>
        <v>0</v>
      </c>
      <c r="F54" s="154">
        <f t="shared" si="6"/>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f>X45</f>
        <v>0</v>
      </c>
      <c r="Y54" s="138">
        <v>0</v>
      </c>
      <c r="Z54" s="138">
        <v>0</v>
      </c>
      <c r="AA54" s="138">
        <v>0</v>
      </c>
      <c r="AB54" s="141">
        <f t="shared" si="3"/>
        <v>0</v>
      </c>
      <c r="AC54" s="141">
        <f t="shared" si="4"/>
        <v>0</v>
      </c>
    </row>
    <row r="55" spans="1:29" x14ac:dyDescent="0.25">
      <c r="A55" s="55" t="s">
        <v>129</v>
      </c>
      <c r="B55" s="54" t="s">
        <v>123</v>
      </c>
      <c r="C55" s="137">
        <f t="shared" si="5"/>
        <v>0</v>
      </c>
      <c r="D55" s="137">
        <v>0</v>
      </c>
      <c r="E55" s="154">
        <f>G55+AB55</f>
        <v>0</v>
      </c>
      <c r="F55" s="154">
        <f t="shared" si="6"/>
        <v>0</v>
      </c>
      <c r="G55" s="138">
        <v>0</v>
      </c>
      <c r="H55" s="138">
        <v>0</v>
      </c>
      <c r="I55" s="138">
        <v>0</v>
      </c>
      <c r="J55" s="138">
        <v>0</v>
      </c>
      <c r="K55" s="138">
        <v>0</v>
      </c>
      <c r="L55" s="138">
        <v>0</v>
      </c>
      <c r="M55" s="138">
        <v>0</v>
      </c>
      <c r="N55" s="138">
        <v>0</v>
      </c>
      <c r="O55" s="138">
        <v>0</v>
      </c>
      <c r="P55" s="138">
        <v>0</v>
      </c>
      <c r="Q55" s="138">
        <v>0</v>
      </c>
      <c r="R55" s="138">
        <v>0</v>
      </c>
      <c r="S55" s="138">
        <v>0</v>
      </c>
      <c r="T55" s="138">
        <v>0</v>
      </c>
      <c r="U55" s="138">
        <v>0</v>
      </c>
      <c r="V55" s="138">
        <v>0</v>
      </c>
      <c r="W55" s="138">
        <v>0</v>
      </c>
      <c r="X55" s="138">
        <v>0</v>
      </c>
      <c r="Y55" s="138">
        <v>0</v>
      </c>
      <c r="Z55" s="138">
        <v>0</v>
      </c>
      <c r="AA55" s="138">
        <v>0</v>
      </c>
      <c r="AB55" s="141">
        <f t="shared" si="3"/>
        <v>0</v>
      </c>
      <c r="AC55" s="141">
        <f t="shared" si="4"/>
        <v>0</v>
      </c>
    </row>
    <row r="56" spans="1:29" x14ac:dyDescent="0.25">
      <c r="A56" s="55" t="s">
        <v>128</v>
      </c>
      <c r="B56" s="54" t="s">
        <v>122</v>
      </c>
      <c r="C56" s="137">
        <f t="shared" si="5"/>
        <v>0.26</v>
      </c>
      <c r="D56" s="137">
        <v>0</v>
      </c>
      <c r="E56" s="154">
        <f>G56+AB56</f>
        <v>0.26</v>
      </c>
      <c r="F56" s="154">
        <f t="shared" si="6"/>
        <v>0.26</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f>X47+X48+X49</f>
        <v>0.26</v>
      </c>
      <c r="Y56" s="138">
        <v>0</v>
      </c>
      <c r="Z56" s="138">
        <v>0</v>
      </c>
      <c r="AA56" s="138">
        <v>0</v>
      </c>
      <c r="AB56" s="141">
        <f t="shared" si="3"/>
        <v>0.26</v>
      </c>
      <c r="AC56" s="141">
        <f t="shared" si="4"/>
        <v>0</v>
      </c>
    </row>
    <row r="57" spans="1:29" ht="18.75" x14ac:dyDescent="0.25">
      <c r="A57" s="55" t="s">
        <v>127</v>
      </c>
      <c r="B57" s="54" t="s">
        <v>121</v>
      </c>
      <c r="C57" s="137">
        <f t="shared" si="5"/>
        <v>0</v>
      </c>
      <c r="D57" s="137">
        <v>0</v>
      </c>
      <c r="E57" s="154">
        <f>G57+AB57</f>
        <v>0</v>
      </c>
      <c r="F57" s="154">
        <f t="shared" si="6"/>
        <v>0</v>
      </c>
      <c r="G57" s="138">
        <v>0</v>
      </c>
      <c r="H57" s="138">
        <v>0</v>
      </c>
      <c r="I57" s="138">
        <v>0</v>
      </c>
      <c r="J57" s="138">
        <v>0</v>
      </c>
      <c r="K57" s="138">
        <v>0</v>
      </c>
      <c r="L57" s="138">
        <v>0</v>
      </c>
      <c r="M57" s="138">
        <v>0</v>
      </c>
      <c r="N57" s="138">
        <v>0</v>
      </c>
      <c r="O57" s="138">
        <v>0</v>
      </c>
      <c r="P57" s="138">
        <v>0</v>
      </c>
      <c r="Q57" s="138">
        <v>0</v>
      </c>
      <c r="R57" s="138">
        <v>0</v>
      </c>
      <c r="S57" s="138">
        <v>0</v>
      </c>
      <c r="T57" s="138">
        <v>0</v>
      </c>
      <c r="U57" s="138">
        <v>0</v>
      </c>
      <c r="V57" s="138">
        <v>0</v>
      </c>
      <c r="W57" s="138">
        <v>0</v>
      </c>
      <c r="X57" s="138">
        <v>0</v>
      </c>
      <c r="Y57" s="138">
        <v>0</v>
      </c>
      <c r="Z57" s="138">
        <v>0</v>
      </c>
      <c r="AA57" s="138">
        <v>0</v>
      </c>
      <c r="AB57" s="141">
        <f t="shared" si="3"/>
        <v>0</v>
      </c>
      <c r="AC57" s="141">
        <f t="shared" si="4"/>
        <v>0</v>
      </c>
    </row>
    <row r="58" spans="1:29" ht="36.75" customHeight="1" x14ac:dyDescent="0.25">
      <c r="A58" s="58" t="s">
        <v>55</v>
      </c>
      <c r="B58" s="76" t="s">
        <v>225</v>
      </c>
      <c r="C58" s="137">
        <f t="shared" si="5"/>
        <v>0</v>
      </c>
      <c r="D58" s="137">
        <v>0</v>
      </c>
      <c r="E58" s="154">
        <v>0</v>
      </c>
      <c r="F58" s="154">
        <f t="shared" si="6"/>
        <v>0</v>
      </c>
      <c r="G58" s="137">
        <v>0</v>
      </c>
      <c r="H58" s="137">
        <v>0</v>
      </c>
      <c r="I58" s="137">
        <v>0</v>
      </c>
      <c r="J58" s="137">
        <v>0</v>
      </c>
      <c r="K58" s="137">
        <v>0</v>
      </c>
      <c r="L58" s="140">
        <v>0</v>
      </c>
      <c r="M58" s="137">
        <v>0</v>
      </c>
      <c r="N58" s="137">
        <v>0</v>
      </c>
      <c r="O58" s="137">
        <v>0</v>
      </c>
      <c r="P58" s="137">
        <v>0</v>
      </c>
      <c r="Q58" s="137">
        <v>0</v>
      </c>
      <c r="R58" s="137">
        <v>0</v>
      </c>
      <c r="S58" s="137">
        <v>0</v>
      </c>
      <c r="T58" s="137">
        <v>0</v>
      </c>
      <c r="U58" s="137">
        <v>0</v>
      </c>
      <c r="V58" s="137">
        <v>0</v>
      </c>
      <c r="W58" s="137">
        <v>0</v>
      </c>
      <c r="X58" s="137">
        <v>0</v>
      </c>
      <c r="Y58" s="137">
        <v>0</v>
      </c>
      <c r="Z58" s="137">
        <v>0</v>
      </c>
      <c r="AA58" s="137">
        <v>0</v>
      </c>
      <c r="AB58" s="141">
        <f t="shared" si="3"/>
        <v>0</v>
      </c>
      <c r="AC58" s="141">
        <f t="shared" si="4"/>
        <v>0</v>
      </c>
    </row>
    <row r="59" spans="1:29" x14ac:dyDescent="0.25">
      <c r="A59" s="58" t="s">
        <v>53</v>
      </c>
      <c r="B59" s="57" t="s">
        <v>126</v>
      </c>
      <c r="C59" s="137">
        <f t="shared" si="5"/>
        <v>0</v>
      </c>
      <c r="D59" s="137">
        <v>0</v>
      </c>
      <c r="E59" s="154">
        <v>0</v>
      </c>
      <c r="F59" s="154">
        <f t="shared" si="6"/>
        <v>0</v>
      </c>
      <c r="G59" s="137">
        <v>0</v>
      </c>
      <c r="H59" s="137">
        <v>0</v>
      </c>
      <c r="I59" s="137">
        <v>0</v>
      </c>
      <c r="J59" s="137">
        <v>0</v>
      </c>
      <c r="K59" s="137">
        <v>0</v>
      </c>
      <c r="L59" s="140">
        <v>0</v>
      </c>
      <c r="M59" s="137">
        <v>0</v>
      </c>
      <c r="N59" s="137">
        <v>0</v>
      </c>
      <c r="O59" s="137">
        <v>0</v>
      </c>
      <c r="P59" s="137">
        <v>0</v>
      </c>
      <c r="Q59" s="137">
        <v>0</v>
      </c>
      <c r="R59" s="137">
        <v>0</v>
      </c>
      <c r="S59" s="137">
        <v>0</v>
      </c>
      <c r="T59" s="137">
        <v>0</v>
      </c>
      <c r="U59" s="137">
        <v>0</v>
      </c>
      <c r="V59" s="137">
        <v>0</v>
      </c>
      <c r="W59" s="137">
        <v>0</v>
      </c>
      <c r="X59" s="137">
        <v>0</v>
      </c>
      <c r="Y59" s="137">
        <v>0</v>
      </c>
      <c r="Z59" s="137">
        <v>0</v>
      </c>
      <c r="AA59" s="137">
        <v>0</v>
      </c>
      <c r="AB59" s="141">
        <f t="shared" si="3"/>
        <v>0</v>
      </c>
      <c r="AC59" s="141">
        <f t="shared" si="4"/>
        <v>0</v>
      </c>
    </row>
    <row r="60" spans="1:29" x14ac:dyDescent="0.25">
      <c r="A60" s="55" t="s">
        <v>219</v>
      </c>
      <c r="B60" s="56" t="s">
        <v>147</v>
      </c>
      <c r="C60" s="137">
        <f t="shared" si="5"/>
        <v>0</v>
      </c>
      <c r="D60" s="137">
        <v>0</v>
      </c>
      <c r="E60" s="154">
        <v>0</v>
      </c>
      <c r="F60" s="154">
        <f t="shared" si="6"/>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41">
        <f t="shared" si="3"/>
        <v>0</v>
      </c>
      <c r="AC60" s="141">
        <f t="shared" si="4"/>
        <v>0</v>
      </c>
    </row>
    <row r="61" spans="1:29" x14ac:dyDescent="0.25">
      <c r="A61" s="55" t="s">
        <v>220</v>
      </c>
      <c r="B61" s="56" t="s">
        <v>145</v>
      </c>
      <c r="C61" s="137">
        <f t="shared" si="5"/>
        <v>0</v>
      </c>
      <c r="D61" s="137">
        <v>0</v>
      </c>
      <c r="E61" s="154">
        <v>0</v>
      </c>
      <c r="F61" s="154">
        <f t="shared" si="6"/>
        <v>0</v>
      </c>
      <c r="G61" s="138">
        <v>0</v>
      </c>
      <c r="H61" s="138">
        <v>0</v>
      </c>
      <c r="I61" s="138">
        <v>0</v>
      </c>
      <c r="J61" s="138">
        <v>0</v>
      </c>
      <c r="K61" s="138">
        <v>0</v>
      </c>
      <c r="L61" s="138">
        <v>0</v>
      </c>
      <c r="M61" s="138">
        <v>0</v>
      </c>
      <c r="N61" s="138">
        <v>0</v>
      </c>
      <c r="O61" s="138">
        <v>0</v>
      </c>
      <c r="P61" s="138">
        <v>0</v>
      </c>
      <c r="Q61" s="138">
        <v>0</v>
      </c>
      <c r="R61" s="138">
        <v>0</v>
      </c>
      <c r="S61" s="138">
        <v>0</v>
      </c>
      <c r="T61" s="138">
        <v>0</v>
      </c>
      <c r="U61" s="138">
        <v>0</v>
      </c>
      <c r="V61" s="138">
        <v>0</v>
      </c>
      <c r="W61" s="138">
        <v>0</v>
      </c>
      <c r="X61" s="138">
        <v>0</v>
      </c>
      <c r="Y61" s="138">
        <v>0</v>
      </c>
      <c r="Z61" s="138">
        <v>0</v>
      </c>
      <c r="AA61" s="138">
        <v>0</v>
      </c>
      <c r="AB61" s="141">
        <f t="shared" si="3"/>
        <v>0</v>
      </c>
      <c r="AC61" s="141">
        <f t="shared" si="4"/>
        <v>0</v>
      </c>
    </row>
    <row r="62" spans="1:29" x14ac:dyDescent="0.25">
      <c r="A62" s="55" t="s">
        <v>221</v>
      </c>
      <c r="B62" s="56" t="s">
        <v>143</v>
      </c>
      <c r="C62" s="137">
        <f t="shared" si="5"/>
        <v>0</v>
      </c>
      <c r="D62" s="137">
        <v>0</v>
      </c>
      <c r="E62" s="154">
        <v>0</v>
      </c>
      <c r="F62" s="154">
        <f t="shared" si="6"/>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41">
        <f t="shared" si="3"/>
        <v>0</v>
      </c>
      <c r="AC62" s="141">
        <f t="shared" si="4"/>
        <v>0</v>
      </c>
    </row>
    <row r="63" spans="1:29" x14ac:dyDescent="0.25">
      <c r="A63" s="55" t="s">
        <v>222</v>
      </c>
      <c r="B63" s="56" t="s">
        <v>224</v>
      </c>
      <c r="C63" s="137">
        <f t="shared" si="5"/>
        <v>0</v>
      </c>
      <c r="D63" s="137">
        <v>0</v>
      </c>
      <c r="E63" s="154">
        <v>0</v>
      </c>
      <c r="F63" s="154">
        <f t="shared" si="6"/>
        <v>0</v>
      </c>
      <c r="G63" s="138">
        <v>0</v>
      </c>
      <c r="H63" s="138">
        <v>0</v>
      </c>
      <c r="I63" s="138">
        <v>0</v>
      </c>
      <c r="J63" s="138">
        <v>0</v>
      </c>
      <c r="K63" s="138">
        <v>0</v>
      </c>
      <c r="L63" s="138">
        <v>0</v>
      </c>
      <c r="M63" s="138">
        <v>0</v>
      </c>
      <c r="N63" s="138">
        <v>0</v>
      </c>
      <c r="O63" s="138">
        <v>0</v>
      </c>
      <c r="P63" s="138">
        <v>0</v>
      </c>
      <c r="Q63" s="138">
        <v>0</v>
      </c>
      <c r="R63" s="138">
        <v>0</v>
      </c>
      <c r="S63" s="138">
        <v>0</v>
      </c>
      <c r="T63" s="138">
        <v>0</v>
      </c>
      <c r="U63" s="138">
        <v>0</v>
      </c>
      <c r="V63" s="138">
        <v>0</v>
      </c>
      <c r="W63" s="138">
        <v>0</v>
      </c>
      <c r="X63" s="138">
        <v>0</v>
      </c>
      <c r="Y63" s="138">
        <v>0</v>
      </c>
      <c r="Z63" s="138">
        <v>0</v>
      </c>
      <c r="AA63" s="138">
        <v>0</v>
      </c>
      <c r="AB63" s="141">
        <f t="shared" si="3"/>
        <v>0</v>
      </c>
      <c r="AC63" s="141">
        <f t="shared" si="4"/>
        <v>0</v>
      </c>
    </row>
    <row r="64" spans="1:29" ht="18.75" x14ac:dyDescent="0.25">
      <c r="A64" s="55" t="s">
        <v>223</v>
      </c>
      <c r="B64" s="54" t="s">
        <v>121</v>
      </c>
      <c r="C64" s="137">
        <f t="shared" si="5"/>
        <v>0</v>
      </c>
      <c r="D64" s="137">
        <v>0</v>
      </c>
      <c r="E64" s="154">
        <v>0</v>
      </c>
      <c r="F64" s="154">
        <f t="shared" si="6"/>
        <v>0</v>
      </c>
      <c r="G64" s="138">
        <v>0</v>
      </c>
      <c r="H64" s="138">
        <v>0</v>
      </c>
      <c r="I64" s="138">
        <v>0</v>
      </c>
      <c r="J64" s="138">
        <v>0</v>
      </c>
      <c r="K64" s="138">
        <v>0</v>
      </c>
      <c r="L64" s="138">
        <v>0</v>
      </c>
      <c r="M64" s="138">
        <v>0</v>
      </c>
      <c r="N64" s="138">
        <v>0</v>
      </c>
      <c r="O64" s="138">
        <v>0</v>
      </c>
      <c r="P64" s="138">
        <v>0</v>
      </c>
      <c r="Q64" s="138">
        <v>0</v>
      </c>
      <c r="R64" s="138">
        <v>0</v>
      </c>
      <c r="S64" s="138">
        <v>0</v>
      </c>
      <c r="T64" s="138">
        <v>0</v>
      </c>
      <c r="U64" s="138">
        <v>0</v>
      </c>
      <c r="V64" s="138">
        <v>0</v>
      </c>
      <c r="W64" s="138">
        <v>0</v>
      </c>
      <c r="X64" s="138">
        <v>0</v>
      </c>
      <c r="Y64" s="138">
        <v>0</v>
      </c>
      <c r="Z64" s="138">
        <v>0</v>
      </c>
      <c r="AA64" s="138">
        <v>0</v>
      </c>
      <c r="AB64" s="141">
        <f t="shared" si="3"/>
        <v>0</v>
      </c>
      <c r="AC64" s="141">
        <f t="shared" si="4"/>
        <v>0</v>
      </c>
    </row>
    <row r="65" spans="1:28" x14ac:dyDescent="0.25">
      <c r="A65" s="52"/>
      <c r="B65" s="47"/>
      <c r="C65" s="47"/>
      <c r="D65" s="47"/>
      <c r="E65" s="47"/>
      <c r="F65" s="47"/>
      <c r="G65" s="47"/>
      <c r="H65" s="47"/>
      <c r="I65" s="47"/>
      <c r="J65" s="47"/>
      <c r="K65" s="47"/>
      <c r="L65" s="52"/>
      <c r="M65" s="52"/>
    </row>
    <row r="66" spans="1:28" ht="54" customHeight="1" x14ac:dyDescent="0.25">
      <c r="B66" s="394"/>
      <c r="C66" s="394"/>
      <c r="D66" s="394"/>
      <c r="E66" s="394"/>
      <c r="F66" s="394"/>
      <c r="G66" s="394"/>
      <c r="H66" s="394"/>
      <c r="I66" s="394"/>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394"/>
      <c r="C68" s="394"/>
      <c r="D68" s="394"/>
      <c r="E68" s="394"/>
      <c r="F68" s="394"/>
      <c r="G68" s="394"/>
      <c r="H68" s="394"/>
      <c r="I68" s="394"/>
      <c r="J68" s="49"/>
      <c r="K68" s="49"/>
    </row>
    <row r="70" spans="1:28" ht="36.75" customHeight="1" x14ac:dyDescent="0.25">
      <c r="B70" s="394"/>
      <c r="C70" s="394"/>
      <c r="D70" s="394"/>
      <c r="E70" s="394"/>
      <c r="F70" s="394"/>
      <c r="G70" s="394"/>
      <c r="H70" s="394"/>
      <c r="I70" s="394"/>
      <c r="J70" s="49"/>
      <c r="K70" s="49"/>
    </row>
    <row r="71" spans="1:28" x14ac:dyDescent="0.25">
      <c r="N71" s="50"/>
    </row>
    <row r="72" spans="1:28" ht="51" customHeight="1" x14ac:dyDescent="0.25">
      <c r="B72" s="394"/>
      <c r="C72" s="394"/>
      <c r="D72" s="394"/>
      <c r="E72" s="394"/>
      <c r="F72" s="394"/>
      <c r="G72" s="394"/>
      <c r="H72" s="394"/>
      <c r="I72" s="394"/>
      <c r="J72" s="49"/>
      <c r="K72" s="49"/>
      <c r="N72" s="50"/>
    </row>
    <row r="73" spans="1:28" ht="32.25" customHeight="1" x14ac:dyDescent="0.25">
      <c r="B73" s="394"/>
      <c r="C73" s="394"/>
      <c r="D73" s="394"/>
      <c r="E73" s="394"/>
      <c r="F73" s="394"/>
      <c r="G73" s="394"/>
      <c r="H73" s="394"/>
      <c r="I73" s="394"/>
      <c r="J73" s="49"/>
      <c r="K73" s="49"/>
    </row>
    <row r="74" spans="1:28" ht="51.75" customHeight="1" x14ac:dyDescent="0.25">
      <c r="B74" s="394"/>
      <c r="C74" s="394"/>
      <c r="D74" s="394"/>
      <c r="E74" s="394"/>
      <c r="F74" s="394"/>
      <c r="G74" s="394"/>
      <c r="H74" s="394"/>
      <c r="I74" s="394"/>
      <c r="J74" s="49"/>
      <c r="K74" s="49"/>
    </row>
    <row r="75" spans="1:28" ht="21.75" customHeight="1" x14ac:dyDescent="0.25">
      <c r="B75" s="392"/>
      <c r="C75" s="392"/>
      <c r="D75" s="392"/>
      <c r="E75" s="392"/>
      <c r="F75" s="392"/>
      <c r="G75" s="392"/>
      <c r="H75" s="392"/>
      <c r="I75" s="392"/>
      <c r="J75" s="48"/>
      <c r="K75" s="48"/>
    </row>
    <row r="76" spans="1:28" ht="23.25" customHeight="1" x14ac:dyDescent="0.25"/>
    <row r="77" spans="1:28" ht="18.75" customHeight="1" x14ac:dyDescent="0.25">
      <c r="B77" s="393"/>
      <c r="C77" s="393"/>
      <c r="D77" s="393"/>
      <c r="E77" s="393"/>
      <c r="F77" s="393"/>
      <c r="G77" s="393"/>
      <c r="H77" s="393"/>
      <c r="I77" s="393"/>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52" priority="10" operator="notEqual">
      <formula>0</formula>
    </cfRule>
  </conditionalFormatting>
  <conditionalFormatting sqref="AB24:AC64">
    <cfRule type="cellIs" dxfId="51" priority="9" operator="notEqual">
      <formula>0</formula>
    </cfRule>
  </conditionalFormatting>
  <conditionalFormatting sqref="E24:F24">
    <cfRule type="cellIs" dxfId="50" priority="8" operator="notEqual">
      <formula>0</formula>
    </cfRule>
  </conditionalFormatting>
  <conditionalFormatting sqref="E58:F64 E51:F51 E25:F43">
    <cfRule type="cellIs" dxfId="49" priority="7" operator="notEqual">
      <formula>0</formula>
    </cfRule>
  </conditionalFormatting>
  <conditionalFormatting sqref="F44 F50">
    <cfRule type="cellIs" dxfId="48" priority="6" operator="notEqual">
      <formula>0</formula>
    </cfRule>
  </conditionalFormatting>
  <conditionalFormatting sqref="F45:F49">
    <cfRule type="cellIs" dxfId="47" priority="5" operator="notEqual">
      <formula>0</formula>
    </cfRule>
  </conditionalFormatting>
  <conditionalFormatting sqref="E44:E50">
    <cfRule type="cellIs" dxfId="46" priority="4" operator="notEqual">
      <formula>0</formula>
    </cfRule>
  </conditionalFormatting>
  <conditionalFormatting sqref="E52:F52 F53:F57">
    <cfRule type="cellIs" dxfId="45" priority="3" operator="notEqual">
      <formula>0</formula>
    </cfRule>
  </conditionalFormatting>
  <conditionalFormatting sqref="E53:E57">
    <cfRule type="cellIs" dxfId="44" priority="2" operator="notEqual">
      <formula>0</formula>
    </cfRule>
  </conditionalFormatting>
  <conditionalFormatting sqref="D24:D6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4" zoomScale="70" zoomScaleNormal="70" zoomScaleSheetLayoutView="70" workbookViewId="0">
      <selection activeCell="H22" sqref="H22"/>
    </sheetView>
  </sheetViews>
  <sheetFormatPr defaultColWidth="9.140625" defaultRowHeight="15.75" x14ac:dyDescent="0.25"/>
  <cols>
    <col min="1" max="1" width="9.140625" style="46"/>
    <col min="2" max="2" width="57.85546875" style="46" customWidth="1"/>
    <col min="3" max="3" width="13" style="46" customWidth="1"/>
    <col min="4" max="4" width="13.5703125" style="46" customWidth="1"/>
    <col min="5" max="5" width="16.28515625" style="46" customWidth="1"/>
    <col min="6" max="6" width="19" style="46" customWidth="1"/>
    <col min="7" max="7" width="12" style="46" customWidth="1"/>
    <col min="8" max="15" width="9.28515625" style="46" customWidth="1"/>
    <col min="16" max="17" width="8" style="46" customWidth="1"/>
    <col min="18" max="18" width="12" style="46" customWidth="1"/>
    <col min="19"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'6.1. Паспорт сетевой график'!A5:K5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78"/>
      <c r="B7" s="178"/>
      <c r="C7" s="178"/>
      <c r="D7" s="178"/>
      <c r="E7" s="178"/>
      <c r="F7" s="178"/>
      <c r="G7" s="178"/>
      <c r="H7" s="179"/>
      <c r="I7" s="179"/>
      <c r="J7" s="179"/>
      <c r="K7" s="179"/>
      <c r="L7" s="179"/>
      <c r="M7" s="179"/>
      <c r="N7" s="179"/>
      <c r="O7" s="179"/>
      <c r="P7" s="179"/>
      <c r="Q7" s="179"/>
      <c r="R7" s="179"/>
      <c r="S7" s="179"/>
      <c r="T7" s="179"/>
      <c r="U7" s="179"/>
      <c r="V7" s="179"/>
      <c r="W7" s="179"/>
      <c r="X7" s="179"/>
      <c r="Y7" s="179"/>
      <c r="Z7" s="179"/>
      <c r="AA7" s="179"/>
      <c r="AB7" s="179"/>
      <c r="AC7" s="179"/>
    </row>
    <row r="8" spans="1:29"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78"/>
      <c r="B10" s="178"/>
      <c r="C10" s="178"/>
      <c r="D10" s="178"/>
      <c r="E10" s="178"/>
      <c r="F10" s="178"/>
      <c r="G10" s="178"/>
      <c r="H10" s="179"/>
      <c r="I10" s="179"/>
      <c r="J10" s="179"/>
      <c r="K10" s="179"/>
      <c r="L10" s="179"/>
      <c r="M10" s="179"/>
      <c r="N10" s="179"/>
      <c r="O10" s="179"/>
      <c r="P10" s="179"/>
      <c r="Q10" s="179"/>
      <c r="R10" s="179"/>
      <c r="S10" s="179"/>
      <c r="T10" s="179"/>
      <c r="U10" s="179"/>
      <c r="V10" s="179"/>
      <c r="W10" s="179"/>
      <c r="X10" s="179"/>
      <c r="Y10" s="179"/>
      <c r="Z10" s="179"/>
      <c r="AA10" s="179"/>
      <c r="AB10" s="179"/>
      <c r="AC10" s="179"/>
    </row>
    <row r="11" spans="1:29" x14ac:dyDescent="0.25">
      <c r="A11" s="412" t="str">
        <f>'6.1. Паспорт сетевой график'!A12</f>
        <v>M 22-02</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180"/>
      <c r="B13" s="180"/>
      <c r="C13" s="180"/>
      <c r="D13" s="180"/>
      <c r="E13" s="180"/>
      <c r="F13" s="180"/>
      <c r="G13" s="180"/>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27" t="str">
        <f>'6.1. Паспорт сетевой график'!A15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8" t="s">
        <v>423</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20" spans="1:32" ht="33" customHeight="1" x14ac:dyDescent="0.25">
      <c r="A20" s="383" t="s">
        <v>183</v>
      </c>
      <c r="B20" s="383" t="s">
        <v>182</v>
      </c>
      <c r="C20" s="407" t="s">
        <v>181</v>
      </c>
      <c r="D20" s="407"/>
      <c r="E20" s="410" t="s">
        <v>180</v>
      </c>
      <c r="F20" s="410"/>
      <c r="G20" s="383" t="s">
        <v>579</v>
      </c>
      <c r="H20" s="408">
        <v>2020</v>
      </c>
      <c r="I20" s="409"/>
      <c r="J20" s="409"/>
      <c r="K20" s="409"/>
      <c r="L20" s="408">
        <v>2021</v>
      </c>
      <c r="M20" s="409"/>
      <c r="N20" s="409"/>
      <c r="O20" s="409"/>
      <c r="P20" s="408">
        <v>2022</v>
      </c>
      <c r="Q20" s="409"/>
      <c r="R20" s="409"/>
      <c r="S20" s="409"/>
      <c r="T20" s="408">
        <v>2023</v>
      </c>
      <c r="U20" s="409"/>
      <c r="V20" s="409"/>
      <c r="W20" s="409"/>
      <c r="X20" s="408">
        <v>2024</v>
      </c>
      <c r="Y20" s="409"/>
      <c r="Z20" s="409"/>
      <c r="AA20" s="409"/>
      <c r="AB20" s="406" t="s">
        <v>179</v>
      </c>
      <c r="AC20" s="406"/>
      <c r="AD20" s="61"/>
      <c r="AE20" s="61"/>
      <c r="AF20" s="61"/>
    </row>
    <row r="21" spans="1:32" ht="99.75" customHeight="1" x14ac:dyDescent="0.25">
      <c r="A21" s="384"/>
      <c r="B21" s="384"/>
      <c r="C21" s="407"/>
      <c r="D21" s="407"/>
      <c r="E21" s="410"/>
      <c r="F21" s="410"/>
      <c r="G21" s="384"/>
      <c r="H21" s="407" t="s">
        <v>571</v>
      </c>
      <c r="I21" s="407"/>
      <c r="J21" s="407" t="s">
        <v>8</v>
      </c>
      <c r="K21" s="407"/>
      <c r="L21" s="407" t="s">
        <v>572</v>
      </c>
      <c r="M21" s="407"/>
      <c r="N21" s="407" t="s">
        <v>8</v>
      </c>
      <c r="O21" s="407"/>
      <c r="P21" s="407" t="s">
        <v>1</v>
      </c>
      <c r="Q21" s="407"/>
      <c r="R21" s="407" t="s">
        <v>8</v>
      </c>
      <c r="S21" s="407"/>
      <c r="T21" s="407" t="s">
        <v>1</v>
      </c>
      <c r="U21" s="407"/>
      <c r="V21" s="407" t="s">
        <v>178</v>
      </c>
      <c r="W21" s="407"/>
      <c r="X21" s="407" t="s">
        <v>1</v>
      </c>
      <c r="Y21" s="407"/>
      <c r="Z21" s="407" t="s">
        <v>178</v>
      </c>
      <c r="AA21" s="407"/>
      <c r="AB21" s="406"/>
      <c r="AC21" s="406"/>
    </row>
    <row r="22" spans="1:32" ht="89.25" customHeight="1" x14ac:dyDescent="0.25">
      <c r="A22" s="385"/>
      <c r="B22" s="385"/>
      <c r="C22" s="150" t="s">
        <v>1</v>
      </c>
      <c r="D22" s="150" t="s">
        <v>8</v>
      </c>
      <c r="E22" s="60" t="s">
        <v>570</v>
      </c>
      <c r="F22" s="60" t="s">
        <v>606</v>
      </c>
      <c r="G22" s="385"/>
      <c r="H22" s="181" t="s">
        <v>404</v>
      </c>
      <c r="I22" s="181" t="s">
        <v>405</v>
      </c>
      <c r="J22" s="181" t="s">
        <v>404</v>
      </c>
      <c r="K22" s="181" t="s">
        <v>405</v>
      </c>
      <c r="L22" s="181" t="s">
        <v>404</v>
      </c>
      <c r="M22" s="181" t="s">
        <v>405</v>
      </c>
      <c r="N22" s="181" t="s">
        <v>404</v>
      </c>
      <c r="O22" s="181" t="s">
        <v>405</v>
      </c>
      <c r="P22" s="181" t="s">
        <v>404</v>
      </c>
      <c r="Q22" s="181" t="s">
        <v>405</v>
      </c>
      <c r="R22" s="181" t="s">
        <v>404</v>
      </c>
      <c r="S22" s="181" t="s">
        <v>405</v>
      </c>
      <c r="T22" s="181" t="s">
        <v>404</v>
      </c>
      <c r="U22" s="181" t="s">
        <v>405</v>
      </c>
      <c r="V22" s="181" t="s">
        <v>404</v>
      </c>
      <c r="W22" s="181" t="s">
        <v>405</v>
      </c>
      <c r="X22" s="181" t="s">
        <v>404</v>
      </c>
      <c r="Y22" s="181" t="s">
        <v>405</v>
      </c>
      <c r="Z22" s="181" t="s">
        <v>404</v>
      </c>
      <c r="AA22" s="181" t="s">
        <v>405</v>
      </c>
      <c r="AB22" s="150" t="s">
        <v>1</v>
      </c>
      <c r="AC22" s="150" t="s">
        <v>563</v>
      </c>
    </row>
    <row r="23" spans="1:32" ht="19.5" customHeight="1" x14ac:dyDescent="0.25">
      <c r="A23" s="182">
        <v>1</v>
      </c>
      <c r="B23" s="182">
        <v>2</v>
      </c>
      <c r="C23" s="182">
        <v>3</v>
      </c>
      <c r="D23" s="182">
        <v>4</v>
      </c>
      <c r="E23" s="182">
        <v>5</v>
      </c>
      <c r="F23" s="182">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c r="V23" s="182">
        <v>22</v>
      </c>
      <c r="W23" s="182">
        <v>23</v>
      </c>
      <c r="X23" s="182">
        <v>24</v>
      </c>
      <c r="Y23" s="182">
        <v>25</v>
      </c>
      <c r="Z23" s="182">
        <v>26</v>
      </c>
      <c r="AA23" s="182">
        <v>27</v>
      </c>
      <c r="AB23" s="182">
        <v>28</v>
      </c>
      <c r="AC23" s="182">
        <v>29</v>
      </c>
    </row>
    <row r="24" spans="1:32" ht="47.25" customHeight="1" x14ac:dyDescent="0.25">
      <c r="A24" s="183">
        <v>1</v>
      </c>
      <c r="B24" s="184" t="s">
        <v>177</v>
      </c>
      <c r="C24" s="185">
        <v>0.66</v>
      </c>
      <c r="D24" s="185">
        <v>1.1391039999999999</v>
      </c>
      <c r="E24" s="185">
        <f>C24</f>
        <v>0.66</v>
      </c>
      <c r="F24" s="188">
        <v>0</v>
      </c>
      <c r="G24" s="185">
        <v>0</v>
      </c>
      <c r="H24" s="185" t="s">
        <v>556</v>
      </c>
      <c r="I24" s="185">
        <f t="shared" ref="I24:Y24" si="0">SUM(I25:I29)</f>
        <v>0</v>
      </c>
      <c r="J24" s="185">
        <v>0</v>
      </c>
      <c r="K24" s="185">
        <f t="shared" si="0"/>
        <v>0</v>
      </c>
      <c r="L24" s="185" t="s">
        <v>556</v>
      </c>
      <c r="M24" s="185">
        <f t="shared" si="0"/>
        <v>0</v>
      </c>
      <c r="N24" s="185">
        <v>0</v>
      </c>
      <c r="O24" s="185">
        <f t="shared" si="0"/>
        <v>0</v>
      </c>
      <c r="P24" s="185">
        <v>0.66</v>
      </c>
      <c r="Q24" s="185">
        <f t="shared" si="0"/>
        <v>0</v>
      </c>
      <c r="R24" s="185">
        <f>D24</f>
        <v>1.1391039999999999</v>
      </c>
      <c r="S24" s="185">
        <f t="shared" ref="S24" si="1">SUM(S25:S29)</f>
        <v>0</v>
      </c>
      <c r="T24" s="188">
        <v>0</v>
      </c>
      <c r="U24" s="185">
        <f t="shared" si="0"/>
        <v>0</v>
      </c>
      <c r="V24" s="185">
        <f t="shared" ref="V24:W24" si="2">SUM(V25:V29)</f>
        <v>0</v>
      </c>
      <c r="W24" s="185">
        <f t="shared" si="2"/>
        <v>0</v>
      </c>
      <c r="X24" s="185">
        <v>0</v>
      </c>
      <c r="Y24" s="185">
        <f t="shared" si="0"/>
        <v>0</v>
      </c>
      <c r="Z24" s="185">
        <v>0</v>
      </c>
      <c r="AA24" s="185">
        <f t="shared" ref="AA24" si="3">SUM(AA25:AA29)</f>
        <v>0</v>
      </c>
      <c r="AB24" s="185">
        <v>0.66</v>
      </c>
      <c r="AC24" s="197">
        <f>SUM(J24,N24,R24,V24,Z24)</f>
        <v>1.1391039999999999</v>
      </c>
    </row>
    <row r="25" spans="1:32" ht="24" customHeight="1" x14ac:dyDescent="0.25">
      <c r="A25" s="186" t="s">
        <v>176</v>
      </c>
      <c r="B25" s="187" t="s">
        <v>175</v>
      </c>
      <c r="C25" s="185">
        <v>0</v>
      </c>
      <c r="D25" s="188">
        <v>0</v>
      </c>
      <c r="E25" s="185">
        <f t="shared" ref="E25:E64" si="4">C25</f>
        <v>0</v>
      </c>
      <c r="F25" s="188">
        <v>0</v>
      </c>
      <c r="G25" s="185">
        <v>0</v>
      </c>
      <c r="H25" s="185" t="s">
        <v>556</v>
      </c>
      <c r="I25" s="188">
        <v>0</v>
      </c>
      <c r="J25" s="188" t="str">
        <f t="shared" ref="J25:J64" si="5">H25</f>
        <v>нд</v>
      </c>
      <c r="K25" s="188">
        <v>0</v>
      </c>
      <c r="L25" s="185" t="s">
        <v>556</v>
      </c>
      <c r="M25" s="188">
        <v>0</v>
      </c>
      <c r="N25" s="188" t="str">
        <f t="shared" ref="N25:N64" si="6">L25</f>
        <v>нд</v>
      </c>
      <c r="O25" s="188">
        <v>0</v>
      </c>
      <c r="P25" s="185">
        <v>0</v>
      </c>
      <c r="Q25" s="188">
        <v>0</v>
      </c>
      <c r="R25" s="185">
        <f t="shared" ref="R25:R64" si="7">D25</f>
        <v>0</v>
      </c>
      <c r="S25" s="188">
        <v>0</v>
      </c>
      <c r="T25" s="188">
        <v>0</v>
      </c>
      <c r="U25" s="188">
        <v>0</v>
      </c>
      <c r="V25" s="188">
        <v>0</v>
      </c>
      <c r="W25" s="188">
        <v>0</v>
      </c>
      <c r="X25" s="185">
        <v>0</v>
      </c>
      <c r="Y25" s="188">
        <v>0</v>
      </c>
      <c r="Z25" s="185">
        <v>0</v>
      </c>
      <c r="AA25" s="188">
        <v>0</v>
      </c>
      <c r="AB25" s="185">
        <v>0</v>
      </c>
      <c r="AC25" s="197">
        <f t="shared" ref="AC25:AC64" si="8">SUM(J25,N25,R25,V25,Z25)</f>
        <v>0</v>
      </c>
    </row>
    <row r="26" spans="1:32" x14ac:dyDescent="0.25">
      <c r="A26" s="186" t="s">
        <v>174</v>
      </c>
      <c r="B26" s="187" t="s">
        <v>173</v>
      </c>
      <c r="C26" s="185">
        <v>0</v>
      </c>
      <c r="D26" s="188">
        <v>0</v>
      </c>
      <c r="E26" s="185">
        <f t="shared" si="4"/>
        <v>0</v>
      </c>
      <c r="F26" s="188">
        <v>0</v>
      </c>
      <c r="G26" s="185">
        <v>0</v>
      </c>
      <c r="H26" s="185" t="s">
        <v>556</v>
      </c>
      <c r="I26" s="188">
        <v>0</v>
      </c>
      <c r="J26" s="188" t="str">
        <f t="shared" si="5"/>
        <v>нд</v>
      </c>
      <c r="K26" s="188">
        <v>0</v>
      </c>
      <c r="L26" s="185" t="s">
        <v>556</v>
      </c>
      <c r="M26" s="188">
        <v>0</v>
      </c>
      <c r="N26" s="188" t="str">
        <f t="shared" si="6"/>
        <v>нд</v>
      </c>
      <c r="O26" s="188">
        <v>0</v>
      </c>
      <c r="P26" s="185">
        <v>0</v>
      </c>
      <c r="Q26" s="188">
        <v>0</v>
      </c>
      <c r="R26" s="185">
        <f t="shared" si="7"/>
        <v>0</v>
      </c>
      <c r="S26" s="188">
        <v>0</v>
      </c>
      <c r="T26" s="188">
        <v>0</v>
      </c>
      <c r="U26" s="188">
        <v>0</v>
      </c>
      <c r="V26" s="188">
        <v>0</v>
      </c>
      <c r="W26" s="188">
        <v>0</v>
      </c>
      <c r="X26" s="185">
        <v>0</v>
      </c>
      <c r="Y26" s="188">
        <v>0</v>
      </c>
      <c r="Z26" s="185">
        <v>0</v>
      </c>
      <c r="AA26" s="188">
        <v>0</v>
      </c>
      <c r="AB26" s="185">
        <v>0</v>
      </c>
      <c r="AC26" s="197">
        <f t="shared" si="8"/>
        <v>0</v>
      </c>
    </row>
    <row r="27" spans="1:32" ht="31.5" x14ac:dyDescent="0.25">
      <c r="A27" s="186" t="s">
        <v>172</v>
      </c>
      <c r="B27" s="187" t="s">
        <v>360</v>
      </c>
      <c r="C27" s="185">
        <v>0.66</v>
      </c>
      <c r="D27" s="188">
        <v>0.94925472</v>
      </c>
      <c r="E27" s="185">
        <f t="shared" si="4"/>
        <v>0.66</v>
      </c>
      <c r="F27" s="188">
        <v>0</v>
      </c>
      <c r="G27" s="185">
        <v>0</v>
      </c>
      <c r="H27" s="185" t="s">
        <v>556</v>
      </c>
      <c r="I27" s="188">
        <v>0</v>
      </c>
      <c r="J27" s="188">
        <v>0</v>
      </c>
      <c r="K27" s="188">
        <v>0</v>
      </c>
      <c r="L27" s="185" t="s">
        <v>556</v>
      </c>
      <c r="M27" s="188">
        <v>0</v>
      </c>
      <c r="N27" s="188">
        <v>0</v>
      </c>
      <c r="O27" s="188">
        <v>0</v>
      </c>
      <c r="P27" s="185">
        <v>0.66</v>
      </c>
      <c r="Q27" s="188">
        <v>0</v>
      </c>
      <c r="R27" s="185">
        <f t="shared" si="7"/>
        <v>0.94925472</v>
      </c>
      <c r="S27" s="188">
        <v>0</v>
      </c>
      <c r="T27" s="188">
        <v>0</v>
      </c>
      <c r="U27" s="188">
        <v>0</v>
      </c>
      <c r="V27" s="188">
        <v>0</v>
      </c>
      <c r="W27" s="188">
        <v>0</v>
      </c>
      <c r="X27" s="185">
        <v>0</v>
      </c>
      <c r="Y27" s="188">
        <v>0</v>
      </c>
      <c r="Z27" s="185">
        <v>0</v>
      </c>
      <c r="AA27" s="188">
        <v>0</v>
      </c>
      <c r="AB27" s="185">
        <v>0.66</v>
      </c>
      <c r="AC27" s="197">
        <f t="shared" si="8"/>
        <v>0.94925472</v>
      </c>
    </row>
    <row r="28" spans="1:32" x14ac:dyDescent="0.25">
      <c r="A28" s="186" t="s">
        <v>171</v>
      </c>
      <c r="B28" s="187" t="s">
        <v>564</v>
      </c>
      <c r="C28" s="185">
        <v>0</v>
      </c>
      <c r="D28" s="188">
        <v>0</v>
      </c>
      <c r="E28" s="185">
        <f t="shared" si="4"/>
        <v>0</v>
      </c>
      <c r="F28" s="188">
        <v>0</v>
      </c>
      <c r="G28" s="185">
        <v>0</v>
      </c>
      <c r="H28" s="185" t="s">
        <v>556</v>
      </c>
      <c r="I28" s="188">
        <v>0</v>
      </c>
      <c r="J28" s="188" t="str">
        <f t="shared" si="5"/>
        <v>нд</v>
      </c>
      <c r="K28" s="188">
        <v>0</v>
      </c>
      <c r="L28" s="185" t="s">
        <v>556</v>
      </c>
      <c r="M28" s="188">
        <v>0</v>
      </c>
      <c r="N28" s="188" t="str">
        <f t="shared" si="6"/>
        <v>нд</v>
      </c>
      <c r="O28" s="188">
        <v>0</v>
      </c>
      <c r="P28" s="185">
        <v>0</v>
      </c>
      <c r="Q28" s="188">
        <v>0</v>
      </c>
      <c r="R28" s="185">
        <f t="shared" si="7"/>
        <v>0</v>
      </c>
      <c r="S28" s="188">
        <v>0</v>
      </c>
      <c r="T28" s="188">
        <v>0</v>
      </c>
      <c r="U28" s="188">
        <v>0</v>
      </c>
      <c r="V28" s="188">
        <v>0</v>
      </c>
      <c r="W28" s="188">
        <v>0</v>
      </c>
      <c r="X28" s="185">
        <v>0</v>
      </c>
      <c r="Y28" s="188">
        <v>0</v>
      </c>
      <c r="Z28" s="185">
        <v>0</v>
      </c>
      <c r="AA28" s="188">
        <v>0</v>
      </c>
      <c r="AB28" s="185">
        <v>0</v>
      </c>
      <c r="AC28" s="197">
        <f t="shared" si="8"/>
        <v>0</v>
      </c>
    </row>
    <row r="29" spans="1:32" x14ac:dyDescent="0.25">
      <c r="A29" s="186" t="s">
        <v>169</v>
      </c>
      <c r="B29" s="59" t="s">
        <v>168</v>
      </c>
      <c r="C29" s="185">
        <v>0</v>
      </c>
      <c r="D29" s="188">
        <f>D24-D27</f>
        <v>0.1898492799999999</v>
      </c>
      <c r="E29" s="185">
        <f t="shared" si="4"/>
        <v>0</v>
      </c>
      <c r="F29" s="188">
        <v>0</v>
      </c>
      <c r="G29" s="185">
        <v>0</v>
      </c>
      <c r="H29" s="185" t="s">
        <v>556</v>
      </c>
      <c r="I29" s="188">
        <v>0</v>
      </c>
      <c r="J29" s="189" t="str">
        <f t="shared" si="5"/>
        <v>нд</v>
      </c>
      <c r="K29" s="188">
        <v>0</v>
      </c>
      <c r="L29" s="185" t="s">
        <v>556</v>
      </c>
      <c r="M29" s="188">
        <v>0</v>
      </c>
      <c r="N29" s="189" t="str">
        <f t="shared" si="6"/>
        <v>нд</v>
      </c>
      <c r="O29" s="188">
        <v>0</v>
      </c>
      <c r="P29" s="185">
        <v>0</v>
      </c>
      <c r="Q29" s="188">
        <v>0</v>
      </c>
      <c r="R29" s="185">
        <f t="shared" si="7"/>
        <v>0.1898492799999999</v>
      </c>
      <c r="S29" s="188">
        <v>0</v>
      </c>
      <c r="T29" s="188">
        <v>0</v>
      </c>
      <c r="U29" s="188">
        <v>0</v>
      </c>
      <c r="V29" s="188">
        <v>0</v>
      </c>
      <c r="W29" s="188">
        <v>0</v>
      </c>
      <c r="X29" s="185">
        <v>0</v>
      </c>
      <c r="Y29" s="188">
        <v>0</v>
      </c>
      <c r="Z29" s="185">
        <v>0</v>
      </c>
      <c r="AA29" s="188">
        <v>0</v>
      </c>
      <c r="AB29" s="185">
        <v>0</v>
      </c>
      <c r="AC29" s="197">
        <f t="shared" si="8"/>
        <v>0.1898492799999999</v>
      </c>
    </row>
    <row r="30" spans="1:32" s="190" customFormat="1" ht="47.25" x14ac:dyDescent="0.25">
      <c r="A30" s="183" t="s">
        <v>60</v>
      </c>
      <c r="B30" s="184" t="s">
        <v>167</v>
      </c>
      <c r="C30" s="185">
        <v>0.55000000000000004</v>
      </c>
      <c r="D30" s="185">
        <v>0.94925472</v>
      </c>
      <c r="E30" s="185">
        <f t="shared" si="4"/>
        <v>0.55000000000000004</v>
      </c>
      <c r="F30" s="188">
        <v>0</v>
      </c>
      <c r="G30" s="185">
        <v>0</v>
      </c>
      <c r="H30" s="185" t="s">
        <v>556</v>
      </c>
      <c r="I30" s="185">
        <v>0</v>
      </c>
      <c r="J30" s="185">
        <v>0</v>
      </c>
      <c r="K30" s="185">
        <v>0</v>
      </c>
      <c r="L30" s="185" t="s">
        <v>556</v>
      </c>
      <c r="M30" s="185">
        <v>0</v>
      </c>
      <c r="N30" s="185">
        <v>0</v>
      </c>
      <c r="O30" s="185">
        <v>0</v>
      </c>
      <c r="P30" s="185">
        <v>0.55000000000000004</v>
      </c>
      <c r="Q30" s="185">
        <v>0</v>
      </c>
      <c r="R30" s="185">
        <f t="shared" si="7"/>
        <v>0.94925472</v>
      </c>
      <c r="S30" s="185">
        <v>0</v>
      </c>
      <c r="T30" s="188">
        <v>0</v>
      </c>
      <c r="U30" s="185">
        <v>0</v>
      </c>
      <c r="V30" s="185">
        <v>0</v>
      </c>
      <c r="W30" s="185">
        <v>0</v>
      </c>
      <c r="X30" s="185">
        <v>0</v>
      </c>
      <c r="Y30" s="185">
        <v>0</v>
      </c>
      <c r="Z30" s="185">
        <v>0</v>
      </c>
      <c r="AA30" s="185">
        <v>0</v>
      </c>
      <c r="AB30" s="185">
        <v>0.55000000000000004</v>
      </c>
      <c r="AC30" s="197">
        <f t="shared" si="8"/>
        <v>0.94925472</v>
      </c>
    </row>
    <row r="31" spans="1:32" x14ac:dyDescent="0.25">
      <c r="A31" s="183" t="s">
        <v>166</v>
      </c>
      <c r="B31" s="187" t="s">
        <v>165</v>
      </c>
      <c r="C31" s="185">
        <v>0.01</v>
      </c>
      <c r="D31" s="188">
        <v>0</v>
      </c>
      <c r="E31" s="185">
        <f t="shared" si="4"/>
        <v>0.01</v>
      </c>
      <c r="F31" s="188">
        <v>0</v>
      </c>
      <c r="G31" s="185">
        <v>0</v>
      </c>
      <c r="H31" s="185" t="s">
        <v>556</v>
      </c>
      <c r="I31" s="188">
        <v>0</v>
      </c>
      <c r="J31" s="188" t="str">
        <f t="shared" si="5"/>
        <v>нд</v>
      </c>
      <c r="K31" s="188">
        <v>0</v>
      </c>
      <c r="L31" s="185" t="s">
        <v>556</v>
      </c>
      <c r="M31" s="188">
        <v>0</v>
      </c>
      <c r="N31" s="188" t="str">
        <f t="shared" si="6"/>
        <v>нд</v>
      </c>
      <c r="O31" s="188">
        <v>0</v>
      </c>
      <c r="P31" s="185">
        <v>0.01</v>
      </c>
      <c r="Q31" s="188">
        <v>0</v>
      </c>
      <c r="R31" s="185">
        <f t="shared" si="7"/>
        <v>0</v>
      </c>
      <c r="S31" s="188">
        <v>0</v>
      </c>
      <c r="T31" s="188">
        <v>0</v>
      </c>
      <c r="U31" s="188">
        <v>0</v>
      </c>
      <c r="V31" s="188">
        <v>0</v>
      </c>
      <c r="W31" s="188">
        <v>0</v>
      </c>
      <c r="X31" s="185">
        <v>0</v>
      </c>
      <c r="Y31" s="188">
        <v>0</v>
      </c>
      <c r="Z31" s="185">
        <v>0</v>
      </c>
      <c r="AA31" s="188">
        <v>0</v>
      </c>
      <c r="AB31" s="185">
        <v>0.01</v>
      </c>
      <c r="AC31" s="197">
        <f t="shared" si="8"/>
        <v>0</v>
      </c>
    </row>
    <row r="32" spans="1:32" ht="31.5" x14ac:dyDescent="0.25">
      <c r="A32" s="183" t="s">
        <v>164</v>
      </c>
      <c r="B32" s="187" t="s">
        <v>163</v>
      </c>
      <c r="C32" s="185">
        <v>0.2</v>
      </c>
      <c r="D32" s="188">
        <v>0.29119054999999999</v>
      </c>
      <c r="E32" s="185">
        <f t="shared" si="4"/>
        <v>0.2</v>
      </c>
      <c r="F32" s="188">
        <v>0</v>
      </c>
      <c r="G32" s="185">
        <v>0</v>
      </c>
      <c r="H32" s="185" t="s">
        <v>556</v>
      </c>
      <c r="I32" s="188">
        <v>0</v>
      </c>
      <c r="J32" s="188" t="str">
        <f t="shared" si="5"/>
        <v>нд</v>
      </c>
      <c r="K32" s="188">
        <v>0</v>
      </c>
      <c r="L32" s="185" t="s">
        <v>556</v>
      </c>
      <c r="M32" s="188">
        <v>0</v>
      </c>
      <c r="N32" s="188">
        <v>0</v>
      </c>
      <c r="O32" s="188">
        <v>0</v>
      </c>
      <c r="P32" s="185">
        <v>0.2</v>
      </c>
      <c r="Q32" s="188">
        <v>0</v>
      </c>
      <c r="R32" s="185">
        <f t="shared" si="7"/>
        <v>0.29119054999999999</v>
      </c>
      <c r="S32" s="188">
        <v>0</v>
      </c>
      <c r="T32" s="188">
        <v>0</v>
      </c>
      <c r="U32" s="188">
        <v>0</v>
      </c>
      <c r="V32" s="188">
        <v>0</v>
      </c>
      <c r="W32" s="188">
        <v>0</v>
      </c>
      <c r="X32" s="185">
        <v>0</v>
      </c>
      <c r="Y32" s="188">
        <v>0</v>
      </c>
      <c r="Z32" s="185">
        <v>0</v>
      </c>
      <c r="AA32" s="188">
        <v>0</v>
      </c>
      <c r="AB32" s="185">
        <v>0.2</v>
      </c>
      <c r="AC32" s="197">
        <f t="shared" si="8"/>
        <v>0.29119054999999999</v>
      </c>
    </row>
    <row r="33" spans="1:29" ht="25.5" customHeight="1" x14ac:dyDescent="0.25">
      <c r="A33" s="183" t="s">
        <v>162</v>
      </c>
      <c r="B33" s="187" t="s">
        <v>161</v>
      </c>
      <c r="C33" s="185">
        <v>0.3</v>
      </c>
      <c r="D33" s="188">
        <v>0.65806416999999995</v>
      </c>
      <c r="E33" s="185">
        <f t="shared" si="4"/>
        <v>0.3</v>
      </c>
      <c r="F33" s="188">
        <v>0</v>
      </c>
      <c r="G33" s="185">
        <v>0</v>
      </c>
      <c r="H33" s="185" t="s">
        <v>556</v>
      </c>
      <c r="I33" s="188">
        <v>0</v>
      </c>
      <c r="J33" s="188" t="str">
        <f t="shared" si="5"/>
        <v>нд</v>
      </c>
      <c r="K33" s="188">
        <v>0</v>
      </c>
      <c r="L33" s="185" t="s">
        <v>556</v>
      </c>
      <c r="M33" s="188">
        <v>0</v>
      </c>
      <c r="N33" s="188" t="str">
        <f t="shared" si="6"/>
        <v>нд</v>
      </c>
      <c r="O33" s="188">
        <v>0</v>
      </c>
      <c r="P33" s="185">
        <v>0.3</v>
      </c>
      <c r="Q33" s="188">
        <v>0</v>
      </c>
      <c r="R33" s="185">
        <f t="shared" si="7"/>
        <v>0.65806416999999995</v>
      </c>
      <c r="S33" s="188">
        <v>0</v>
      </c>
      <c r="T33" s="188">
        <v>0</v>
      </c>
      <c r="U33" s="188">
        <v>0</v>
      </c>
      <c r="V33" s="188">
        <v>0</v>
      </c>
      <c r="W33" s="188">
        <v>0</v>
      </c>
      <c r="X33" s="185">
        <v>0</v>
      </c>
      <c r="Y33" s="188">
        <v>0</v>
      </c>
      <c r="Z33" s="185">
        <v>0</v>
      </c>
      <c r="AA33" s="188">
        <v>0</v>
      </c>
      <c r="AB33" s="185">
        <v>0.3</v>
      </c>
      <c r="AC33" s="197">
        <f t="shared" si="8"/>
        <v>0.65806416999999995</v>
      </c>
    </row>
    <row r="34" spans="1:29" ht="23.25" customHeight="1" x14ac:dyDescent="0.25">
      <c r="A34" s="183" t="s">
        <v>160</v>
      </c>
      <c r="B34" s="187" t="s">
        <v>159</v>
      </c>
      <c r="C34" s="185">
        <v>0.04</v>
      </c>
      <c r="D34" s="188">
        <v>0</v>
      </c>
      <c r="E34" s="185">
        <f t="shared" si="4"/>
        <v>0.04</v>
      </c>
      <c r="F34" s="188">
        <v>0</v>
      </c>
      <c r="G34" s="185">
        <v>0</v>
      </c>
      <c r="H34" s="185" t="s">
        <v>556</v>
      </c>
      <c r="I34" s="188">
        <v>0</v>
      </c>
      <c r="J34" s="188" t="str">
        <f t="shared" si="5"/>
        <v>нд</v>
      </c>
      <c r="K34" s="188">
        <v>0</v>
      </c>
      <c r="L34" s="185" t="s">
        <v>556</v>
      </c>
      <c r="M34" s="188">
        <v>0</v>
      </c>
      <c r="N34" s="188">
        <v>0</v>
      </c>
      <c r="O34" s="188">
        <v>0</v>
      </c>
      <c r="P34" s="185">
        <v>0.04</v>
      </c>
      <c r="Q34" s="188">
        <v>0</v>
      </c>
      <c r="R34" s="185">
        <f t="shared" si="7"/>
        <v>0</v>
      </c>
      <c r="S34" s="188">
        <v>0</v>
      </c>
      <c r="T34" s="188">
        <v>0</v>
      </c>
      <c r="U34" s="188">
        <v>0</v>
      </c>
      <c r="V34" s="188">
        <v>0</v>
      </c>
      <c r="W34" s="188">
        <v>0</v>
      </c>
      <c r="X34" s="185">
        <v>0</v>
      </c>
      <c r="Y34" s="188">
        <v>0</v>
      </c>
      <c r="Z34" s="185">
        <v>0</v>
      </c>
      <c r="AA34" s="188">
        <v>0</v>
      </c>
      <c r="AB34" s="185">
        <v>0.04</v>
      </c>
      <c r="AC34" s="197">
        <f t="shared" si="8"/>
        <v>0</v>
      </c>
    </row>
    <row r="35" spans="1:29" s="190" customFormat="1" ht="31.5" x14ac:dyDescent="0.25">
      <c r="A35" s="183" t="s">
        <v>59</v>
      </c>
      <c r="B35" s="184" t="s">
        <v>158</v>
      </c>
      <c r="C35" s="185">
        <v>0</v>
      </c>
      <c r="D35" s="185">
        <v>0</v>
      </c>
      <c r="E35" s="185">
        <f t="shared" si="4"/>
        <v>0</v>
      </c>
      <c r="F35" s="188">
        <v>0</v>
      </c>
      <c r="G35" s="185">
        <v>0</v>
      </c>
      <c r="H35" s="185" t="s">
        <v>556</v>
      </c>
      <c r="I35" s="185">
        <v>0</v>
      </c>
      <c r="J35" s="185" t="str">
        <f t="shared" si="5"/>
        <v>нд</v>
      </c>
      <c r="K35" s="185">
        <v>0</v>
      </c>
      <c r="L35" s="185" t="s">
        <v>556</v>
      </c>
      <c r="M35" s="185">
        <v>0</v>
      </c>
      <c r="N35" s="185" t="str">
        <f t="shared" si="6"/>
        <v>нд</v>
      </c>
      <c r="O35" s="185">
        <v>0</v>
      </c>
      <c r="P35" s="185">
        <v>0</v>
      </c>
      <c r="Q35" s="185">
        <v>0</v>
      </c>
      <c r="R35" s="185">
        <f t="shared" si="7"/>
        <v>0</v>
      </c>
      <c r="S35" s="185">
        <v>0</v>
      </c>
      <c r="T35" s="188">
        <v>0</v>
      </c>
      <c r="U35" s="185">
        <v>0</v>
      </c>
      <c r="V35" s="185">
        <v>0</v>
      </c>
      <c r="W35" s="185">
        <v>0</v>
      </c>
      <c r="X35" s="185">
        <v>0</v>
      </c>
      <c r="Y35" s="185">
        <v>0</v>
      </c>
      <c r="Z35" s="185">
        <v>0</v>
      </c>
      <c r="AA35" s="185">
        <v>0</v>
      </c>
      <c r="AB35" s="185">
        <v>0</v>
      </c>
      <c r="AC35" s="197">
        <f t="shared" si="8"/>
        <v>0</v>
      </c>
    </row>
    <row r="36" spans="1:29" ht="31.5" x14ac:dyDescent="0.25">
      <c r="A36" s="186" t="s">
        <v>157</v>
      </c>
      <c r="B36" s="191" t="s">
        <v>156</v>
      </c>
      <c r="C36" s="185">
        <v>0</v>
      </c>
      <c r="D36" s="188">
        <v>0</v>
      </c>
      <c r="E36" s="185">
        <f t="shared" si="4"/>
        <v>0</v>
      </c>
      <c r="F36" s="188">
        <v>0</v>
      </c>
      <c r="G36" s="185">
        <v>0</v>
      </c>
      <c r="H36" s="185" t="s">
        <v>556</v>
      </c>
      <c r="I36" s="188">
        <v>0</v>
      </c>
      <c r="J36" s="192" t="str">
        <f t="shared" si="5"/>
        <v>нд</v>
      </c>
      <c r="K36" s="188">
        <v>0</v>
      </c>
      <c r="L36" s="185" t="s">
        <v>556</v>
      </c>
      <c r="M36" s="188">
        <v>0</v>
      </c>
      <c r="N36" s="192" t="str">
        <f t="shared" si="6"/>
        <v>нд</v>
      </c>
      <c r="O36" s="188">
        <v>0</v>
      </c>
      <c r="P36" s="185">
        <v>0</v>
      </c>
      <c r="Q36" s="188">
        <v>0</v>
      </c>
      <c r="R36" s="185">
        <f t="shared" si="7"/>
        <v>0</v>
      </c>
      <c r="S36" s="188">
        <v>0</v>
      </c>
      <c r="T36" s="188">
        <v>0</v>
      </c>
      <c r="U36" s="188">
        <v>0</v>
      </c>
      <c r="V36" s="188">
        <v>0</v>
      </c>
      <c r="W36" s="188">
        <v>0</v>
      </c>
      <c r="X36" s="185">
        <v>0</v>
      </c>
      <c r="Y36" s="188">
        <v>0</v>
      </c>
      <c r="Z36" s="185">
        <v>0</v>
      </c>
      <c r="AA36" s="188">
        <v>0</v>
      </c>
      <c r="AB36" s="185">
        <v>0</v>
      </c>
      <c r="AC36" s="197">
        <f t="shared" si="8"/>
        <v>0</v>
      </c>
    </row>
    <row r="37" spans="1:29" x14ac:dyDescent="0.25">
      <c r="A37" s="186" t="s">
        <v>155</v>
      </c>
      <c r="B37" s="191" t="s">
        <v>145</v>
      </c>
      <c r="C37" s="185">
        <v>0.63</v>
      </c>
      <c r="D37" s="188">
        <v>0.63</v>
      </c>
      <c r="E37" s="185">
        <f t="shared" si="4"/>
        <v>0.63</v>
      </c>
      <c r="F37" s="188">
        <v>0</v>
      </c>
      <c r="G37" s="185">
        <v>0</v>
      </c>
      <c r="H37" s="185" t="s">
        <v>556</v>
      </c>
      <c r="I37" s="188">
        <v>0</v>
      </c>
      <c r="J37" s="192" t="str">
        <f t="shared" si="5"/>
        <v>нд</v>
      </c>
      <c r="K37" s="188">
        <v>0</v>
      </c>
      <c r="L37" s="185" t="s">
        <v>556</v>
      </c>
      <c r="M37" s="188">
        <v>0</v>
      </c>
      <c r="N37" s="192" t="str">
        <f t="shared" si="6"/>
        <v>нд</v>
      </c>
      <c r="O37" s="188">
        <v>0</v>
      </c>
      <c r="P37" s="185">
        <v>0.63</v>
      </c>
      <c r="Q37" s="188">
        <v>0</v>
      </c>
      <c r="R37" s="185">
        <f t="shared" si="7"/>
        <v>0.63</v>
      </c>
      <c r="S37" s="188">
        <v>0</v>
      </c>
      <c r="T37" s="188">
        <v>0</v>
      </c>
      <c r="U37" s="188">
        <v>0</v>
      </c>
      <c r="V37" s="188">
        <v>0</v>
      </c>
      <c r="W37" s="188">
        <v>0</v>
      </c>
      <c r="X37" s="185">
        <v>0</v>
      </c>
      <c r="Y37" s="188">
        <v>0</v>
      </c>
      <c r="Z37" s="185">
        <v>0</v>
      </c>
      <c r="AA37" s="188">
        <v>0</v>
      </c>
      <c r="AB37" s="185">
        <v>0.63</v>
      </c>
      <c r="AC37" s="197">
        <f t="shared" si="8"/>
        <v>0.63</v>
      </c>
    </row>
    <row r="38" spans="1:29" x14ac:dyDescent="0.25">
      <c r="A38" s="186" t="s">
        <v>154</v>
      </c>
      <c r="B38" s="191" t="s">
        <v>143</v>
      </c>
      <c r="C38" s="185">
        <v>0</v>
      </c>
      <c r="D38" s="188">
        <v>0</v>
      </c>
      <c r="E38" s="185">
        <f t="shared" si="4"/>
        <v>0</v>
      </c>
      <c r="F38" s="188">
        <v>0</v>
      </c>
      <c r="G38" s="185">
        <v>0</v>
      </c>
      <c r="H38" s="185" t="s">
        <v>556</v>
      </c>
      <c r="I38" s="188">
        <v>0</v>
      </c>
      <c r="J38" s="192" t="str">
        <f t="shared" si="5"/>
        <v>нд</v>
      </c>
      <c r="K38" s="188">
        <v>0</v>
      </c>
      <c r="L38" s="185" t="s">
        <v>556</v>
      </c>
      <c r="M38" s="188">
        <v>0</v>
      </c>
      <c r="N38" s="192" t="str">
        <f t="shared" si="6"/>
        <v>нд</v>
      </c>
      <c r="O38" s="188">
        <v>0</v>
      </c>
      <c r="P38" s="185">
        <v>0</v>
      </c>
      <c r="Q38" s="188">
        <v>0</v>
      </c>
      <c r="R38" s="185">
        <f t="shared" si="7"/>
        <v>0</v>
      </c>
      <c r="S38" s="188">
        <v>0</v>
      </c>
      <c r="T38" s="188">
        <v>0</v>
      </c>
      <c r="U38" s="188">
        <v>0</v>
      </c>
      <c r="V38" s="188">
        <v>0</v>
      </c>
      <c r="W38" s="188">
        <v>0</v>
      </c>
      <c r="X38" s="185">
        <v>0</v>
      </c>
      <c r="Y38" s="188">
        <v>0</v>
      </c>
      <c r="Z38" s="185">
        <v>0</v>
      </c>
      <c r="AA38" s="188">
        <v>0</v>
      </c>
      <c r="AB38" s="185">
        <v>0</v>
      </c>
      <c r="AC38" s="197">
        <f t="shared" si="8"/>
        <v>0</v>
      </c>
    </row>
    <row r="39" spans="1:29" ht="31.5" x14ac:dyDescent="0.25">
      <c r="A39" s="186" t="s">
        <v>153</v>
      </c>
      <c r="B39" s="187" t="s">
        <v>141</v>
      </c>
      <c r="C39" s="185">
        <v>0</v>
      </c>
      <c r="D39" s="188">
        <v>0</v>
      </c>
      <c r="E39" s="185">
        <f t="shared" si="4"/>
        <v>0</v>
      </c>
      <c r="F39" s="188">
        <v>0</v>
      </c>
      <c r="G39" s="185">
        <v>0</v>
      </c>
      <c r="H39" s="185" t="s">
        <v>556</v>
      </c>
      <c r="I39" s="188">
        <v>0</v>
      </c>
      <c r="J39" s="188" t="str">
        <f t="shared" si="5"/>
        <v>нд</v>
      </c>
      <c r="K39" s="188">
        <v>0</v>
      </c>
      <c r="L39" s="185" t="s">
        <v>556</v>
      </c>
      <c r="M39" s="188">
        <v>0</v>
      </c>
      <c r="N39" s="188" t="str">
        <f t="shared" si="6"/>
        <v>нд</v>
      </c>
      <c r="O39" s="188">
        <v>0</v>
      </c>
      <c r="P39" s="185">
        <v>0</v>
      </c>
      <c r="Q39" s="188">
        <v>0</v>
      </c>
      <c r="R39" s="185">
        <f t="shared" si="7"/>
        <v>0</v>
      </c>
      <c r="S39" s="188">
        <v>0</v>
      </c>
      <c r="T39" s="188">
        <v>0</v>
      </c>
      <c r="U39" s="188">
        <v>0</v>
      </c>
      <c r="V39" s="188">
        <v>0</v>
      </c>
      <c r="W39" s="188">
        <v>0</v>
      </c>
      <c r="X39" s="185">
        <v>0</v>
      </c>
      <c r="Y39" s="188">
        <v>0</v>
      </c>
      <c r="Z39" s="185">
        <v>0</v>
      </c>
      <c r="AA39" s="188">
        <v>0</v>
      </c>
      <c r="AB39" s="185">
        <v>0</v>
      </c>
      <c r="AC39" s="197">
        <f t="shared" si="8"/>
        <v>0</v>
      </c>
    </row>
    <row r="40" spans="1:29" ht="31.5" x14ac:dyDescent="0.25">
      <c r="A40" s="186" t="s">
        <v>152</v>
      </c>
      <c r="B40" s="187" t="s">
        <v>139</v>
      </c>
      <c r="C40" s="185">
        <v>0</v>
      </c>
      <c r="D40" s="188">
        <v>0</v>
      </c>
      <c r="E40" s="185">
        <f t="shared" si="4"/>
        <v>0</v>
      </c>
      <c r="F40" s="188">
        <v>0</v>
      </c>
      <c r="G40" s="185">
        <v>0</v>
      </c>
      <c r="H40" s="185" t="s">
        <v>556</v>
      </c>
      <c r="I40" s="188">
        <v>0</v>
      </c>
      <c r="J40" s="188" t="str">
        <f t="shared" si="5"/>
        <v>нд</v>
      </c>
      <c r="K40" s="188">
        <v>0</v>
      </c>
      <c r="L40" s="185" t="s">
        <v>556</v>
      </c>
      <c r="M40" s="188">
        <v>0</v>
      </c>
      <c r="N40" s="188" t="str">
        <f t="shared" si="6"/>
        <v>нд</v>
      </c>
      <c r="O40" s="188">
        <v>0</v>
      </c>
      <c r="P40" s="185">
        <v>0</v>
      </c>
      <c r="Q40" s="188">
        <v>0</v>
      </c>
      <c r="R40" s="185">
        <f t="shared" si="7"/>
        <v>0</v>
      </c>
      <c r="S40" s="188">
        <v>0</v>
      </c>
      <c r="T40" s="188">
        <v>0</v>
      </c>
      <c r="U40" s="188">
        <v>0</v>
      </c>
      <c r="V40" s="188">
        <v>0</v>
      </c>
      <c r="W40" s="188">
        <v>0</v>
      </c>
      <c r="X40" s="185">
        <v>0</v>
      </c>
      <c r="Y40" s="188">
        <v>0</v>
      </c>
      <c r="Z40" s="185">
        <v>0</v>
      </c>
      <c r="AA40" s="188">
        <v>0</v>
      </c>
      <c r="AB40" s="185">
        <v>0</v>
      </c>
      <c r="AC40" s="197">
        <f t="shared" si="8"/>
        <v>0</v>
      </c>
    </row>
    <row r="41" spans="1:29" x14ac:dyDescent="0.25">
      <c r="A41" s="186" t="s">
        <v>151</v>
      </c>
      <c r="B41" s="187" t="s">
        <v>137</v>
      </c>
      <c r="C41" s="185">
        <v>0</v>
      </c>
      <c r="D41" s="188">
        <v>0</v>
      </c>
      <c r="E41" s="185">
        <f t="shared" si="4"/>
        <v>0</v>
      </c>
      <c r="F41" s="188">
        <v>0</v>
      </c>
      <c r="G41" s="185">
        <v>0</v>
      </c>
      <c r="H41" s="185" t="s">
        <v>556</v>
      </c>
      <c r="I41" s="188">
        <v>0</v>
      </c>
      <c r="J41" s="188" t="str">
        <f t="shared" si="5"/>
        <v>нд</v>
      </c>
      <c r="K41" s="188">
        <v>0</v>
      </c>
      <c r="L41" s="185" t="s">
        <v>556</v>
      </c>
      <c r="M41" s="188">
        <v>0</v>
      </c>
      <c r="N41" s="188">
        <v>0</v>
      </c>
      <c r="O41" s="188">
        <v>0</v>
      </c>
      <c r="P41" s="185">
        <v>0</v>
      </c>
      <c r="Q41" s="188">
        <v>0</v>
      </c>
      <c r="R41" s="185">
        <f t="shared" si="7"/>
        <v>0</v>
      </c>
      <c r="S41" s="188">
        <v>0</v>
      </c>
      <c r="T41" s="188">
        <v>0</v>
      </c>
      <c r="U41" s="188">
        <v>0</v>
      </c>
      <c r="V41" s="188">
        <v>0</v>
      </c>
      <c r="W41" s="188">
        <v>0</v>
      </c>
      <c r="X41" s="185">
        <v>0</v>
      </c>
      <c r="Y41" s="188">
        <v>0</v>
      </c>
      <c r="Z41" s="185">
        <v>0</v>
      </c>
      <c r="AA41" s="188">
        <v>0</v>
      </c>
      <c r="AB41" s="185">
        <v>0</v>
      </c>
      <c r="AC41" s="197">
        <f t="shared" si="8"/>
        <v>0</v>
      </c>
    </row>
    <row r="42" spans="1:29" ht="18.75" x14ac:dyDescent="0.25">
      <c r="A42" s="186" t="s">
        <v>150</v>
      </c>
      <c r="B42" s="191" t="s">
        <v>565</v>
      </c>
      <c r="C42" s="185">
        <v>0</v>
      </c>
      <c r="D42" s="188">
        <v>0</v>
      </c>
      <c r="E42" s="185">
        <f t="shared" si="4"/>
        <v>0</v>
      </c>
      <c r="F42" s="188">
        <v>0</v>
      </c>
      <c r="G42" s="185">
        <v>0</v>
      </c>
      <c r="H42" s="185" t="s">
        <v>556</v>
      </c>
      <c r="I42" s="188">
        <v>0</v>
      </c>
      <c r="J42" s="192" t="str">
        <f t="shared" si="5"/>
        <v>нд</v>
      </c>
      <c r="K42" s="188">
        <v>0</v>
      </c>
      <c r="L42" s="185" t="s">
        <v>556</v>
      </c>
      <c r="M42" s="188">
        <v>0</v>
      </c>
      <c r="N42" s="192" t="str">
        <f t="shared" si="6"/>
        <v>нд</v>
      </c>
      <c r="O42" s="188">
        <v>0</v>
      </c>
      <c r="P42" s="185">
        <v>0</v>
      </c>
      <c r="Q42" s="188">
        <v>0</v>
      </c>
      <c r="R42" s="185">
        <f t="shared" si="7"/>
        <v>0</v>
      </c>
      <c r="S42" s="188">
        <v>0</v>
      </c>
      <c r="T42" s="188">
        <v>0</v>
      </c>
      <c r="U42" s="188">
        <v>0</v>
      </c>
      <c r="V42" s="188">
        <v>0</v>
      </c>
      <c r="W42" s="188">
        <v>0</v>
      </c>
      <c r="X42" s="185">
        <v>0</v>
      </c>
      <c r="Y42" s="188">
        <v>0</v>
      </c>
      <c r="Z42" s="185">
        <v>0</v>
      </c>
      <c r="AA42" s="188">
        <v>0</v>
      </c>
      <c r="AB42" s="185">
        <v>0</v>
      </c>
      <c r="AC42" s="197">
        <f t="shared" si="8"/>
        <v>0</v>
      </c>
    </row>
    <row r="43" spans="1:29" s="190" customFormat="1" x14ac:dyDescent="0.25">
      <c r="A43" s="183" t="s">
        <v>58</v>
      </c>
      <c r="B43" s="184" t="s">
        <v>149</v>
      </c>
      <c r="C43" s="185">
        <v>0</v>
      </c>
      <c r="D43" s="188">
        <v>0</v>
      </c>
      <c r="E43" s="185">
        <f t="shared" si="4"/>
        <v>0</v>
      </c>
      <c r="F43" s="188">
        <v>0</v>
      </c>
      <c r="G43" s="185">
        <v>0</v>
      </c>
      <c r="H43" s="185" t="s">
        <v>556</v>
      </c>
      <c r="I43" s="185">
        <v>0</v>
      </c>
      <c r="J43" s="185" t="str">
        <f t="shared" si="5"/>
        <v>нд</v>
      </c>
      <c r="K43" s="185">
        <v>0</v>
      </c>
      <c r="L43" s="185" t="s">
        <v>556</v>
      </c>
      <c r="M43" s="185">
        <v>0</v>
      </c>
      <c r="N43" s="185" t="str">
        <f t="shared" si="6"/>
        <v>нд</v>
      </c>
      <c r="O43" s="185">
        <v>0</v>
      </c>
      <c r="P43" s="185">
        <v>0</v>
      </c>
      <c r="Q43" s="185">
        <v>0</v>
      </c>
      <c r="R43" s="185">
        <f t="shared" si="7"/>
        <v>0</v>
      </c>
      <c r="S43" s="185">
        <v>0</v>
      </c>
      <c r="T43" s="188">
        <v>0</v>
      </c>
      <c r="U43" s="185">
        <v>0</v>
      </c>
      <c r="V43" s="185">
        <v>0</v>
      </c>
      <c r="W43" s="185">
        <v>0</v>
      </c>
      <c r="X43" s="185">
        <v>0</v>
      </c>
      <c r="Y43" s="185">
        <v>0</v>
      </c>
      <c r="Z43" s="185">
        <v>0</v>
      </c>
      <c r="AA43" s="185">
        <v>0</v>
      </c>
      <c r="AB43" s="185">
        <v>0</v>
      </c>
      <c r="AC43" s="197">
        <f t="shared" si="8"/>
        <v>0</v>
      </c>
    </row>
    <row r="44" spans="1:29" x14ac:dyDescent="0.25">
      <c r="A44" s="186" t="s">
        <v>148</v>
      </c>
      <c r="B44" s="187" t="s">
        <v>147</v>
      </c>
      <c r="C44" s="185">
        <v>0</v>
      </c>
      <c r="D44" s="188">
        <v>0</v>
      </c>
      <c r="E44" s="185">
        <f t="shared" si="4"/>
        <v>0</v>
      </c>
      <c r="F44" s="188">
        <v>0</v>
      </c>
      <c r="G44" s="185">
        <v>0</v>
      </c>
      <c r="H44" s="185" t="s">
        <v>556</v>
      </c>
      <c r="I44" s="188">
        <v>0</v>
      </c>
      <c r="J44" s="188" t="str">
        <f t="shared" si="5"/>
        <v>нд</v>
      </c>
      <c r="K44" s="188">
        <v>0</v>
      </c>
      <c r="L44" s="185" t="s">
        <v>556</v>
      </c>
      <c r="M44" s="188">
        <v>0</v>
      </c>
      <c r="N44" s="188" t="str">
        <f t="shared" si="6"/>
        <v>нд</v>
      </c>
      <c r="O44" s="188">
        <v>0</v>
      </c>
      <c r="P44" s="185">
        <v>0</v>
      </c>
      <c r="Q44" s="188">
        <v>0</v>
      </c>
      <c r="R44" s="185">
        <f t="shared" si="7"/>
        <v>0</v>
      </c>
      <c r="S44" s="188">
        <v>0</v>
      </c>
      <c r="T44" s="188">
        <v>0</v>
      </c>
      <c r="U44" s="188">
        <v>0</v>
      </c>
      <c r="V44" s="188">
        <v>0</v>
      </c>
      <c r="W44" s="188">
        <v>0</v>
      </c>
      <c r="X44" s="185">
        <v>0</v>
      </c>
      <c r="Y44" s="188">
        <v>0</v>
      </c>
      <c r="Z44" s="185">
        <v>0</v>
      </c>
      <c r="AA44" s="188">
        <v>0</v>
      </c>
      <c r="AB44" s="185">
        <v>0</v>
      </c>
      <c r="AC44" s="197">
        <f t="shared" si="8"/>
        <v>0</v>
      </c>
    </row>
    <row r="45" spans="1:29" x14ac:dyDescent="0.25">
      <c r="A45" s="186" t="s">
        <v>146</v>
      </c>
      <c r="B45" s="187" t="s">
        <v>145</v>
      </c>
      <c r="C45" s="185">
        <v>0.63</v>
      </c>
      <c r="D45" s="188">
        <f>0.63*2</f>
        <v>1.26</v>
      </c>
      <c r="E45" s="185">
        <f t="shared" si="4"/>
        <v>0.63</v>
      </c>
      <c r="F45" s="188">
        <v>0</v>
      </c>
      <c r="G45" s="185">
        <v>0</v>
      </c>
      <c r="H45" s="185" t="s">
        <v>556</v>
      </c>
      <c r="I45" s="188">
        <v>0</v>
      </c>
      <c r="J45" s="188" t="str">
        <f t="shared" si="5"/>
        <v>нд</v>
      </c>
      <c r="K45" s="188">
        <v>0</v>
      </c>
      <c r="L45" s="185" t="s">
        <v>556</v>
      </c>
      <c r="M45" s="188">
        <v>0</v>
      </c>
      <c r="N45" s="188" t="str">
        <f t="shared" si="6"/>
        <v>нд</v>
      </c>
      <c r="O45" s="188">
        <v>0</v>
      </c>
      <c r="P45" s="185">
        <v>0.63</v>
      </c>
      <c r="Q45" s="188">
        <v>0</v>
      </c>
      <c r="R45" s="185">
        <f t="shared" si="7"/>
        <v>1.26</v>
      </c>
      <c r="S45" s="188">
        <v>0</v>
      </c>
      <c r="T45" s="188">
        <v>0</v>
      </c>
      <c r="U45" s="188">
        <v>0</v>
      </c>
      <c r="V45" s="188">
        <v>0</v>
      </c>
      <c r="W45" s="188">
        <v>0</v>
      </c>
      <c r="X45" s="185">
        <v>0</v>
      </c>
      <c r="Y45" s="188">
        <v>0</v>
      </c>
      <c r="Z45" s="185">
        <v>0</v>
      </c>
      <c r="AA45" s="188">
        <v>0</v>
      </c>
      <c r="AB45" s="185">
        <v>0.63</v>
      </c>
      <c r="AC45" s="197">
        <f t="shared" si="8"/>
        <v>1.26</v>
      </c>
    </row>
    <row r="46" spans="1:29" x14ac:dyDescent="0.25">
      <c r="A46" s="186" t="s">
        <v>144</v>
      </c>
      <c r="B46" s="187" t="s">
        <v>143</v>
      </c>
      <c r="C46" s="185">
        <v>0</v>
      </c>
      <c r="D46" s="188">
        <v>0</v>
      </c>
      <c r="E46" s="185">
        <f t="shared" si="4"/>
        <v>0</v>
      </c>
      <c r="F46" s="188">
        <v>0</v>
      </c>
      <c r="G46" s="185">
        <v>0</v>
      </c>
      <c r="H46" s="185" t="s">
        <v>556</v>
      </c>
      <c r="I46" s="188">
        <v>0</v>
      </c>
      <c r="J46" s="188" t="str">
        <f t="shared" si="5"/>
        <v>нд</v>
      </c>
      <c r="K46" s="188">
        <v>0</v>
      </c>
      <c r="L46" s="185" t="s">
        <v>556</v>
      </c>
      <c r="M46" s="188">
        <v>0</v>
      </c>
      <c r="N46" s="188" t="str">
        <f t="shared" si="6"/>
        <v>нд</v>
      </c>
      <c r="O46" s="188">
        <v>0</v>
      </c>
      <c r="P46" s="185">
        <v>0</v>
      </c>
      <c r="Q46" s="188">
        <v>0</v>
      </c>
      <c r="R46" s="185">
        <f t="shared" si="7"/>
        <v>0</v>
      </c>
      <c r="S46" s="188">
        <v>0</v>
      </c>
      <c r="T46" s="188">
        <v>0</v>
      </c>
      <c r="U46" s="188">
        <v>0</v>
      </c>
      <c r="V46" s="188">
        <v>0</v>
      </c>
      <c r="W46" s="188">
        <v>0</v>
      </c>
      <c r="X46" s="185">
        <v>0</v>
      </c>
      <c r="Y46" s="188">
        <v>0</v>
      </c>
      <c r="Z46" s="185">
        <v>0</v>
      </c>
      <c r="AA46" s="188">
        <v>0</v>
      </c>
      <c r="AB46" s="185">
        <v>0</v>
      </c>
      <c r="AC46" s="197">
        <f t="shared" si="8"/>
        <v>0</v>
      </c>
    </row>
    <row r="47" spans="1:29" ht="31.5" x14ac:dyDescent="0.25">
      <c r="A47" s="186" t="s">
        <v>142</v>
      </c>
      <c r="B47" s="187" t="s">
        <v>141</v>
      </c>
      <c r="C47" s="185">
        <v>0</v>
      </c>
      <c r="D47" s="188">
        <v>0</v>
      </c>
      <c r="E47" s="185">
        <f t="shared" si="4"/>
        <v>0</v>
      </c>
      <c r="F47" s="188">
        <v>0</v>
      </c>
      <c r="G47" s="185">
        <v>0</v>
      </c>
      <c r="H47" s="185" t="s">
        <v>556</v>
      </c>
      <c r="I47" s="188">
        <v>0</v>
      </c>
      <c r="J47" s="188" t="str">
        <f t="shared" si="5"/>
        <v>нд</v>
      </c>
      <c r="K47" s="188">
        <v>0</v>
      </c>
      <c r="L47" s="185" t="s">
        <v>556</v>
      </c>
      <c r="M47" s="188">
        <v>0</v>
      </c>
      <c r="N47" s="188" t="str">
        <f t="shared" si="6"/>
        <v>нд</v>
      </c>
      <c r="O47" s="188">
        <v>0</v>
      </c>
      <c r="P47" s="185">
        <v>0</v>
      </c>
      <c r="Q47" s="188">
        <v>0</v>
      </c>
      <c r="R47" s="185">
        <f t="shared" si="7"/>
        <v>0</v>
      </c>
      <c r="S47" s="188">
        <v>0</v>
      </c>
      <c r="T47" s="188">
        <v>0</v>
      </c>
      <c r="U47" s="188">
        <v>0</v>
      </c>
      <c r="V47" s="188">
        <v>0</v>
      </c>
      <c r="W47" s="188">
        <v>0</v>
      </c>
      <c r="X47" s="185">
        <v>0</v>
      </c>
      <c r="Y47" s="188">
        <v>0</v>
      </c>
      <c r="Z47" s="185">
        <v>0</v>
      </c>
      <c r="AA47" s="188">
        <v>0</v>
      </c>
      <c r="AB47" s="185">
        <v>0</v>
      </c>
      <c r="AC47" s="197">
        <f t="shared" si="8"/>
        <v>0</v>
      </c>
    </row>
    <row r="48" spans="1:29" ht="31.5" x14ac:dyDescent="0.25">
      <c r="A48" s="186" t="s">
        <v>140</v>
      </c>
      <c r="B48" s="187" t="s">
        <v>139</v>
      </c>
      <c r="C48" s="185">
        <v>0</v>
      </c>
      <c r="D48" s="188">
        <v>0</v>
      </c>
      <c r="E48" s="185">
        <f t="shared" si="4"/>
        <v>0</v>
      </c>
      <c r="F48" s="188">
        <v>0</v>
      </c>
      <c r="G48" s="185">
        <v>0</v>
      </c>
      <c r="H48" s="185" t="s">
        <v>556</v>
      </c>
      <c r="I48" s="188">
        <v>0</v>
      </c>
      <c r="J48" s="188" t="str">
        <f t="shared" si="5"/>
        <v>нд</v>
      </c>
      <c r="K48" s="188">
        <v>0</v>
      </c>
      <c r="L48" s="185" t="s">
        <v>556</v>
      </c>
      <c r="M48" s="188">
        <v>0</v>
      </c>
      <c r="N48" s="188" t="str">
        <f t="shared" si="6"/>
        <v>нд</v>
      </c>
      <c r="O48" s="188">
        <v>0</v>
      </c>
      <c r="P48" s="185">
        <v>0</v>
      </c>
      <c r="Q48" s="188">
        <v>0</v>
      </c>
      <c r="R48" s="185">
        <f t="shared" si="7"/>
        <v>0</v>
      </c>
      <c r="S48" s="188">
        <v>0</v>
      </c>
      <c r="T48" s="188">
        <v>0</v>
      </c>
      <c r="U48" s="188">
        <v>0</v>
      </c>
      <c r="V48" s="188">
        <v>0</v>
      </c>
      <c r="W48" s="188">
        <v>0</v>
      </c>
      <c r="X48" s="185">
        <v>0</v>
      </c>
      <c r="Y48" s="188">
        <v>0</v>
      </c>
      <c r="Z48" s="185">
        <v>0</v>
      </c>
      <c r="AA48" s="188">
        <v>0</v>
      </c>
      <c r="AB48" s="185">
        <v>0</v>
      </c>
      <c r="AC48" s="197">
        <f t="shared" si="8"/>
        <v>0</v>
      </c>
    </row>
    <row r="49" spans="1:29" x14ac:dyDescent="0.25">
      <c r="A49" s="186" t="s">
        <v>138</v>
      </c>
      <c r="B49" s="187" t="s">
        <v>137</v>
      </c>
      <c r="C49" s="185">
        <v>0</v>
      </c>
      <c r="D49" s="188">
        <v>0</v>
      </c>
      <c r="E49" s="185">
        <f t="shared" si="4"/>
        <v>0</v>
      </c>
      <c r="F49" s="188">
        <v>0</v>
      </c>
      <c r="G49" s="185">
        <v>0</v>
      </c>
      <c r="H49" s="185" t="s">
        <v>556</v>
      </c>
      <c r="I49" s="188">
        <v>0</v>
      </c>
      <c r="J49" s="188" t="str">
        <f t="shared" si="5"/>
        <v>нд</v>
      </c>
      <c r="K49" s="188">
        <v>0</v>
      </c>
      <c r="L49" s="185" t="s">
        <v>556</v>
      </c>
      <c r="M49" s="188">
        <v>0</v>
      </c>
      <c r="N49" s="188" t="str">
        <f t="shared" si="6"/>
        <v>нд</v>
      </c>
      <c r="O49" s="188">
        <v>0</v>
      </c>
      <c r="P49" s="185">
        <v>0</v>
      </c>
      <c r="Q49" s="188">
        <v>0</v>
      </c>
      <c r="R49" s="185">
        <f t="shared" si="7"/>
        <v>0</v>
      </c>
      <c r="S49" s="188">
        <v>0</v>
      </c>
      <c r="T49" s="188">
        <v>0</v>
      </c>
      <c r="U49" s="188">
        <v>0</v>
      </c>
      <c r="V49" s="188">
        <v>0</v>
      </c>
      <c r="W49" s="188">
        <v>0</v>
      </c>
      <c r="X49" s="185">
        <v>0</v>
      </c>
      <c r="Y49" s="188">
        <v>0</v>
      </c>
      <c r="Z49" s="185">
        <v>0</v>
      </c>
      <c r="AA49" s="188">
        <v>0</v>
      </c>
      <c r="AB49" s="185">
        <v>0</v>
      </c>
      <c r="AC49" s="197">
        <f t="shared" si="8"/>
        <v>0</v>
      </c>
    </row>
    <row r="50" spans="1:29" ht="18.75" x14ac:dyDescent="0.25">
      <c r="A50" s="186" t="s">
        <v>136</v>
      </c>
      <c r="B50" s="191" t="s">
        <v>565</v>
      </c>
      <c r="C50" s="185">
        <v>0</v>
      </c>
      <c r="D50" s="188">
        <v>0</v>
      </c>
      <c r="E50" s="185">
        <f t="shared" si="4"/>
        <v>0</v>
      </c>
      <c r="F50" s="188">
        <v>0</v>
      </c>
      <c r="G50" s="185">
        <v>0</v>
      </c>
      <c r="H50" s="185" t="s">
        <v>556</v>
      </c>
      <c r="I50" s="188">
        <v>0</v>
      </c>
      <c r="J50" s="192" t="str">
        <f t="shared" si="5"/>
        <v>нд</v>
      </c>
      <c r="K50" s="188">
        <v>0</v>
      </c>
      <c r="L50" s="185" t="s">
        <v>556</v>
      </c>
      <c r="M50" s="188">
        <v>0</v>
      </c>
      <c r="N50" s="192" t="str">
        <f t="shared" si="6"/>
        <v>нд</v>
      </c>
      <c r="O50" s="188">
        <v>0</v>
      </c>
      <c r="P50" s="185">
        <v>0</v>
      </c>
      <c r="Q50" s="188">
        <v>0</v>
      </c>
      <c r="R50" s="185">
        <f t="shared" si="7"/>
        <v>0</v>
      </c>
      <c r="S50" s="188">
        <v>0</v>
      </c>
      <c r="T50" s="188">
        <v>0</v>
      </c>
      <c r="U50" s="188">
        <v>0</v>
      </c>
      <c r="V50" s="188">
        <v>0</v>
      </c>
      <c r="W50" s="188">
        <v>0</v>
      </c>
      <c r="X50" s="185">
        <v>0</v>
      </c>
      <c r="Y50" s="188">
        <v>0</v>
      </c>
      <c r="Z50" s="185">
        <v>0</v>
      </c>
      <c r="AA50" s="188">
        <v>0</v>
      </c>
      <c r="AB50" s="185">
        <v>0</v>
      </c>
      <c r="AC50" s="197">
        <f t="shared" si="8"/>
        <v>0</v>
      </c>
    </row>
    <row r="51" spans="1:29" s="190" customFormat="1" ht="35.25" customHeight="1" x14ac:dyDescent="0.25">
      <c r="A51" s="183" t="s">
        <v>56</v>
      </c>
      <c r="B51" s="184" t="s">
        <v>134</v>
      </c>
      <c r="C51" s="185">
        <v>0</v>
      </c>
      <c r="D51" s="188">
        <v>0</v>
      </c>
      <c r="E51" s="185">
        <f t="shared" si="4"/>
        <v>0</v>
      </c>
      <c r="F51" s="188">
        <v>0</v>
      </c>
      <c r="G51" s="185">
        <v>0</v>
      </c>
      <c r="H51" s="185" t="s">
        <v>556</v>
      </c>
      <c r="I51" s="185">
        <v>0</v>
      </c>
      <c r="J51" s="185" t="str">
        <f t="shared" si="5"/>
        <v>нд</v>
      </c>
      <c r="K51" s="185">
        <v>0</v>
      </c>
      <c r="L51" s="185" t="s">
        <v>556</v>
      </c>
      <c r="M51" s="185">
        <v>0</v>
      </c>
      <c r="N51" s="185" t="str">
        <f t="shared" si="6"/>
        <v>нд</v>
      </c>
      <c r="O51" s="185">
        <v>0</v>
      </c>
      <c r="P51" s="185">
        <v>0</v>
      </c>
      <c r="Q51" s="185">
        <v>0</v>
      </c>
      <c r="R51" s="185">
        <f t="shared" si="7"/>
        <v>0</v>
      </c>
      <c r="S51" s="185">
        <v>0</v>
      </c>
      <c r="T51" s="188">
        <v>0</v>
      </c>
      <c r="U51" s="185">
        <v>0</v>
      </c>
      <c r="V51" s="185">
        <v>0</v>
      </c>
      <c r="W51" s="185">
        <v>0</v>
      </c>
      <c r="X51" s="185">
        <v>0</v>
      </c>
      <c r="Y51" s="185">
        <v>0</v>
      </c>
      <c r="Z51" s="185">
        <v>0</v>
      </c>
      <c r="AA51" s="185">
        <v>0</v>
      </c>
      <c r="AB51" s="185">
        <v>0</v>
      </c>
      <c r="AC51" s="197">
        <f t="shared" si="8"/>
        <v>0</v>
      </c>
    </row>
    <row r="52" spans="1:29" x14ac:dyDescent="0.25">
      <c r="A52" s="186" t="s">
        <v>133</v>
      </c>
      <c r="B52" s="187" t="s">
        <v>132</v>
      </c>
      <c r="C52" s="185">
        <v>0.55000000000000004</v>
      </c>
      <c r="D52" s="188">
        <f>D30</f>
        <v>0.94925472</v>
      </c>
      <c r="E52" s="185">
        <f t="shared" si="4"/>
        <v>0.55000000000000004</v>
      </c>
      <c r="F52" s="188">
        <v>0</v>
      </c>
      <c r="G52" s="185">
        <v>0</v>
      </c>
      <c r="H52" s="185" t="s">
        <v>556</v>
      </c>
      <c r="I52" s="188">
        <v>0</v>
      </c>
      <c r="J52" s="188" t="str">
        <f t="shared" si="5"/>
        <v>нд</v>
      </c>
      <c r="K52" s="188">
        <v>0</v>
      </c>
      <c r="L52" s="185" t="s">
        <v>556</v>
      </c>
      <c r="M52" s="188">
        <v>0</v>
      </c>
      <c r="N52" s="188">
        <v>0</v>
      </c>
      <c r="O52" s="188">
        <v>0</v>
      </c>
      <c r="P52" s="185">
        <v>0.55000000000000004</v>
      </c>
      <c r="Q52" s="188">
        <v>0</v>
      </c>
      <c r="R52" s="185">
        <f t="shared" si="7"/>
        <v>0.94925472</v>
      </c>
      <c r="S52" s="188">
        <v>0</v>
      </c>
      <c r="T52" s="188">
        <v>0</v>
      </c>
      <c r="U52" s="188">
        <v>0</v>
      </c>
      <c r="V52" s="188">
        <v>0</v>
      </c>
      <c r="W52" s="188">
        <v>0</v>
      </c>
      <c r="X52" s="185">
        <v>0</v>
      </c>
      <c r="Y52" s="188">
        <v>0</v>
      </c>
      <c r="Z52" s="185">
        <v>0</v>
      </c>
      <c r="AA52" s="188">
        <v>0</v>
      </c>
      <c r="AB52" s="185">
        <v>0.55000000000000004</v>
      </c>
      <c r="AC52" s="197">
        <f>SUM(J52,N52,R52,V52,Z52)</f>
        <v>0.94925472</v>
      </c>
    </row>
    <row r="53" spans="1:29" x14ac:dyDescent="0.25">
      <c r="A53" s="186" t="s">
        <v>131</v>
      </c>
      <c r="B53" s="187" t="s">
        <v>125</v>
      </c>
      <c r="C53" s="185">
        <v>0</v>
      </c>
      <c r="D53" s="188">
        <v>0</v>
      </c>
      <c r="E53" s="185">
        <f t="shared" si="4"/>
        <v>0</v>
      </c>
      <c r="F53" s="188">
        <v>0</v>
      </c>
      <c r="G53" s="185">
        <v>0</v>
      </c>
      <c r="H53" s="185" t="s">
        <v>556</v>
      </c>
      <c r="I53" s="188">
        <v>0</v>
      </c>
      <c r="J53" s="188" t="str">
        <f t="shared" si="5"/>
        <v>нд</v>
      </c>
      <c r="K53" s="188">
        <v>0</v>
      </c>
      <c r="L53" s="185" t="s">
        <v>556</v>
      </c>
      <c r="M53" s="188">
        <v>0</v>
      </c>
      <c r="N53" s="188" t="str">
        <f t="shared" si="6"/>
        <v>нд</v>
      </c>
      <c r="O53" s="188">
        <v>0</v>
      </c>
      <c r="P53" s="185">
        <v>0</v>
      </c>
      <c r="Q53" s="188">
        <v>0</v>
      </c>
      <c r="R53" s="185">
        <f t="shared" si="7"/>
        <v>0</v>
      </c>
      <c r="S53" s="188">
        <v>0</v>
      </c>
      <c r="T53" s="188">
        <v>0</v>
      </c>
      <c r="U53" s="188">
        <v>0</v>
      </c>
      <c r="V53" s="188">
        <v>0</v>
      </c>
      <c r="W53" s="188">
        <v>0</v>
      </c>
      <c r="X53" s="185">
        <v>0</v>
      </c>
      <c r="Y53" s="188">
        <v>0</v>
      </c>
      <c r="Z53" s="185">
        <v>0</v>
      </c>
      <c r="AA53" s="188">
        <v>0</v>
      </c>
      <c r="AB53" s="185">
        <v>0</v>
      </c>
      <c r="AC53" s="197">
        <f t="shared" si="8"/>
        <v>0</v>
      </c>
    </row>
    <row r="54" spans="1:29" x14ac:dyDescent="0.25">
      <c r="A54" s="186" t="s">
        <v>130</v>
      </c>
      <c r="B54" s="191" t="s">
        <v>124</v>
      </c>
      <c r="C54" s="185">
        <v>0.63</v>
      </c>
      <c r="D54" s="188">
        <v>1.26</v>
      </c>
      <c r="E54" s="185">
        <f t="shared" si="4"/>
        <v>0.63</v>
      </c>
      <c r="F54" s="188">
        <v>0</v>
      </c>
      <c r="G54" s="185">
        <v>0</v>
      </c>
      <c r="H54" s="185" t="s">
        <v>556</v>
      </c>
      <c r="I54" s="188">
        <v>0</v>
      </c>
      <c r="J54" s="192" t="str">
        <f t="shared" si="5"/>
        <v>нд</v>
      </c>
      <c r="K54" s="188">
        <v>0</v>
      </c>
      <c r="L54" s="185" t="s">
        <v>556</v>
      </c>
      <c r="M54" s="188">
        <v>0</v>
      </c>
      <c r="N54" s="192" t="str">
        <f t="shared" si="6"/>
        <v>нд</v>
      </c>
      <c r="O54" s="188">
        <v>0</v>
      </c>
      <c r="P54" s="185">
        <v>0.63</v>
      </c>
      <c r="Q54" s="188">
        <v>0</v>
      </c>
      <c r="R54" s="185">
        <f t="shared" si="7"/>
        <v>1.26</v>
      </c>
      <c r="S54" s="188">
        <v>0</v>
      </c>
      <c r="T54" s="188">
        <v>0</v>
      </c>
      <c r="U54" s="188">
        <v>0</v>
      </c>
      <c r="V54" s="188">
        <v>0</v>
      </c>
      <c r="W54" s="188">
        <v>0</v>
      </c>
      <c r="X54" s="185">
        <v>0</v>
      </c>
      <c r="Y54" s="188">
        <v>0</v>
      </c>
      <c r="Z54" s="185">
        <v>0</v>
      </c>
      <c r="AA54" s="188">
        <v>0</v>
      </c>
      <c r="AB54" s="185">
        <v>0.63</v>
      </c>
      <c r="AC54" s="197">
        <f t="shared" si="8"/>
        <v>1.26</v>
      </c>
    </row>
    <row r="55" spans="1:29" x14ac:dyDescent="0.25">
      <c r="A55" s="186" t="s">
        <v>129</v>
      </c>
      <c r="B55" s="191" t="s">
        <v>123</v>
      </c>
      <c r="C55" s="185">
        <v>0</v>
      </c>
      <c r="D55" s="188">
        <v>0</v>
      </c>
      <c r="E55" s="185">
        <f t="shared" si="4"/>
        <v>0</v>
      </c>
      <c r="F55" s="188">
        <v>0</v>
      </c>
      <c r="G55" s="185">
        <v>0</v>
      </c>
      <c r="H55" s="185" t="s">
        <v>556</v>
      </c>
      <c r="I55" s="188">
        <v>0</v>
      </c>
      <c r="J55" s="192" t="str">
        <f t="shared" si="5"/>
        <v>нд</v>
      </c>
      <c r="K55" s="188">
        <v>0</v>
      </c>
      <c r="L55" s="185" t="s">
        <v>556</v>
      </c>
      <c r="M55" s="188">
        <v>0</v>
      </c>
      <c r="N55" s="192" t="str">
        <f t="shared" si="6"/>
        <v>нд</v>
      </c>
      <c r="O55" s="188">
        <v>0</v>
      </c>
      <c r="P55" s="185">
        <v>0</v>
      </c>
      <c r="Q55" s="188">
        <v>0</v>
      </c>
      <c r="R55" s="185">
        <f t="shared" si="7"/>
        <v>0</v>
      </c>
      <c r="S55" s="188">
        <v>0</v>
      </c>
      <c r="T55" s="188">
        <v>0</v>
      </c>
      <c r="U55" s="188">
        <v>0</v>
      </c>
      <c r="V55" s="188">
        <v>0</v>
      </c>
      <c r="W55" s="188">
        <v>0</v>
      </c>
      <c r="X55" s="185">
        <v>0</v>
      </c>
      <c r="Y55" s="188">
        <v>0</v>
      </c>
      <c r="Z55" s="185">
        <v>0</v>
      </c>
      <c r="AA55" s="188">
        <v>0</v>
      </c>
      <c r="AB55" s="185">
        <v>0</v>
      </c>
      <c r="AC55" s="197">
        <f t="shared" si="8"/>
        <v>0</v>
      </c>
    </row>
    <row r="56" spans="1:29" x14ac:dyDescent="0.25">
      <c r="A56" s="186" t="s">
        <v>128</v>
      </c>
      <c r="B56" s="191" t="s">
        <v>122</v>
      </c>
      <c r="C56" s="185">
        <v>0</v>
      </c>
      <c r="D56" s="188">
        <v>0</v>
      </c>
      <c r="E56" s="185">
        <f t="shared" si="4"/>
        <v>0</v>
      </c>
      <c r="F56" s="188">
        <v>0</v>
      </c>
      <c r="G56" s="185">
        <v>0</v>
      </c>
      <c r="H56" s="185" t="s">
        <v>556</v>
      </c>
      <c r="I56" s="188">
        <v>0</v>
      </c>
      <c r="J56" s="192" t="str">
        <f t="shared" si="5"/>
        <v>нд</v>
      </c>
      <c r="K56" s="188">
        <v>0</v>
      </c>
      <c r="L56" s="185" t="s">
        <v>556</v>
      </c>
      <c r="M56" s="188">
        <v>0</v>
      </c>
      <c r="N56" s="192">
        <v>0</v>
      </c>
      <c r="O56" s="188">
        <v>0</v>
      </c>
      <c r="P56" s="185">
        <v>0</v>
      </c>
      <c r="Q56" s="188">
        <v>0</v>
      </c>
      <c r="R56" s="185">
        <f t="shared" si="7"/>
        <v>0</v>
      </c>
      <c r="S56" s="188">
        <v>0</v>
      </c>
      <c r="T56" s="188">
        <v>0</v>
      </c>
      <c r="U56" s="188">
        <v>0</v>
      </c>
      <c r="V56" s="188">
        <v>0</v>
      </c>
      <c r="W56" s="188">
        <v>0</v>
      </c>
      <c r="X56" s="185">
        <v>0</v>
      </c>
      <c r="Y56" s="188">
        <v>0</v>
      </c>
      <c r="Z56" s="185">
        <v>0</v>
      </c>
      <c r="AA56" s="188">
        <v>0</v>
      </c>
      <c r="AB56" s="185">
        <v>0</v>
      </c>
      <c r="AC56" s="197">
        <f t="shared" si="8"/>
        <v>0</v>
      </c>
    </row>
    <row r="57" spans="1:29" ht="18.75" x14ac:dyDescent="0.25">
      <c r="A57" s="186" t="s">
        <v>127</v>
      </c>
      <c r="B57" s="191" t="s">
        <v>566</v>
      </c>
      <c r="C57" s="185">
        <v>0</v>
      </c>
      <c r="D57" s="188">
        <v>0</v>
      </c>
      <c r="E57" s="185">
        <f t="shared" si="4"/>
        <v>0</v>
      </c>
      <c r="F57" s="188">
        <v>0</v>
      </c>
      <c r="G57" s="185">
        <v>0</v>
      </c>
      <c r="H57" s="185" t="s">
        <v>556</v>
      </c>
      <c r="I57" s="188">
        <v>0</v>
      </c>
      <c r="J57" s="192" t="str">
        <f t="shared" si="5"/>
        <v>нд</v>
      </c>
      <c r="K57" s="188">
        <v>0</v>
      </c>
      <c r="L57" s="185" t="s">
        <v>556</v>
      </c>
      <c r="M57" s="188">
        <v>0</v>
      </c>
      <c r="N57" s="192" t="str">
        <f t="shared" si="6"/>
        <v>нд</v>
      </c>
      <c r="O57" s="188">
        <v>0</v>
      </c>
      <c r="P57" s="185">
        <v>0</v>
      </c>
      <c r="Q57" s="188">
        <v>0</v>
      </c>
      <c r="R57" s="185">
        <f t="shared" si="7"/>
        <v>0</v>
      </c>
      <c r="S57" s="188">
        <v>0</v>
      </c>
      <c r="T57" s="188">
        <v>0</v>
      </c>
      <c r="U57" s="188">
        <v>0</v>
      </c>
      <c r="V57" s="188">
        <v>0</v>
      </c>
      <c r="W57" s="188">
        <v>0</v>
      </c>
      <c r="X57" s="185">
        <v>0</v>
      </c>
      <c r="Y57" s="188">
        <v>0</v>
      </c>
      <c r="Z57" s="185">
        <v>0</v>
      </c>
      <c r="AA57" s="188">
        <v>0</v>
      </c>
      <c r="AB57" s="185">
        <v>0</v>
      </c>
      <c r="AC57" s="197">
        <f t="shared" si="8"/>
        <v>0</v>
      </c>
    </row>
    <row r="58" spans="1:29" s="190" customFormat="1" ht="36.75" customHeight="1" x14ac:dyDescent="0.25">
      <c r="A58" s="183" t="s">
        <v>55</v>
      </c>
      <c r="B58" s="193" t="s">
        <v>225</v>
      </c>
      <c r="C58" s="185">
        <v>0</v>
      </c>
      <c r="D58" s="188">
        <v>0</v>
      </c>
      <c r="E58" s="185">
        <f t="shared" si="4"/>
        <v>0</v>
      </c>
      <c r="F58" s="188">
        <v>0</v>
      </c>
      <c r="G58" s="185">
        <v>0</v>
      </c>
      <c r="H58" s="185" t="s">
        <v>556</v>
      </c>
      <c r="I58" s="185">
        <v>0</v>
      </c>
      <c r="J58" s="194" t="str">
        <f t="shared" si="5"/>
        <v>нд</v>
      </c>
      <c r="K58" s="185">
        <v>0</v>
      </c>
      <c r="L58" s="185" t="s">
        <v>556</v>
      </c>
      <c r="M58" s="185">
        <v>0</v>
      </c>
      <c r="N58" s="194" t="str">
        <f t="shared" si="6"/>
        <v>нд</v>
      </c>
      <c r="O58" s="185">
        <v>0</v>
      </c>
      <c r="P58" s="185">
        <v>0</v>
      </c>
      <c r="Q58" s="185">
        <v>0</v>
      </c>
      <c r="R58" s="185">
        <f t="shared" si="7"/>
        <v>0</v>
      </c>
      <c r="S58" s="185">
        <v>0</v>
      </c>
      <c r="T58" s="188">
        <v>0</v>
      </c>
      <c r="U58" s="185">
        <v>0</v>
      </c>
      <c r="V58" s="185">
        <v>0</v>
      </c>
      <c r="W58" s="185">
        <v>0</v>
      </c>
      <c r="X58" s="185">
        <v>0</v>
      </c>
      <c r="Y58" s="185">
        <v>0</v>
      </c>
      <c r="Z58" s="185">
        <v>0</v>
      </c>
      <c r="AA58" s="185">
        <v>0</v>
      </c>
      <c r="AB58" s="185">
        <v>0</v>
      </c>
      <c r="AC58" s="197">
        <f t="shared" si="8"/>
        <v>0</v>
      </c>
    </row>
    <row r="59" spans="1:29" s="190" customFormat="1" x14ac:dyDescent="0.25">
      <c r="A59" s="183" t="s">
        <v>53</v>
      </c>
      <c r="B59" s="184" t="s">
        <v>126</v>
      </c>
      <c r="C59" s="185">
        <v>0</v>
      </c>
      <c r="D59" s="188">
        <v>0</v>
      </c>
      <c r="E59" s="185">
        <f t="shared" si="4"/>
        <v>0</v>
      </c>
      <c r="F59" s="188">
        <v>0</v>
      </c>
      <c r="G59" s="185">
        <v>0</v>
      </c>
      <c r="H59" s="185" t="s">
        <v>556</v>
      </c>
      <c r="I59" s="185">
        <v>0</v>
      </c>
      <c r="J59" s="185" t="str">
        <f t="shared" si="5"/>
        <v>нд</v>
      </c>
      <c r="K59" s="185">
        <v>0</v>
      </c>
      <c r="L59" s="185" t="s">
        <v>556</v>
      </c>
      <c r="M59" s="185">
        <v>0</v>
      </c>
      <c r="N59" s="185" t="str">
        <f t="shared" si="6"/>
        <v>нд</v>
      </c>
      <c r="O59" s="185">
        <v>0</v>
      </c>
      <c r="P59" s="185">
        <v>0</v>
      </c>
      <c r="Q59" s="185">
        <v>0</v>
      </c>
      <c r="R59" s="185">
        <f t="shared" si="7"/>
        <v>0</v>
      </c>
      <c r="S59" s="185">
        <v>0</v>
      </c>
      <c r="T59" s="188">
        <v>0</v>
      </c>
      <c r="U59" s="185">
        <v>0</v>
      </c>
      <c r="V59" s="185">
        <v>0</v>
      </c>
      <c r="W59" s="185">
        <v>0</v>
      </c>
      <c r="X59" s="185">
        <v>0</v>
      </c>
      <c r="Y59" s="185">
        <v>0</v>
      </c>
      <c r="Z59" s="185">
        <v>0</v>
      </c>
      <c r="AA59" s="185">
        <v>0</v>
      </c>
      <c r="AB59" s="185">
        <v>0</v>
      </c>
      <c r="AC59" s="197">
        <f t="shared" si="8"/>
        <v>0</v>
      </c>
    </row>
    <row r="60" spans="1:29" x14ac:dyDescent="0.25">
      <c r="A60" s="186" t="s">
        <v>219</v>
      </c>
      <c r="B60" s="195" t="s">
        <v>147</v>
      </c>
      <c r="C60" s="185">
        <v>0</v>
      </c>
      <c r="D60" s="188">
        <v>0</v>
      </c>
      <c r="E60" s="185">
        <f t="shared" si="4"/>
        <v>0</v>
      </c>
      <c r="F60" s="188">
        <v>0</v>
      </c>
      <c r="G60" s="185">
        <v>0</v>
      </c>
      <c r="H60" s="185" t="s">
        <v>556</v>
      </c>
      <c r="I60" s="188">
        <v>0</v>
      </c>
      <c r="J60" s="196" t="str">
        <f t="shared" si="5"/>
        <v>нд</v>
      </c>
      <c r="K60" s="188">
        <v>0</v>
      </c>
      <c r="L60" s="185" t="s">
        <v>556</v>
      </c>
      <c r="M60" s="188">
        <v>0</v>
      </c>
      <c r="N60" s="196" t="str">
        <f t="shared" si="6"/>
        <v>нд</v>
      </c>
      <c r="O60" s="188">
        <v>0</v>
      </c>
      <c r="P60" s="185">
        <v>0</v>
      </c>
      <c r="Q60" s="188">
        <v>0</v>
      </c>
      <c r="R60" s="185">
        <f t="shared" si="7"/>
        <v>0</v>
      </c>
      <c r="S60" s="188">
        <v>0</v>
      </c>
      <c r="T60" s="188">
        <v>0</v>
      </c>
      <c r="U60" s="188">
        <v>0</v>
      </c>
      <c r="V60" s="188">
        <v>0</v>
      </c>
      <c r="W60" s="188">
        <v>0</v>
      </c>
      <c r="X60" s="185">
        <v>0</v>
      </c>
      <c r="Y60" s="188">
        <v>0</v>
      </c>
      <c r="Z60" s="185">
        <v>0</v>
      </c>
      <c r="AA60" s="188">
        <v>0</v>
      </c>
      <c r="AB60" s="185">
        <v>0</v>
      </c>
      <c r="AC60" s="197">
        <f t="shared" si="8"/>
        <v>0</v>
      </c>
    </row>
    <row r="61" spans="1:29" x14ac:dyDescent="0.25">
      <c r="A61" s="186" t="s">
        <v>220</v>
      </c>
      <c r="B61" s="195" t="s">
        <v>145</v>
      </c>
      <c r="C61" s="185">
        <v>0</v>
      </c>
      <c r="D61" s="188">
        <v>0</v>
      </c>
      <c r="E61" s="185">
        <f t="shared" si="4"/>
        <v>0</v>
      </c>
      <c r="F61" s="188">
        <v>0</v>
      </c>
      <c r="G61" s="185">
        <v>0</v>
      </c>
      <c r="H61" s="185" t="s">
        <v>556</v>
      </c>
      <c r="I61" s="188">
        <v>0</v>
      </c>
      <c r="J61" s="196" t="str">
        <f t="shared" si="5"/>
        <v>нд</v>
      </c>
      <c r="K61" s="188">
        <v>0</v>
      </c>
      <c r="L61" s="185" t="s">
        <v>556</v>
      </c>
      <c r="M61" s="188">
        <v>0</v>
      </c>
      <c r="N61" s="196" t="str">
        <f t="shared" si="6"/>
        <v>нд</v>
      </c>
      <c r="O61" s="188">
        <v>0</v>
      </c>
      <c r="P61" s="185">
        <v>0</v>
      </c>
      <c r="Q61" s="188">
        <v>0</v>
      </c>
      <c r="R61" s="185">
        <f t="shared" si="7"/>
        <v>0</v>
      </c>
      <c r="S61" s="188">
        <v>0</v>
      </c>
      <c r="T61" s="188">
        <v>0</v>
      </c>
      <c r="U61" s="188">
        <v>0</v>
      </c>
      <c r="V61" s="188">
        <v>0</v>
      </c>
      <c r="W61" s="188">
        <v>0</v>
      </c>
      <c r="X61" s="185">
        <v>0</v>
      </c>
      <c r="Y61" s="188">
        <v>0</v>
      </c>
      <c r="Z61" s="185">
        <v>0</v>
      </c>
      <c r="AA61" s="188">
        <v>0</v>
      </c>
      <c r="AB61" s="185">
        <v>0</v>
      </c>
      <c r="AC61" s="197">
        <f t="shared" si="8"/>
        <v>0</v>
      </c>
    </row>
    <row r="62" spans="1:29" x14ac:dyDescent="0.25">
      <c r="A62" s="186" t="s">
        <v>221</v>
      </c>
      <c r="B62" s="195" t="s">
        <v>143</v>
      </c>
      <c r="C62" s="185">
        <v>0</v>
      </c>
      <c r="D62" s="188">
        <v>0</v>
      </c>
      <c r="E62" s="185">
        <f t="shared" si="4"/>
        <v>0</v>
      </c>
      <c r="F62" s="188">
        <v>0</v>
      </c>
      <c r="G62" s="185">
        <v>0</v>
      </c>
      <c r="H62" s="185" t="s">
        <v>556</v>
      </c>
      <c r="I62" s="188">
        <v>0</v>
      </c>
      <c r="J62" s="196" t="str">
        <f t="shared" si="5"/>
        <v>нд</v>
      </c>
      <c r="K62" s="188">
        <v>0</v>
      </c>
      <c r="L62" s="185" t="s">
        <v>556</v>
      </c>
      <c r="M62" s="188">
        <v>0</v>
      </c>
      <c r="N62" s="196" t="str">
        <f t="shared" si="6"/>
        <v>нд</v>
      </c>
      <c r="O62" s="188">
        <v>0</v>
      </c>
      <c r="P62" s="185">
        <v>0</v>
      </c>
      <c r="Q62" s="188">
        <v>0</v>
      </c>
      <c r="R62" s="185">
        <f t="shared" si="7"/>
        <v>0</v>
      </c>
      <c r="S62" s="188">
        <v>0</v>
      </c>
      <c r="T62" s="188">
        <v>0</v>
      </c>
      <c r="U62" s="188">
        <v>0</v>
      </c>
      <c r="V62" s="188">
        <v>0</v>
      </c>
      <c r="W62" s="188">
        <v>0</v>
      </c>
      <c r="X62" s="185">
        <v>0</v>
      </c>
      <c r="Y62" s="188">
        <v>0</v>
      </c>
      <c r="Z62" s="185">
        <v>0</v>
      </c>
      <c r="AA62" s="188">
        <v>0</v>
      </c>
      <c r="AB62" s="185">
        <v>0</v>
      </c>
      <c r="AC62" s="197">
        <f t="shared" si="8"/>
        <v>0</v>
      </c>
    </row>
    <row r="63" spans="1:29" x14ac:dyDescent="0.25">
      <c r="A63" s="186" t="s">
        <v>222</v>
      </c>
      <c r="B63" s="195" t="s">
        <v>224</v>
      </c>
      <c r="C63" s="185">
        <v>0</v>
      </c>
      <c r="D63" s="188">
        <v>0</v>
      </c>
      <c r="E63" s="185">
        <f t="shared" si="4"/>
        <v>0</v>
      </c>
      <c r="F63" s="188">
        <v>0</v>
      </c>
      <c r="G63" s="185">
        <v>0</v>
      </c>
      <c r="H63" s="185" t="s">
        <v>556</v>
      </c>
      <c r="I63" s="188">
        <v>0</v>
      </c>
      <c r="J63" s="196" t="str">
        <f t="shared" si="5"/>
        <v>нд</v>
      </c>
      <c r="K63" s="188">
        <v>0</v>
      </c>
      <c r="L63" s="185" t="s">
        <v>556</v>
      </c>
      <c r="M63" s="188">
        <v>0</v>
      </c>
      <c r="N63" s="196">
        <v>0</v>
      </c>
      <c r="O63" s="188">
        <v>0</v>
      </c>
      <c r="P63" s="185">
        <v>0</v>
      </c>
      <c r="Q63" s="188">
        <v>0</v>
      </c>
      <c r="R63" s="185">
        <f t="shared" si="7"/>
        <v>0</v>
      </c>
      <c r="S63" s="188">
        <v>0</v>
      </c>
      <c r="T63" s="188">
        <v>0</v>
      </c>
      <c r="U63" s="188">
        <v>0</v>
      </c>
      <c r="V63" s="188">
        <v>0</v>
      </c>
      <c r="W63" s="188">
        <v>0</v>
      </c>
      <c r="X63" s="185">
        <v>0</v>
      </c>
      <c r="Y63" s="188">
        <v>0</v>
      </c>
      <c r="Z63" s="185">
        <v>0</v>
      </c>
      <c r="AA63" s="188">
        <v>0</v>
      </c>
      <c r="AB63" s="185">
        <v>0</v>
      </c>
      <c r="AC63" s="197">
        <f t="shared" si="8"/>
        <v>0</v>
      </c>
    </row>
    <row r="64" spans="1:29" ht="18.75" x14ac:dyDescent="0.25">
      <c r="A64" s="186" t="s">
        <v>223</v>
      </c>
      <c r="B64" s="191" t="s">
        <v>566</v>
      </c>
      <c r="C64" s="185">
        <v>0</v>
      </c>
      <c r="D64" s="188">
        <v>0</v>
      </c>
      <c r="E64" s="185">
        <f t="shared" si="4"/>
        <v>0</v>
      </c>
      <c r="F64" s="188">
        <v>0</v>
      </c>
      <c r="G64" s="185">
        <v>0</v>
      </c>
      <c r="H64" s="185" t="s">
        <v>556</v>
      </c>
      <c r="I64" s="188">
        <v>0</v>
      </c>
      <c r="J64" s="192" t="str">
        <f t="shared" si="5"/>
        <v>нд</v>
      </c>
      <c r="K64" s="188">
        <v>0</v>
      </c>
      <c r="L64" s="185" t="s">
        <v>556</v>
      </c>
      <c r="M64" s="188">
        <v>0</v>
      </c>
      <c r="N64" s="192" t="str">
        <f t="shared" si="6"/>
        <v>нд</v>
      </c>
      <c r="O64" s="188">
        <v>0</v>
      </c>
      <c r="P64" s="185">
        <v>0</v>
      </c>
      <c r="Q64" s="188">
        <v>0</v>
      </c>
      <c r="R64" s="185">
        <f t="shared" si="7"/>
        <v>0</v>
      </c>
      <c r="S64" s="188">
        <v>0</v>
      </c>
      <c r="T64" s="188">
        <v>0</v>
      </c>
      <c r="U64" s="188">
        <v>0</v>
      </c>
      <c r="V64" s="188">
        <v>0</v>
      </c>
      <c r="W64" s="188">
        <v>0</v>
      </c>
      <c r="X64" s="185">
        <v>0</v>
      </c>
      <c r="Y64" s="188">
        <v>0</v>
      </c>
      <c r="Z64" s="185">
        <v>0</v>
      </c>
      <c r="AA64" s="188">
        <v>0</v>
      </c>
      <c r="AB64" s="185">
        <v>0</v>
      </c>
      <c r="AC64" s="197">
        <f t="shared" si="8"/>
        <v>0</v>
      </c>
    </row>
    <row r="65" spans="1:28" x14ac:dyDescent="0.25">
      <c r="A65" s="52"/>
      <c r="B65" s="47"/>
      <c r="C65" s="47"/>
      <c r="D65" s="47"/>
      <c r="E65" s="47"/>
      <c r="F65" s="47"/>
      <c r="G65" s="47"/>
    </row>
    <row r="66" spans="1:28" ht="54" customHeight="1" x14ac:dyDescent="0.25">
      <c r="B66" s="394"/>
      <c r="C66" s="394"/>
      <c r="D66" s="394"/>
      <c r="E66" s="394"/>
      <c r="F66" s="394"/>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394"/>
      <c r="C68" s="394"/>
      <c r="D68" s="394"/>
      <c r="E68" s="394"/>
      <c r="F68" s="394"/>
      <c r="G68" s="49"/>
    </row>
    <row r="70" spans="1:28" ht="36.75" customHeight="1" x14ac:dyDescent="0.25">
      <c r="B70" s="394"/>
      <c r="C70" s="394"/>
      <c r="D70" s="394"/>
      <c r="E70" s="394"/>
      <c r="F70" s="394"/>
      <c r="G70" s="49"/>
    </row>
    <row r="72" spans="1:28" ht="51" customHeight="1" x14ac:dyDescent="0.25">
      <c r="B72" s="394"/>
      <c r="C72" s="394"/>
      <c r="D72" s="394"/>
      <c r="E72" s="394"/>
      <c r="F72" s="394"/>
      <c r="G72" s="49"/>
    </row>
    <row r="73" spans="1:28" ht="32.25" customHeight="1" x14ac:dyDescent="0.25">
      <c r="B73" s="394"/>
      <c r="C73" s="394"/>
      <c r="D73" s="394"/>
      <c r="E73" s="394"/>
      <c r="F73" s="394"/>
      <c r="G73" s="49"/>
    </row>
    <row r="74" spans="1:28" ht="51.75" customHeight="1" x14ac:dyDescent="0.25">
      <c r="B74" s="394"/>
      <c r="C74" s="394"/>
      <c r="D74" s="394"/>
      <c r="E74" s="394"/>
      <c r="F74" s="394"/>
      <c r="G74" s="49"/>
    </row>
    <row r="75" spans="1:28" ht="21.75" customHeight="1" x14ac:dyDescent="0.25">
      <c r="B75" s="392"/>
      <c r="C75" s="392"/>
      <c r="D75" s="392"/>
      <c r="E75" s="392"/>
      <c r="F75" s="392"/>
      <c r="G75" s="48"/>
    </row>
    <row r="76" spans="1:28" ht="23.25" customHeight="1" x14ac:dyDescent="0.25"/>
    <row r="77" spans="1:28" ht="18.75" customHeight="1" x14ac:dyDescent="0.25">
      <c r="B77" s="393"/>
      <c r="C77" s="393"/>
      <c r="D77" s="393"/>
      <c r="E77" s="393"/>
      <c r="F77" s="393"/>
      <c r="G77" s="4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H24:K24 M24 O24 H25:H64 L24:L64 Q24 P24:P64 C24:C64">
    <cfRule type="cellIs" dxfId="42" priority="81" operator="greaterThan">
      <formula>0</formula>
    </cfRule>
  </conditionalFormatting>
  <conditionalFormatting sqref="C31">
    <cfRule type="cellIs" dxfId="41" priority="80" operator="greaterThan">
      <formula>0</formula>
    </cfRule>
  </conditionalFormatting>
  <conditionalFormatting sqref="C31">
    <cfRule type="cellIs" dxfId="40" priority="79" operator="greaterThan">
      <formula>0</formula>
    </cfRule>
  </conditionalFormatting>
  <conditionalFormatting sqref="C31">
    <cfRule type="cellIs" dxfId="39" priority="78" operator="greaterThan">
      <formula>0</formula>
    </cfRule>
  </conditionalFormatting>
  <conditionalFormatting sqref="U24 Y24 M24:M64 O24 E24:E64 H24:K64 Q24 P24:P64 X24:X64 AB24:AB64 C24:C64">
    <cfRule type="cellIs" dxfId="38" priority="77" operator="notEqual">
      <formula>0</formula>
    </cfRule>
  </conditionalFormatting>
  <conditionalFormatting sqref="U24 Y24">
    <cfRule type="cellIs" dxfId="37" priority="76" operator="greaterThan">
      <formula>0</formula>
    </cfRule>
  </conditionalFormatting>
  <conditionalFormatting sqref="U24 Y24">
    <cfRule type="cellIs" dxfId="36" priority="75" operator="greaterThan">
      <formula>0</formula>
    </cfRule>
  </conditionalFormatting>
  <conditionalFormatting sqref="U24 Y24">
    <cfRule type="cellIs" dxfId="35" priority="74" operator="greaterThan">
      <formula>0</formula>
    </cfRule>
  </conditionalFormatting>
  <conditionalFormatting sqref="O25:O64 Y25:Y64 U25:U64 Q25:Q64">
    <cfRule type="cellIs" dxfId="34" priority="68" operator="notEqual">
      <formula>0</formula>
    </cfRule>
  </conditionalFormatting>
  <conditionalFormatting sqref="F24:F29 F37:F64">
    <cfRule type="cellIs" dxfId="33" priority="53" operator="notEqual">
      <formula>0</formula>
    </cfRule>
  </conditionalFormatting>
  <conditionalFormatting sqref="G24:G64">
    <cfRule type="cellIs" dxfId="32" priority="46" operator="greaterThan">
      <formula>0</formula>
    </cfRule>
  </conditionalFormatting>
  <conditionalFormatting sqref="G24:G64">
    <cfRule type="cellIs" dxfId="31" priority="45" operator="notEqual">
      <formula>0</formula>
    </cfRule>
  </conditionalFormatting>
  <conditionalFormatting sqref="N24">
    <cfRule type="cellIs" dxfId="30" priority="42" operator="greaterThan">
      <formula>0</formula>
    </cfRule>
  </conditionalFormatting>
  <conditionalFormatting sqref="N24:N64">
    <cfRule type="cellIs" dxfId="29" priority="41" operator="notEqual">
      <formula>0</formula>
    </cfRule>
  </conditionalFormatting>
  <conditionalFormatting sqref="AC24:AC64">
    <cfRule type="cellIs" dxfId="28" priority="40" operator="notEqual">
      <formula>0</formula>
    </cfRule>
  </conditionalFormatting>
  <conditionalFormatting sqref="R24:S24 R25:R64">
    <cfRule type="cellIs" dxfId="27" priority="32" operator="greaterThan">
      <formula>0</formula>
    </cfRule>
  </conditionalFormatting>
  <conditionalFormatting sqref="R24:S24 R25:R64">
    <cfRule type="cellIs" dxfId="26" priority="31" operator="notEqual">
      <formula>0</formula>
    </cfRule>
  </conditionalFormatting>
  <conditionalFormatting sqref="S25:S64">
    <cfRule type="cellIs" dxfId="25" priority="30" operator="notEqual">
      <formula>0</formula>
    </cfRule>
  </conditionalFormatting>
  <conditionalFormatting sqref="V24">
    <cfRule type="cellIs" dxfId="24" priority="29" operator="greaterThan">
      <formula>0</formula>
    </cfRule>
  </conditionalFormatting>
  <conditionalFormatting sqref="V24">
    <cfRule type="cellIs" dxfId="23" priority="28" operator="notEqual">
      <formula>0</formula>
    </cfRule>
  </conditionalFormatting>
  <conditionalFormatting sqref="V25:V64">
    <cfRule type="cellIs" dxfId="22" priority="27" operator="notEqual">
      <formula>0</formula>
    </cfRule>
  </conditionalFormatting>
  <conditionalFormatting sqref="W24">
    <cfRule type="cellIs" dxfId="21" priority="26" operator="greaterThan">
      <formula>0</formula>
    </cfRule>
  </conditionalFormatting>
  <conditionalFormatting sqref="W24">
    <cfRule type="cellIs" dxfId="20" priority="25" operator="notEqual">
      <formula>0</formula>
    </cfRule>
  </conditionalFormatting>
  <conditionalFormatting sqref="W25:W64">
    <cfRule type="cellIs" dxfId="19" priority="24" operator="notEqual">
      <formula>0</formula>
    </cfRule>
  </conditionalFormatting>
  <conditionalFormatting sqref="Z24:Z64">
    <cfRule type="cellIs" dxfId="18" priority="23" operator="notEqual">
      <formula>0</formula>
    </cfRule>
  </conditionalFormatting>
  <conditionalFormatting sqref="Z24:Z64">
    <cfRule type="cellIs" dxfId="17" priority="22" operator="greaterThan">
      <formula>0</formula>
    </cfRule>
  </conditionalFormatting>
  <conditionalFormatting sqref="Z24:Z64">
    <cfRule type="cellIs" dxfId="16" priority="21" operator="greaterThan">
      <formula>0</formula>
    </cfRule>
  </conditionalFormatting>
  <conditionalFormatting sqref="Z24:Z64">
    <cfRule type="cellIs" dxfId="15" priority="20" operator="greaterThan">
      <formula>0</formula>
    </cfRule>
  </conditionalFormatting>
  <conditionalFormatting sqref="AA24">
    <cfRule type="cellIs" dxfId="14" priority="19" operator="notEqual">
      <formula>0</formula>
    </cfRule>
  </conditionalFormatting>
  <conditionalFormatting sqref="AA24">
    <cfRule type="cellIs" dxfId="13" priority="18" operator="greaterThan">
      <formula>0</formula>
    </cfRule>
  </conditionalFormatting>
  <conditionalFormatting sqref="AA24">
    <cfRule type="cellIs" dxfId="12" priority="17" operator="greaterThan">
      <formula>0</formula>
    </cfRule>
  </conditionalFormatting>
  <conditionalFormatting sqref="AA24">
    <cfRule type="cellIs" dxfId="11" priority="16" operator="greaterThan">
      <formula>0</formula>
    </cfRule>
  </conditionalFormatting>
  <conditionalFormatting sqref="AA25:AA64">
    <cfRule type="cellIs" dxfId="10" priority="15" operator="notEqual">
      <formula>0</formula>
    </cfRule>
  </conditionalFormatting>
  <conditionalFormatting sqref="L24:L64">
    <cfRule type="cellIs" dxfId="9" priority="14" operator="notEqual">
      <formula>0</formula>
    </cfRule>
  </conditionalFormatting>
  <conditionalFormatting sqref="T24:T64">
    <cfRule type="cellIs" dxfId="8" priority="13" operator="greaterThan">
      <formula>0</formula>
    </cfRule>
  </conditionalFormatting>
  <conditionalFormatting sqref="T24:T64">
    <cfRule type="cellIs" dxfId="7" priority="12" operator="notEqual">
      <formula>0</formula>
    </cfRule>
  </conditionalFormatting>
  <conditionalFormatting sqref="X24:X64">
    <cfRule type="cellIs" dxfId="6" priority="11" operator="greaterThan">
      <formula>0</formula>
    </cfRule>
  </conditionalFormatting>
  <conditionalFormatting sqref="AB24:AB64">
    <cfRule type="cellIs" dxfId="5" priority="10" operator="greaterThan">
      <formula>0</formula>
    </cfRule>
  </conditionalFormatting>
  <conditionalFormatting sqref="F30:F36">
    <cfRule type="cellIs" dxfId="4" priority="8" operator="notEqual">
      <formula>0</formula>
    </cfRule>
  </conditionalFormatting>
  <conditionalFormatting sqref="D24">
    <cfRule type="cellIs" dxfId="3" priority="4" operator="greaterThan">
      <formula>0</formula>
    </cfRule>
  </conditionalFormatting>
  <conditionalFormatting sqref="D24">
    <cfRule type="cellIs" dxfId="2" priority="3" operator="notEqual">
      <formula>0</formula>
    </cfRule>
  </conditionalFormatting>
  <conditionalFormatting sqref="D25:D30 D33:D64">
    <cfRule type="cellIs" dxfId="1" priority="2" operator="notEqual">
      <formula>0</formula>
    </cfRule>
  </conditionalFormatting>
  <conditionalFormatting sqref="D31:D3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I1"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2"/>
    </row>
    <row r="7" spans="1:48" ht="18.75" x14ac:dyDescent="0.25">
      <c r="A7" s="322" t="s">
        <v>6</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9" t="str">
        <f>'1. паспорт местоположение'!A12:C12</f>
        <v>M 22-02</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x14ac:dyDescent="0.25">
      <c r="A15"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x14ac:dyDescent="0.25">
      <c r="A21" s="427" t="s">
        <v>436</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ht="58.5" customHeight="1" x14ac:dyDescent="0.25">
      <c r="A22" s="418" t="s">
        <v>49</v>
      </c>
      <c r="B22" s="429" t="s">
        <v>21</v>
      </c>
      <c r="C22" s="418" t="s">
        <v>48</v>
      </c>
      <c r="D22" s="418" t="s">
        <v>47</v>
      </c>
      <c r="E22" s="432" t="s">
        <v>447</v>
      </c>
      <c r="F22" s="433"/>
      <c r="G22" s="433"/>
      <c r="H22" s="433"/>
      <c r="I22" s="433"/>
      <c r="J22" s="433"/>
      <c r="K22" s="433"/>
      <c r="L22" s="434"/>
      <c r="M22" s="418" t="s">
        <v>46</v>
      </c>
      <c r="N22" s="418" t="s">
        <v>45</v>
      </c>
      <c r="O22" s="418" t="s">
        <v>44</v>
      </c>
      <c r="P22" s="413" t="s">
        <v>232</v>
      </c>
      <c r="Q22" s="413" t="s">
        <v>43</v>
      </c>
      <c r="R22" s="413" t="s">
        <v>42</v>
      </c>
      <c r="S22" s="413" t="s">
        <v>41</v>
      </c>
      <c r="T22" s="413"/>
      <c r="U22" s="435" t="s">
        <v>40</v>
      </c>
      <c r="V22" s="435" t="s">
        <v>39</v>
      </c>
      <c r="W22" s="413" t="s">
        <v>38</v>
      </c>
      <c r="X22" s="413" t="s">
        <v>37</v>
      </c>
      <c r="Y22" s="413" t="s">
        <v>36</v>
      </c>
      <c r="Z22" s="420" t="s">
        <v>35</v>
      </c>
      <c r="AA22" s="413" t="s">
        <v>34</v>
      </c>
      <c r="AB22" s="413" t="s">
        <v>33</v>
      </c>
      <c r="AC22" s="413" t="s">
        <v>32</v>
      </c>
      <c r="AD22" s="413" t="s">
        <v>31</v>
      </c>
      <c r="AE22" s="413" t="s">
        <v>30</v>
      </c>
      <c r="AF22" s="413" t="s">
        <v>29</v>
      </c>
      <c r="AG22" s="413"/>
      <c r="AH22" s="413"/>
      <c r="AI22" s="413"/>
      <c r="AJ22" s="413"/>
      <c r="AK22" s="413"/>
      <c r="AL22" s="413" t="s">
        <v>28</v>
      </c>
      <c r="AM22" s="413"/>
      <c r="AN22" s="413"/>
      <c r="AO22" s="413"/>
      <c r="AP22" s="413" t="s">
        <v>27</v>
      </c>
      <c r="AQ22" s="413"/>
      <c r="AR22" s="413" t="s">
        <v>26</v>
      </c>
      <c r="AS22" s="413" t="s">
        <v>25</v>
      </c>
      <c r="AT22" s="413" t="s">
        <v>24</v>
      </c>
      <c r="AU22" s="413" t="s">
        <v>23</v>
      </c>
      <c r="AV22" s="421" t="s">
        <v>22</v>
      </c>
    </row>
    <row r="23" spans="1:48" ht="64.5" customHeight="1" x14ac:dyDescent="0.25">
      <c r="A23" s="428"/>
      <c r="B23" s="430"/>
      <c r="C23" s="428"/>
      <c r="D23" s="428"/>
      <c r="E23" s="423" t="s">
        <v>20</v>
      </c>
      <c r="F23" s="414" t="s">
        <v>125</v>
      </c>
      <c r="G23" s="414" t="s">
        <v>124</v>
      </c>
      <c r="H23" s="414" t="s">
        <v>123</v>
      </c>
      <c r="I23" s="416" t="s">
        <v>357</v>
      </c>
      <c r="J23" s="416" t="s">
        <v>358</v>
      </c>
      <c r="K23" s="416" t="s">
        <v>359</v>
      </c>
      <c r="L23" s="414" t="s">
        <v>73</v>
      </c>
      <c r="M23" s="428"/>
      <c r="N23" s="428"/>
      <c r="O23" s="428"/>
      <c r="P23" s="413"/>
      <c r="Q23" s="413"/>
      <c r="R23" s="413"/>
      <c r="S23" s="425" t="s">
        <v>1</v>
      </c>
      <c r="T23" s="425" t="s">
        <v>8</v>
      </c>
      <c r="U23" s="435"/>
      <c r="V23" s="435"/>
      <c r="W23" s="413"/>
      <c r="X23" s="413"/>
      <c r="Y23" s="413"/>
      <c r="Z23" s="413"/>
      <c r="AA23" s="413"/>
      <c r="AB23" s="413"/>
      <c r="AC23" s="413"/>
      <c r="AD23" s="413"/>
      <c r="AE23" s="413"/>
      <c r="AF23" s="413" t="s">
        <v>19</v>
      </c>
      <c r="AG23" s="413"/>
      <c r="AH23" s="413" t="s">
        <v>18</v>
      </c>
      <c r="AI23" s="413"/>
      <c r="AJ23" s="418" t="s">
        <v>17</v>
      </c>
      <c r="AK23" s="418" t="s">
        <v>16</v>
      </c>
      <c r="AL23" s="418" t="s">
        <v>15</v>
      </c>
      <c r="AM23" s="418" t="s">
        <v>14</v>
      </c>
      <c r="AN23" s="418" t="s">
        <v>13</v>
      </c>
      <c r="AO23" s="418" t="s">
        <v>12</v>
      </c>
      <c r="AP23" s="418" t="s">
        <v>11</v>
      </c>
      <c r="AQ23" s="436" t="s">
        <v>8</v>
      </c>
      <c r="AR23" s="413"/>
      <c r="AS23" s="413"/>
      <c r="AT23" s="413"/>
      <c r="AU23" s="413"/>
      <c r="AV23" s="422"/>
    </row>
    <row r="24" spans="1:48" ht="96.75" customHeight="1" x14ac:dyDescent="0.25">
      <c r="A24" s="419"/>
      <c r="B24" s="431"/>
      <c r="C24" s="419"/>
      <c r="D24" s="419"/>
      <c r="E24" s="424"/>
      <c r="F24" s="415"/>
      <c r="G24" s="415"/>
      <c r="H24" s="415"/>
      <c r="I24" s="417"/>
      <c r="J24" s="417"/>
      <c r="K24" s="417"/>
      <c r="L24" s="415"/>
      <c r="M24" s="419"/>
      <c r="N24" s="419"/>
      <c r="O24" s="419"/>
      <c r="P24" s="413"/>
      <c r="Q24" s="413"/>
      <c r="R24" s="413"/>
      <c r="S24" s="426"/>
      <c r="T24" s="426"/>
      <c r="U24" s="435"/>
      <c r="V24" s="435"/>
      <c r="W24" s="413"/>
      <c r="X24" s="413"/>
      <c r="Y24" s="413"/>
      <c r="Z24" s="413"/>
      <c r="AA24" s="413"/>
      <c r="AB24" s="413"/>
      <c r="AC24" s="413"/>
      <c r="AD24" s="413"/>
      <c r="AE24" s="413"/>
      <c r="AF24" s="114" t="s">
        <v>10</v>
      </c>
      <c r="AG24" s="114" t="s">
        <v>9</v>
      </c>
      <c r="AH24" s="115" t="s">
        <v>1</v>
      </c>
      <c r="AI24" s="115" t="s">
        <v>8</v>
      </c>
      <c r="AJ24" s="419"/>
      <c r="AK24" s="419"/>
      <c r="AL24" s="419"/>
      <c r="AM24" s="419"/>
      <c r="AN24" s="419"/>
      <c r="AO24" s="419"/>
      <c r="AP24" s="419"/>
      <c r="AQ24" s="437"/>
      <c r="AR24" s="413"/>
      <c r="AS24" s="413"/>
      <c r="AT24" s="413"/>
      <c r="AU24" s="413"/>
      <c r="AV24" s="422"/>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9">
        <v>1</v>
      </c>
      <c r="B26" s="160"/>
      <c r="C26" s="160"/>
      <c r="D26" s="161"/>
      <c r="E26" s="19"/>
      <c r="F26" s="19"/>
      <c r="G26" s="19"/>
      <c r="H26" s="19"/>
      <c r="I26" s="19"/>
      <c r="J26" s="19"/>
      <c r="K26" s="198"/>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4" zoomScale="90" zoomScaleNormal="90" zoomScaleSheetLayoutView="90" workbookViewId="0">
      <selection activeCell="B101" sqref="B101:B106"/>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5" t="str">
        <f>'1. паспорт местоположение'!A5:C5</f>
        <v>Год раскрытия информации: 2023 год</v>
      </c>
      <c r="B5" s="445"/>
      <c r="C5" s="64"/>
      <c r="D5" s="64"/>
      <c r="E5" s="64"/>
      <c r="F5" s="64"/>
      <c r="G5" s="64"/>
      <c r="H5" s="64"/>
    </row>
    <row r="6" spans="1:8" ht="18.75" x14ac:dyDescent="0.3">
      <c r="A6" s="130"/>
      <c r="B6" s="130"/>
      <c r="C6" s="130"/>
      <c r="D6" s="130"/>
      <c r="E6" s="130"/>
      <c r="F6" s="130"/>
      <c r="G6" s="130"/>
      <c r="H6" s="130"/>
    </row>
    <row r="7" spans="1:8" ht="18.75" x14ac:dyDescent="0.25">
      <c r="A7" s="322" t="s">
        <v>6</v>
      </c>
      <c r="B7" s="322"/>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19" t="s">
        <v>5</v>
      </c>
      <c r="B10" s="319"/>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M 22-02</v>
      </c>
      <c r="B12" s="329"/>
      <c r="C12" s="7"/>
      <c r="D12" s="7"/>
      <c r="E12" s="7"/>
      <c r="F12" s="7"/>
      <c r="G12" s="7"/>
      <c r="H12" s="7"/>
    </row>
    <row r="13" spans="1:8" x14ac:dyDescent="0.25">
      <c r="A13" s="319" t="s">
        <v>4</v>
      </c>
      <c r="B13" s="319"/>
      <c r="C13" s="5"/>
      <c r="D13" s="5"/>
      <c r="E13" s="5"/>
      <c r="F13" s="5"/>
      <c r="G13" s="5"/>
      <c r="H13" s="5"/>
    </row>
    <row r="14" spans="1:8" ht="27" customHeight="1" x14ac:dyDescent="0.25">
      <c r="A14" s="9"/>
      <c r="B14" s="9"/>
      <c r="C14" s="9"/>
      <c r="D14" s="9"/>
      <c r="E14" s="9"/>
      <c r="F14" s="9"/>
      <c r="G14" s="9"/>
      <c r="H14" s="9"/>
    </row>
    <row r="15" spans="1:8" ht="68.25" customHeight="1" x14ac:dyDescent="0.25">
      <c r="A15" s="438"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439"/>
      <c r="C15" s="7"/>
      <c r="D15" s="7"/>
      <c r="E15" s="7"/>
      <c r="F15" s="7"/>
      <c r="G15" s="7"/>
      <c r="H15" s="7"/>
    </row>
    <row r="16" spans="1:8" x14ac:dyDescent="0.25">
      <c r="A16" s="319" t="s">
        <v>3</v>
      </c>
      <c r="B16" s="319"/>
      <c r="C16" s="5"/>
      <c r="D16" s="5"/>
      <c r="E16" s="5"/>
      <c r="F16" s="5"/>
      <c r="G16" s="5"/>
      <c r="H16" s="5"/>
    </row>
    <row r="17" spans="1:2" x14ac:dyDescent="0.25">
      <c r="B17" s="90"/>
    </row>
    <row r="18" spans="1:2" ht="33.75" customHeight="1" x14ac:dyDescent="0.25">
      <c r="A18" s="440" t="s">
        <v>437</v>
      </c>
      <c r="B18" s="441"/>
    </row>
    <row r="19" spans="1:2" x14ac:dyDescent="0.25">
      <c r="B19" s="32"/>
    </row>
    <row r="20" spans="1:2" ht="16.5" thickBot="1" x14ac:dyDescent="0.3">
      <c r="B20" s="91"/>
    </row>
    <row r="21" spans="1:2" ht="74.25" customHeight="1" thickBot="1" x14ac:dyDescent="0.3">
      <c r="A21" s="312" t="s">
        <v>307</v>
      </c>
      <c r="B21" s="312" t="str">
        <f>A15</f>
        <v xml:space="preserve">«Реконструкция трансформаторной подстанции ТП-7 с монтажом трансформатора 15 кВ  мощностью 630 кВА  в г. Пионерске Калининградской области»
</v>
      </c>
    </row>
    <row r="22" spans="1:2" ht="16.5" thickBot="1" x14ac:dyDescent="0.3">
      <c r="A22" s="92" t="s">
        <v>308</v>
      </c>
      <c r="B22" s="221" t="str">
        <f>'1. паспорт местоположение'!C27</f>
        <v>город Калининград</v>
      </c>
    </row>
    <row r="23" spans="1:2" ht="16.5" thickBot="1" x14ac:dyDescent="0.3">
      <c r="A23" s="92" t="s">
        <v>288</v>
      </c>
      <c r="B23" s="93" t="s">
        <v>574</v>
      </c>
    </row>
    <row r="24" spans="1:2" ht="16.5" thickBot="1" x14ac:dyDescent="0.3">
      <c r="A24" s="92" t="s">
        <v>309</v>
      </c>
      <c r="B24" s="93">
        <f>'6.2. Паспорт фин осв ввод'!C56</f>
        <v>0</v>
      </c>
    </row>
    <row r="25" spans="1:2" ht="16.5" thickBot="1" x14ac:dyDescent="0.3">
      <c r="A25" s="94" t="s">
        <v>310</v>
      </c>
      <c r="B25" s="214">
        <f>'6.1. Паспорт сетевой график'!D53</f>
        <v>44834</v>
      </c>
    </row>
    <row r="26" spans="1:2" ht="16.5" thickBot="1" x14ac:dyDescent="0.3">
      <c r="A26" s="95" t="s">
        <v>311</v>
      </c>
      <c r="B26" s="96" t="s">
        <v>607</v>
      </c>
    </row>
    <row r="27" spans="1:2" ht="29.25" thickBot="1" x14ac:dyDescent="0.3">
      <c r="A27" s="103" t="s">
        <v>577</v>
      </c>
      <c r="B27" s="215">
        <f>'6.2. Паспорт фин осв ввод'!D24</f>
        <v>1.1391039999999999</v>
      </c>
    </row>
    <row r="28" spans="1:2" ht="48" customHeight="1" thickBot="1" x14ac:dyDescent="0.3">
      <c r="A28" s="98" t="s">
        <v>312</v>
      </c>
      <c r="B28" s="173" t="s">
        <v>573</v>
      </c>
    </row>
    <row r="29" spans="1:2" ht="29.25" thickBot="1" x14ac:dyDescent="0.3">
      <c r="A29" s="104" t="s">
        <v>313</v>
      </c>
      <c r="B29" s="199">
        <f>B30</f>
        <v>0</v>
      </c>
    </row>
    <row r="30" spans="1:2" ht="29.25" thickBot="1" x14ac:dyDescent="0.3">
      <c r="A30" s="104" t="s">
        <v>314</v>
      </c>
      <c r="B30" s="199">
        <f>B32+B41+B58</f>
        <v>0</v>
      </c>
    </row>
    <row r="31" spans="1:2" ht="16.5" thickBot="1" x14ac:dyDescent="0.3">
      <c r="A31" s="98" t="s">
        <v>315</v>
      </c>
      <c r="B31" s="199"/>
    </row>
    <row r="32" spans="1:2" ht="29.25" thickBot="1" x14ac:dyDescent="0.3">
      <c r="A32" s="104" t="s">
        <v>316</v>
      </c>
      <c r="B32" s="199">
        <f>B33+B37</f>
        <v>0</v>
      </c>
    </row>
    <row r="33" spans="1:3" s="134" customFormat="1" ht="16.5" thickBot="1" x14ac:dyDescent="0.3">
      <c r="A33" s="133" t="s">
        <v>317</v>
      </c>
      <c r="B33" s="200">
        <v>0</v>
      </c>
    </row>
    <row r="34" spans="1:3" ht="16.5" thickBot="1" x14ac:dyDescent="0.3">
      <c r="A34" s="98" t="s">
        <v>318</v>
      </c>
      <c r="B34" s="135">
        <f>B33/$B$27</f>
        <v>0</v>
      </c>
    </row>
    <row r="35" spans="1:3" ht="16.5" thickBot="1" x14ac:dyDescent="0.3">
      <c r="A35" s="98" t="s">
        <v>319</v>
      </c>
      <c r="B35" s="199">
        <v>0</v>
      </c>
      <c r="C35" s="46">
        <v>1</v>
      </c>
    </row>
    <row r="36" spans="1:3" ht="16.5" thickBot="1" x14ac:dyDescent="0.3">
      <c r="A36" s="98" t="s">
        <v>320</v>
      </c>
      <c r="B36" s="199">
        <v>0</v>
      </c>
      <c r="C36" s="46">
        <v>2</v>
      </c>
    </row>
    <row r="37" spans="1:3" s="134" customFormat="1" ht="16.5" thickBot="1" x14ac:dyDescent="0.3">
      <c r="A37" s="133" t="s">
        <v>317</v>
      </c>
      <c r="B37" s="200">
        <v>0</v>
      </c>
    </row>
    <row r="38" spans="1:3" ht="16.5" thickBot="1" x14ac:dyDescent="0.3">
      <c r="A38" s="98" t="s">
        <v>318</v>
      </c>
      <c r="B38" s="135">
        <f>B37/$B$27</f>
        <v>0</v>
      </c>
    </row>
    <row r="39" spans="1:3" ht="16.5" thickBot="1" x14ac:dyDescent="0.3">
      <c r="A39" s="98" t="s">
        <v>319</v>
      </c>
      <c r="B39" s="199">
        <v>0</v>
      </c>
      <c r="C39" s="46">
        <v>1</v>
      </c>
    </row>
    <row r="40" spans="1:3" ht="16.5" thickBot="1" x14ac:dyDescent="0.3">
      <c r="A40" s="98" t="s">
        <v>320</v>
      </c>
      <c r="B40" s="199">
        <v>0</v>
      </c>
      <c r="C40" s="46">
        <v>2</v>
      </c>
    </row>
    <row r="41" spans="1:3" ht="29.25" thickBot="1" x14ac:dyDescent="0.3">
      <c r="A41" s="104" t="s">
        <v>321</v>
      </c>
      <c r="B41" s="199">
        <f>B42+B46+B50+B54</f>
        <v>0</v>
      </c>
    </row>
    <row r="42" spans="1:3" s="134" customFormat="1" ht="16.5" thickBot="1" x14ac:dyDescent="0.3">
      <c r="A42" s="133" t="s">
        <v>317</v>
      </c>
      <c r="B42" s="200">
        <v>0</v>
      </c>
    </row>
    <row r="43" spans="1:3" ht="16.5" thickBot="1" x14ac:dyDescent="0.3">
      <c r="A43" s="98" t="s">
        <v>318</v>
      </c>
      <c r="B43" s="135">
        <f>B42/$B$27</f>
        <v>0</v>
      </c>
    </row>
    <row r="44" spans="1:3" ht="16.5" thickBot="1" x14ac:dyDescent="0.3">
      <c r="A44" s="98" t="s">
        <v>319</v>
      </c>
      <c r="B44" s="199">
        <v>0</v>
      </c>
      <c r="C44" s="46">
        <v>1</v>
      </c>
    </row>
    <row r="45" spans="1:3" ht="16.5" thickBot="1" x14ac:dyDescent="0.3">
      <c r="A45" s="98" t="s">
        <v>320</v>
      </c>
      <c r="B45" s="199">
        <v>0</v>
      </c>
      <c r="C45" s="46">
        <v>2</v>
      </c>
    </row>
    <row r="46" spans="1:3" s="134" customFormat="1" ht="16.5" thickBot="1" x14ac:dyDescent="0.3">
      <c r="A46" s="133" t="s">
        <v>317</v>
      </c>
      <c r="B46" s="200">
        <v>0</v>
      </c>
    </row>
    <row r="47" spans="1:3" ht="16.5" thickBot="1" x14ac:dyDescent="0.3">
      <c r="A47" s="98" t="s">
        <v>318</v>
      </c>
      <c r="B47" s="135">
        <f>B46/$B$27</f>
        <v>0</v>
      </c>
    </row>
    <row r="48" spans="1:3" ht="16.5" thickBot="1" x14ac:dyDescent="0.3">
      <c r="A48" s="98" t="s">
        <v>319</v>
      </c>
      <c r="B48" s="199">
        <v>0</v>
      </c>
      <c r="C48" s="46">
        <v>1</v>
      </c>
    </row>
    <row r="49" spans="1:3" ht="16.5" thickBot="1" x14ac:dyDescent="0.3">
      <c r="A49" s="98" t="s">
        <v>320</v>
      </c>
      <c r="B49" s="199">
        <v>0</v>
      </c>
      <c r="C49" s="46">
        <v>2</v>
      </c>
    </row>
    <row r="50" spans="1:3" s="134" customFormat="1" ht="16.5" thickBot="1" x14ac:dyDescent="0.3">
      <c r="A50" s="133" t="s">
        <v>317</v>
      </c>
      <c r="B50" s="200">
        <v>0</v>
      </c>
    </row>
    <row r="51" spans="1:3" ht="16.5" thickBot="1" x14ac:dyDescent="0.3">
      <c r="A51" s="98" t="s">
        <v>318</v>
      </c>
      <c r="B51" s="135">
        <f>B50/$B$27</f>
        <v>0</v>
      </c>
    </row>
    <row r="52" spans="1:3" ht="16.5" thickBot="1" x14ac:dyDescent="0.3">
      <c r="A52" s="98" t="s">
        <v>319</v>
      </c>
      <c r="B52" s="199">
        <v>0</v>
      </c>
      <c r="C52" s="46">
        <v>1</v>
      </c>
    </row>
    <row r="53" spans="1:3" ht="16.5" thickBot="1" x14ac:dyDescent="0.3">
      <c r="A53" s="98" t="s">
        <v>320</v>
      </c>
      <c r="B53" s="199">
        <v>0</v>
      </c>
      <c r="C53" s="46">
        <v>2</v>
      </c>
    </row>
    <row r="54" spans="1:3" s="134" customFormat="1" ht="16.5" thickBot="1" x14ac:dyDescent="0.3">
      <c r="A54" s="133" t="s">
        <v>317</v>
      </c>
      <c r="B54" s="200">
        <v>0</v>
      </c>
    </row>
    <row r="55" spans="1:3" ht="16.5" thickBot="1" x14ac:dyDescent="0.3">
      <c r="A55" s="98" t="s">
        <v>318</v>
      </c>
      <c r="B55" s="135">
        <f>B54/$B$27</f>
        <v>0</v>
      </c>
    </row>
    <row r="56" spans="1:3" ht="16.5" thickBot="1" x14ac:dyDescent="0.3">
      <c r="A56" s="98" t="s">
        <v>319</v>
      </c>
      <c r="B56" s="199">
        <v>0</v>
      </c>
      <c r="C56" s="46">
        <v>1</v>
      </c>
    </row>
    <row r="57" spans="1:3" ht="16.5" thickBot="1" x14ac:dyDescent="0.3">
      <c r="A57" s="98" t="s">
        <v>320</v>
      </c>
      <c r="B57" s="199">
        <v>0</v>
      </c>
      <c r="C57" s="46">
        <v>2</v>
      </c>
    </row>
    <row r="58" spans="1:3" ht="29.25" thickBot="1" x14ac:dyDescent="0.3">
      <c r="A58" s="104" t="s">
        <v>322</v>
      </c>
      <c r="B58" s="199">
        <f>B59+B63+B67+B71</f>
        <v>0</v>
      </c>
    </row>
    <row r="59" spans="1:3" s="134" customFormat="1" ht="16.5" thickBot="1" x14ac:dyDescent="0.3">
      <c r="A59" s="133" t="s">
        <v>317</v>
      </c>
      <c r="B59" s="200">
        <v>0</v>
      </c>
    </row>
    <row r="60" spans="1:3" ht="16.5" thickBot="1" x14ac:dyDescent="0.3">
      <c r="A60" s="98" t="s">
        <v>318</v>
      </c>
      <c r="B60" s="135">
        <f>B59/$B$27</f>
        <v>0</v>
      </c>
    </row>
    <row r="61" spans="1:3" ht="16.5" thickBot="1" x14ac:dyDescent="0.3">
      <c r="A61" s="98" t="s">
        <v>319</v>
      </c>
      <c r="B61" s="199">
        <v>0</v>
      </c>
      <c r="C61" s="46">
        <v>1</v>
      </c>
    </row>
    <row r="62" spans="1:3" ht="16.5" thickBot="1" x14ac:dyDescent="0.3">
      <c r="A62" s="98" t="s">
        <v>320</v>
      </c>
      <c r="B62" s="199">
        <v>0</v>
      </c>
      <c r="C62" s="46">
        <v>2</v>
      </c>
    </row>
    <row r="63" spans="1:3" s="134" customFormat="1" ht="16.5" thickBot="1" x14ac:dyDescent="0.3">
      <c r="A63" s="133" t="s">
        <v>317</v>
      </c>
      <c r="B63" s="200">
        <v>0</v>
      </c>
    </row>
    <row r="64" spans="1:3" ht="16.5" thickBot="1" x14ac:dyDescent="0.3">
      <c r="A64" s="98" t="s">
        <v>318</v>
      </c>
      <c r="B64" s="135">
        <f>B63/$B$27</f>
        <v>0</v>
      </c>
    </row>
    <row r="65" spans="1:3" ht="16.5" thickBot="1" x14ac:dyDescent="0.3">
      <c r="A65" s="98" t="s">
        <v>319</v>
      </c>
      <c r="B65" s="199">
        <v>0</v>
      </c>
      <c r="C65" s="46">
        <v>1</v>
      </c>
    </row>
    <row r="66" spans="1:3" ht="16.5" thickBot="1" x14ac:dyDescent="0.3">
      <c r="A66" s="98" t="s">
        <v>320</v>
      </c>
      <c r="B66" s="199">
        <v>0</v>
      </c>
      <c r="C66" s="46">
        <v>2</v>
      </c>
    </row>
    <row r="67" spans="1:3" s="134" customFormat="1" ht="16.5" thickBot="1" x14ac:dyDescent="0.3">
      <c r="A67" s="133" t="s">
        <v>317</v>
      </c>
      <c r="B67" s="200">
        <v>0</v>
      </c>
    </row>
    <row r="68" spans="1:3" ht="16.5" thickBot="1" x14ac:dyDescent="0.3">
      <c r="A68" s="98" t="s">
        <v>318</v>
      </c>
      <c r="B68" s="135">
        <f>B67/$B$27</f>
        <v>0</v>
      </c>
    </row>
    <row r="69" spans="1:3" ht="16.5" thickBot="1" x14ac:dyDescent="0.3">
      <c r="A69" s="98" t="s">
        <v>319</v>
      </c>
      <c r="B69" s="199">
        <v>0</v>
      </c>
      <c r="C69" s="46">
        <v>1</v>
      </c>
    </row>
    <row r="70" spans="1:3" ht="16.5" thickBot="1" x14ac:dyDescent="0.3">
      <c r="A70" s="98" t="s">
        <v>320</v>
      </c>
      <c r="B70" s="199">
        <v>0</v>
      </c>
      <c r="C70" s="46">
        <v>2</v>
      </c>
    </row>
    <row r="71" spans="1:3" s="134" customFormat="1" ht="16.5" thickBot="1" x14ac:dyDescent="0.3">
      <c r="A71" s="133" t="s">
        <v>317</v>
      </c>
      <c r="B71" s="200">
        <v>0</v>
      </c>
    </row>
    <row r="72" spans="1:3" ht="16.5" thickBot="1" x14ac:dyDescent="0.3">
      <c r="A72" s="98" t="s">
        <v>318</v>
      </c>
      <c r="B72" s="135">
        <f>B71/$B$27</f>
        <v>0</v>
      </c>
    </row>
    <row r="73" spans="1:3" ht="16.5" thickBot="1" x14ac:dyDescent="0.3">
      <c r="A73" s="98" t="s">
        <v>319</v>
      </c>
      <c r="B73" s="199">
        <v>0</v>
      </c>
      <c r="C73" s="46">
        <v>1</v>
      </c>
    </row>
    <row r="74" spans="1:3" ht="16.5" thickBot="1" x14ac:dyDescent="0.3">
      <c r="A74" s="98" t="s">
        <v>320</v>
      </c>
      <c r="B74" s="199">
        <v>0</v>
      </c>
      <c r="C74" s="46">
        <v>2</v>
      </c>
    </row>
    <row r="75" spans="1:3" ht="29.25" thickBot="1" x14ac:dyDescent="0.3">
      <c r="A75" s="97" t="s">
        <v>323</v>
      </c>
      <c r="B75" s="135">
        <f>B30/B27</f>
        <v>0</v>
      </c>
    </row>
    <row r="76" spans="1:3" ht="16.5" thickBot="1" x14ac:dyDescent="0.3">
      <c r="A76" s="99" t="s">
        <v>315</v>
      </c>
      <c r="B76" s="135"/>
    </row>
    <row r="77" spans="1:3" ht="16.5" thickBot="1" x14ac:dyDescent="0.3">
      <c r="A77" s="99" t="s">
        <v>324</v>
      </c>
      <c r="B77" s="135"/>
    </row>
    <row r="78" spans="1:3" ht="16.5" thickBot="1" x14ac:dyDescent="0.3">
      <c r="A78" s="99" t="s">
        <v>325</v>
      </c>
      <c r="B78" s="135"/>
    </row>
    <row r="79" spans="1:3" ht="16.5" thickBot="1" x14ac:dyDescent="0.3">
      <c r="A79" s="99" t="s">
        <v>326</v>
      </c>
      <c r="B79" s="135"/>
    </row>
    <row r="80" spans="1:3" ht="16.5" thickBot="1" x14ac:dyDescent="0.3">
      <c r="A80" s="94" t="s">
        <v>327</v>
      </c>
      <c r="B80" s="136">
        <f>B81/$B$27</f>
        <v>0</v>
      </c>
    </row>
    <row r="81" spans="1:2" ht="16.5" thickBot="1" x14ac:dyDescent="0.3">
      <c r="A81" s="94" t="s">
        <v>328</v>
      </c>
      <c r="B81" s="201">
        <f xml:space="preserve"> SUMIF(C33:C74, 1,B33:B74)</f>
        <v>0</v>
      </c>
    </row>
    <row r="82" spans="1:2" ht="16.5" thickBot="1" x14ac:dyDescent="0.3">
      <c r="A82" s="94" t="s">
        <v>329</v>
      </c>
      <c r="B82" s="136">
        <f>B83/$B$27</f>
        <v>0</v>
      </c>
    </row>
    <row r="83" spans="1:2" ht="16.5" thickBot="1" x14ac:dyDescent="0.3">
      <c r="A83" s="95" t="s">
        <v>330</v>
      </c>
      <c r="B83" s="201">
        <f xml:space="preserve"> SUMIF(C35:C76, 2,B35:B76)</f>
        <v>0</v>
      </c>
    </row>
    <row r="84" spans="1:2" ht="15.6" customHeight="1" x14ac:dyDescent="0.25">
      <c r="A84" s="97" t="s">
        <v>331</v>
      </c>
      <c r="B84" s="99" t="s">
        <v>332</v>
      </c>
    </row>
    <row r="85" spans="1:2" x14ac:dyDescent="0.25">
      <c r="A85" s="101" t="s">
        <v>333</v>
      </c>
      <c r="B85" s="175"/>
    </row>
    <row r="86" spans="1:2" x14ac:dyDescent="0.25">
      <c r="A86" s="101" t="s">
        <v>334</v>
      </c>
      <c r="B86" s="175"/>
    </row>
    <row r="87" spans="1:2" x14ac:dyDescent="0.25">
      <c r="A87" s="101" t="s">
        <v>335</v>
      </c>
      <c r="B87" s="175"/>
    </row>
    <row r="88" spans="1:2" x14ac:dyDescent="0.25">
      <c r="A88" s="101" t="s">
        <v>336</v>
      </c>
      <c r="B88" s="175"/>
    </row>
    <row r="89" spans="1:2" ht="16.5" thickBot="1" x14ac:dyDescent="0.3">
      <c r="A89" s="102" t="s">
        <v>337</v>
      </c>
      <c r="B89" s="176"/>
    </row>
    <row r="90" spans="1:2" ht="30.75" thickBot="1" x14ac:dyDescent="0.3">
      <c r="A90" s="99" t="s">
        <v>338</v>
      </c>
      <c r="B90" s="100"/>
    </row>
    <row r="91" spans="1:2" ht="29.25" thickBot="1" x14ac:dyDescent="0.3">
      <c r="A91" s="94" t="s">
        <v>339</v>
      </c>
      <c r="B91" s="173"/>
    </row>
    <row r="92" spans="1:2" ht="16.5" thickBot="1" x14ac:dyDescent="0.3">
      <c r="A92" s="99" t="s">
        <v>315</v>
      </c>
      <c r="B92" s="202"/>
    </row>
    <row r="93" spans="1:2" ht="16.5" thickBot="1" x14ac:dyDescent="0.3">
      <c r="A93" s="99" t="s">
        <v>340</v>
      </c>
      <c r="B93" s="173"/>
    </row>
    <row r="94" spans="1:2" ht="16.5" thickBot="1" x14ac:dyDescent="0.3">
      <c r="A94" s="99" t="s">
        <v>341</v>
      </c>
      <c r="B94" s="202"/>
    </row>
    <row r="95" spans="1:2" ht="16.5" thickBot="1" x14ac:dyDescent="0.3">
      <c r="A95" s="106" t="s">
        <v>342</v>
      </c>
      <c r="B95" s="129" t="s">
        <v>542</v>
      </c>
    </row>
    <row r="96" spans="1:2" ht="16.5" thickBot="1" x14ac:dyDescent="0.3">
      <c r="A96" s="94" t="s">
        <v>343</v>
      </c>
      <c r="B96" s="105"/>
    </row>
    <row r="97" spans="1:2" ht="16.5" thickBot="1" x14ac:dyDescent="0.3">
      <c r="A97" s="101" t="s">
        <v>344</v>
      </c>
      <c r="B97" s="203">
        <f>'6.1. Паспорт сетевой график'!H43</f>
        <v>44732</v>
      </c>
    </row>
    <row r="98" spans="1:2" ht="16.5" thickBot="1" x14ac:dyDescent="0.3">
      <c r="A98" s="101" t="s">
        <v>345</v>
      </c>
      <c r="B98" s="107" t="s">
        <v>542</v>
      </c>
    </row>
    <row r="99" spans="1:2" ht="16.5" thickBot="1" x14ac:dyDescent="0.3">
      <c r="A99" s="101" t="s">
        <v>346</v>
      </c>
      <c r="B99" s="107" t="s">
        <v>542</v>
      </c>
    </row>
    <row r="100" spans="1:2" ht="29.25" thickBot="1" x14ac:dyDescent="0.3">
      <c r="A100" s="108" t="s">
        <v>347</v>
      </c>
      <c r="B100" s="314">
        <f>'6.1. Паспорт сетевой график'!H54</f>
        <v>44767</v>
      </c>
    </row>
    <row r="101" spans="1:2" ht="28.5" x14ac:dyDescent="0.25">
      <c r="A101" s="97" t="s">
        <v>348</v>
      </c>
      <c r="B101" s="442"/>
    </row>
    <row r="102" spans="1:2" x14ac:dyDescent="0.25">
      <c r="A102" s="101" t="s">
        <v>349</v>
      </c>
      <c r="B102" s="443"/>
    </row>
    <row r="103" spans="1:2" x14ac:dyDescent="0.25">
      <c r="A103" s="101" t="s">
        <v>350</v>
      </c>
      <c r="B103" s="443"/>
    </row>
    <row r="104" spans="1:2" x14ac:dyDescent="0.25">
      <c r="A104" s="101" t="s">
        <v>351</v>
      </c>
      <c r="B104" s="443"/>
    </row>
    <row r="105" spans="1:2" x14ac:dyDescent="0.25">
      <c r="A105" s="101" t="s">
        <v>352</v>
      </c>
      <c r="B105" s="443"/>
    </row>
    <row r="106" spans="1:2" ht="16.5" thickBot="1" x14ac:dyDescent="0.3">
      <c r="A106" s="109" t="s">
        <v>353</v>
      </c>
      <c r="B106" s="444"/>
    </row>
    <row r="109" spans="1:2" x14ac:dyDescent="0.25">
      <c r="A109" s="110"/>
      <c r="B109" s="111"/>
    </row>
    <row r="110" spans="1:2" x14ac:dyDescent="0.25">
      <c r="B110" s="112"/>
    </row>
    <row r="111" spans="1:2" x14ac:dyDescent="0.25">
      <c r="B111" s="113"/>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3"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6" t="s">
        <v>468</v>
      </c>
    </row>
    <row r="2" spans="1:1" ht="25.5" customHeight="1" x14ac:dyDescent="0.25">
      <c r="A2" s="446"/>
    </row>
    <row r="3" spans="1:1" ht="25.5" customHeight="1" x14ac:dyDescent="0.25">
      <c r="A3" s="446"/>
    </row>
    <row r="4" spans="1:1" ht="25.5" customHeight="1" x14ac:dyDescent="0.25">
      <c r="A4" s="446"/>
    </row>
    <row r="5" spans="1:1" ht="25.5" customHeight="1" x14ac:dyDescent="0.25">
      <c r="A5" s="446"/>
    </row>
    <row r="6" spans="1:1" ht="23.25" customHeight="1" x14ac:dyDescent="0.25">
      <c r="A6" s="123">
        <v>2</v>
      </c>
    </row>
    <row r="7" spans="1:1" s="85" customFormat="1" ht="23.25" customHeight="1" x14ac:dyDescent="0.25">
      <c r="A7" s="127" t="s">
        <v>469</v>
      </c>
    </row>
    <row r="8" spans="1:1" ht="31.5" customHeight="1" x14ac:dyDescent="0.25">
      <c r="A8" s="124" t="s">
        <v>478</v>
      </c>
    </row>
    <row r="9" spans="1:1" ht="45.75" customHeight="1" x14ac:dyDescent="0.25">
      <c r="A9" s="124" t="s">
        <v>479</v>
      </c>
    </row>
    <row r="10" spans="1:1" ht="33.75" customHeight="1" x14ac:dyDescent="0.25">
      <c r="A10" s="124" t="s">
        <v>480</v>
      </c>
    </row>
    <row r="11" spans="1:1" ht="23.25" customHeight="1" x14ac:dyDescent="0.25">
      <c r="A11" s="124" t="s">
        <v>481</v>
      </c>
    </row>
    <row r="12" spans="1:1" ht="23.25" customHeight="1" x14ac:dyDescent="0.25">
      <c r="A12" s="124" t="s">
        <v>482</v>
      </c>
    </row>
    <row r="13" spans="1:1" ht="33" customHeight="1" x14ac:dyDescent="0.25">
      <c r="A13" s="124" t="s">
        <v>483</v>
      </c>
    </row>
    <row r="14" spans="1:1" ht="23.25" customHeight="1" x14ac:dyDescent="0.25">
      <c r="A14" s="124" t="s">
        <v>484</v>
      </c>
    </row>
    <row r="15" spans="1:1" ht="23.25" customHeight="1" x14ac:dyDescent="0.25">
      <c r="A15" s="125" t="s">
        <v>485</v>
      </c>
    </row>
    <row r="16" spans="1:1" ht="34.5" customHeight="1" x14ac:dyDescent="0.25">
      <c r="A16" s="125" t="s">
        <v>486</v>
      </c>
    </row>
    <row r="17" spans="1:1" ht="39.75" customHeight="1" x14ac:dyDescent="0.25">
      <c r="A17" s="125" t="s">
        <v>487</v>
      </c>
    </row>
    <row r="18" spans="1:1" ht="40.5" customHeight="1" x14ac:dyDescent="0.25">
      <c r="A18" s="125" t="s">
        <v>488</v>
      </c>
    </row>
    <row r="19" spans="1:1" ht="48.75" customHeight="1" x14ac:dyDescent="0.25">
      <c r="A19" s="125" t="s">
        <v>486</v>
      </c>
    </row>
    <row r="20" spans="1:1" ht="39" customHeight="1" x14ac:dyDescent="0.25">
      <c r="A20" s="124" t="s">
        <v>487</v>
      </c>
    </row>
    <row r="21" spans="1:1" ht="39.75" customHeight="1" x14ac:dyDescent="0.25">
      <c r="A21" s="124" t="s">
        <v>489</v>
      </c>
    </row>
    <row r="22" spans="1:1" ht="35.25" customHeight="1" x14ac:dyDescent="0.25">
      <c r="A22" s="124" t="s">
        <v>490</v>
      </c>
    </row>
    <row r="23" spans="1:1" ht="35.25" customHeight="1" x14ac:dyDescent="0.25">
      <c r="A23" s="124" t="s">
        <v>491</v>
      </c>
    </row>
    <row r="24" spans="1:1" ht="57.75" customHeight="1" x14ac:dyDescent="0.25">
      <c r="A24" s="124" t="s">
        <v>492</v>
      </c>
    </row>
    <row r="25" spans="1:1" s="85" customFormat="1" ht="23.25" customHeight="1" x14ac:dyDescent="0.25">
      <c r="A25" s="127" t="s">
        <v>493</v>
      </c>
    </row>
    <row r="26" spans="1:1" ht="36.75" customHeight="1" x14ac:dyDescent="0.25">
      <c r="A26" s="124" t="s">
        <v>494</v>
      </c>
    </row>
    <row r="27" spans="1:1" ht="23.25" customHeight="1" x14ac:dyDescent="0.25">
      <c r="A27" s="124" t="s">
        <v>495</v>
      </c>
    </row>
    <row r="28" spans="1:1" ht="30.75" customHeight="1" x14ac:dyDescent="0.25">
      <c r="A28" s="124" t="s">
        <v>496</v>
      </c>
    </row>
    <row r="29" spans="1:1" s="126" customFormat="1" ht="23.25" customHeight="1" x14ac:dyDescent="0.25">
      <c r="A29" s="124" t="s">
        <v>497</v>
      </c>
    </row>
    <row r="30" spans="1:1" s="126" customFormat="1" ht="23.25" customHeight="1" x14ac:dyDescent="0.25">
      <c r="A30" s="124" t="s">
        <v>498</v>
      </c>
    </row>
    <row r="31" spans="1:1" ht="23.25" customHeight="1" x14ac:dyDescent="0.25">
      <c r="A31" s="124" t="s">
        <v>499</v>
      </c>
    </row>
    <row r="32" spans="1:1" ht="23.25" customHeight="1" x14ac:dyDescent="0.25">
      <c r="A32" s="124" t="s">
        <v>500</v>
      </c>
    </row>
    <row r="33" spans="1:1" ht="23.25" customHeight="1" x14ac:dyDescent="0.25">
      <c r="A33" s="124" t="s">
        <v>501</v>
      </c>
    </row>
    <row r="34" spans="1:1" ht="23.25" customHeight="1" x14ac:dyDescent="0.25">
      <c r="A34" s="124" t="s">
        <v>502</v>
      </c>
    </row>
    <row r="35" spans="1:1" ht="23.25" customHeight="1" x14ac:dyDescent="0.25">
      <c r="A35" s="124" t="s">
        <v>503</v>
      </c>
    </row>
    <row r="36" spans="1:1" ht="23.25" customHeight="1" x14ac:dyDescent="0.25">
      <c r="A36" s="124" t="s">
        <v>504</v>
      </c>
    </row>
    <row r="37" spans="1:1" ht="23.25" customHeight="1" x14ac:dyDescent="0.25">
      <c r="A37" s="124" t="s">
        <v>505</v>
      </c>
    </row>
    <row r="38" spans="1:1" ht="23.25" customHeight="1" x14ac:dyDescent="0.25">
      <c r="A38" s="124" t="s">
        <v>506</v>
      </c>
    </row>
    <row r="39" spans="1:1" ht="23.25" customHeight="1" x14ac:dyDescent="0.25">
      <c r="A39" s="124" t="s">
        <v>507</v>
      </c>
    </row>
    <row r="40" spans="1:1" ht="23.25" customHeight="1" x14ac:dyDescent="0.25">
      <c r="A40" s="124" t="s">
        <v>508</v>
      </c>
    </row>
    <row r="41" spans="1:1" ht="23.25" customHeight="1" x14ac:dyDescent="0.25">
      <c r="A41" s="124" t="s">
        <v>509</v>
      </c>
    </row>
    <row r="42" spans="1:1" ht="23.25" customHeight="1" x14ac:dyDescent="0.25">
      <c r="A42" s="124" t="s">
        <v>510</v>
      </c>
    </row>
    <row r="43" spans="1:1" ht="23.25" customHeight="1" x14ac:dyDescent="0.25">
      <c r="A43" s="124" t="s">
        <v>511</v>
      </c>
    </row>
    <row r="44" spans="1:1" s="85" customFormat="1" ht="36" customHeight="1" x14ac:dyDescent="0.25">
      <c r="A44" s="127" t="s">
        <v>512</v>
      </c>
    </row>
    <row r="45" spans="1:1" ht="36" customHeight="1" x14ac:dyDescent="0.25">
      <c r="A45" s="124" t="s">
        <v>513</v>
      </c>
    </row>
    <row r="46" spans="1:1" ht="36" customHeight="1" x14ac:dyDescent="0.25">
      <c r="A46" s="124" t="s">
        <v>514</v>
      </c>
    </row>
    <row r="47" spans="1:1" s="85" customFormat="1" ht="23.25" customHeight="1" x14ac:dyDescent="0.25">
      <c r="A47" s="127" t="s">
        <v>515</v>
      </c>
    </row>
    <row r="48" spans="1:1" s="85" customFormat="1" ht="23.25" customHeight="1" x14ac:dyDescent="0.25">
      <c r="A48" s="128" t="s">
        <v>516</v>
      </c>
    </row>
    <row r="49" spans="1:1" s="85" customFormat="1" ht="23.25" customHeight="1" x14ac:dyDescent="0.25">
      <c r="A49" s="128" t="s">
        <v>517</v>
      </c>
    </row>
    <row r="50" spans="1:1" ht="23.25" customHeight="1" x14ac:dyDescent="0.25">
      <c r="A50" s="122"/>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row>
    <row r="5" spans="1:28" s="8" customFormat="1" ht="15.75" x14ac:dyDescent="0.2">
      <c r="A5" s="13"/>
    </row>
    <row r="6" spans="1:28" s="8" customFormat="1" ht="18.75" x14ac:dyDescent="0.2">
      <c r="A6" s="322" t="s">
        <v>6</v>
      </c>
      <c r="B6" s="322"/>
      <c r="C6" s="322"/>
      <c r="D6" s="322"/>
      <c r="E6" s="322"/>
      <c r="F6" s="322"/>
      <c r="G6" s="322"/>
      <c r="H6" s="322"/>
      <c r="I6" s="322"/>
      <c r="J6" s="322"/>
      <c r="K6" s="322"/>
      <c r="L6" s="322"/>
      <c r="M6" s="322"/>
      <c r="N6" s="322"/>
      <c r="O6" s="322"/>
      <c r="P6" s="322"/>
      <c r="Q6" s="322"/>
      <c r="R6" s="322"/>
      <c r="S6" s="322"/>
      <c r="T6" s="10"/>
      <c r="U6" s="10"/>
      <c r="V6" s="10"/>
      <c r="W6" s="10"/>
      <c r="X6" s="10"/>
      <c r="Y6" s="10"/>
      <c r="Z6" s="10"/>
      <c r="AA6" s="10"/>
      <c r="AB6" s="10"/>
    </row>
    <row r="7" spans="1:28" s="8" customFormat="1" ht="18.75" x14ac:dyDescent="0.2">
      <c r="A7" s="322"/>
      <c r="B7" s="322"/>
      <c r="C7" s="322"/>
      <c r="D7" s="322"/>
      <c r="E7" s="322"/>
      <c r="F7" s="322"/>
      <c r="G7" s="322"/>
      <c r="H7" s="322"/>
      <c r="I7" s="322"/>
      <c r="J7" s="322"/>
      <c r="K7" s="322"/>
      <c r="L7" s="322"/>
      <c r="M7" s="322"/>
      <c r="N7" s="322"/>
      <c r="O7" s="322"/>
      <c r="P7" s="322"/>
      <c r="Q7" s="322"/>
      <c r="R7" s="322"/>
      <c r="S7" s="322"/>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19" t="s">
        <v>5</v>
      </c>
      <c r="B9" s="319"/>
      <c r="C9" s="319"/>
      <c r="D9" s="319"/>
      <c r="E9" s="319"/>
      <c r="F9" s="319"/>
      <c r="G9" s="319"/>
      <c r="H9" s="319"/>
      <c r="I9" s="319"/>
      <c r="J9" s="319"/>
      <c r="K9" s="319"/>
      <c r="L9" s="319"/>
      <c r="M9" s="319"/>
      <c r="N9" s="319"/>
      <c r="O9" s="319"/>
      <c r="P9" s="319"/>
      <c r="Q9" s="319"/>
      <c r="R9" s="319"/>
      <c r="S9" s="319"/>
      <c r="T9" s="10"/>
      <c r="U9" s="10"/>
      <c r="V9" s="10"/>
      <c r="W9" s="10"/>
      <c r="X9" s="10"/>
      <c r="Y9" s="10"/>
      <c r="Z9" s="10"/>
      <c r="AA9" s="10"/>
      <c r="AB9" s="10"/>
    </row>
    <row r="10" spans="1:28" s="8" customFormat="1" ht="18.75" x14ac:dyDescent="0.2">
      <c r="A10" s="322"/>
      <c r="B10" s="322"/>
      <c r="C10" s="322"/>
      <c r="D10" s="322"/>
      <c r="E10" s="322"/>
      <c r="F10" s="322"/>
      <c r="G10" s="322"/>
      <c r="H10" s="322"/>
      <c r="I10" s="322"/>
      <c r="J10" s="322"/>
      <c r="K10" s="322"/>
      <c r="L10" s="322"/>
      <c r="M10" s="322"/>
      <c r="N10" s="322"/>
      <c r="O10" s="322"/>
      <c r="P10" s="322"/>
      <c r="Q10" s="322"/>
      <c r="R10" s="322"/>
      <c r="S10" s="322"/>
      <c r="T10" s="10"/>
      <c r="U10" s="10"/>
      <c r="V10" s="10"/>
      <c r="W10" s="10"/>
      <c r="X10" s="10"/>
      <c r="Y10" s="10"/>
      <c r="Z10" s="10"/>
      <c r="AA10" s="10"/>
      <c r="AB10" s="10"/>
    </row>
    <row r="11" spans="1:28" s="8" customFormat="1" ht="18.75" x14ac:dyDescent="0.2">
      <c r="A11" s="329" t="str">
        <f>'1. паспорт местоположение'!A12:C12</f>
        <v>M 22-02</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19" t="s">
        <v>4</v>
      </c>
      <c r="B12" s="319"/>
      <c r="C12" s="319"/>
      <c r="D12" s="319"/>
      <c r="E12" s="319"/>
      <c r="F12" s="319"/>
      <c r="G12" s="319"/>
      <c r="H12" s="319"/>
      <c r="I12" s="319"/>
      <c r="J12" s="319"/>
      <c r="K12" s="319"/>
      <c r="L12" s="319"/>
      <c r="M12" s="319"/>
      <c r="N12" s="319"/>
      <c r="O12" s="319"/>
      <c r="P12" s="319"/>
      <c r="Q12" s="319"/>
      <c r="R12" s="319"/>
      <c r="S12" s="319"/>
      <c r="T12" s="10"/>
      <c r="U12" s="10"/>
      <c r="V12" s="10"/>
      <c r="W12" s="10"/>
      <c r="X12" s="10"/>
      <c r="Y12" s="10"/>
      <c r="Z12" s="10"/>
      <c r="AA12" s="10"/>
      <c r="AB12" s="10"/>
    </row>
    <row r="13" spans="1:28" s="8"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4"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19"/>
      <c r="C15" s="319"/>
      <c r="D15" s="319"/>
      <c r="E15" s="319"/>
      <c r="F15" s="319"/>
      <c r="G15" s="319"/>
      <c r="H15" s="319"/>
      <c r="I15" s="319"/>
      <c r="J15" s="319"/>
      <c r="K15" s="319"/>
      <c r="L15" s="319"/>
      <c r="M15" s="319"/>
      <c r="N15" s="319"/>
      <c r="O15" s="319"/>
      <c r="P15" s="319"/>
      <c r="Q15" s="319"/>
      <c r="R15" s="319"/>
      <c r="S15" s="319"/>
      <c r="T15" s="5"/>
      <c r="U15" s="5"/>
      <c r="V15" s="5"/>
      <c r="W15" s="5"/>
      <c r="X15" s="5"/>
      <c r="Y15" s="5"/>
      <c r="Z15" s="5"/>
      <c r="AA15" s="5"/>
      <c r="AB15" s="5"/>
    </row>
    <row r="16" spans="1:28" s="3"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4"/>
      <c r="U16" s="4"/>
      <c r="V16" s="4"/>
      <c r="W16" s="4"/>
      <c r="X16" s="4"/>
      <c r="Y16" s="4"/>
    </row>
    <row r="17" spans="1:28" s="3" customFormat="1" ht="45.75" customHeight="1" x14ac:dyDescent="0.2">
      <c r="A17" s="320" t="s">
        <v>412</v>
      </c>
      <c r="B17" s="320"/>
      <c r="C17" s="320"/>
      <c r="D17" s="320"/>
      <c r="E17" s="320"/>
      <c r="F17" s="320"/>
      <c r="G17" s="320"/>
      <c r="H17" s="320"/>
      <c r="I17" s="320"/>
      <c r="J17" s="320"/>
      <c r="K17" s="320"/>
      <c r="L17" s="320"/>
      <c r="M17" s="320"/>
      <c r="N17" s="320"/>
      <c r="O17" s="320"/>
      <c r="P17" s="320"/>
      <c r="Q17" s="320"/>
      <c r="R17" s="320"/>
      <c r="S17" s="320"/>
      <c r="T17" s="6"/>
      <c r="U17" s="6"/>
      <c r="V17" s="6"/>
      <c r="W17" s="6"/>
      <c r="X17" s="6"/>
      <c r="Y17" s="6"/>
      <c r="Z17" s="6"/>
      <c r="AA17" s="6"/>
      <c r="AB17" s="6"/>
    </row>
    <row r="18" spans="1:28"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4"/>
      <c r="U18" s="4"/>
      <c r="V18" s="4"/>
      <c r="W18" s="4"/>
      <c r="X18" s="4"/>
      <c r="Y18" s="4"/>
    </row>
    <row r="19" spans="1:28" s="3" customFormat="1" ht="54" customHeight="1" x14ac:dyDescent="0.2">
      <c r="A19" s="328" t="s">
        <v>2</v>
      </c>
      <c r="B19" s="328" t="s">
        <v>93</v>
      </c>
      <c r="C19" s="330" t="s">
        <v>306</v>
      </c>
      <c r="D19" s="328" t="s">
        <v>305</v>
      </c>
      <c r="E19" s="328" t="s">
        <v>92</v>
      </c>
      <c r="F19" s="328" t="s">
        <v>91</v>
      </c>
      <c r="G19" s="328" t="s">
        <v>301</v>
      </c>
      <c r="H19" s="328" t="s">
        <v>90</v>
      </c>
      <c r="I19" s="328" t="s">
        <v>89</v>
      </c>
      <c r="J19" s="328" t="s">
        <v>88</v>
      </c>
      <c r="K19" s="328" t="s">
        <v>87</v>
      </c>
      <c r="L19" s="328" t="s">
        <v>86</v>
      </c>
      <c r="M19" s="328" t="s">
        <v>85</v>
      </c>
      <c r="N19" s="328" t="s">
        <v>84</v>
      </c>
      <c r="O19" s="328" t="s">
        <v>83</v>
      </c>
      <c r="P19" s="328" t="s">
        <v>82</v>
      </c>
      <c r="Q19" s="328" t="s">
        <v>304</v>
      </c>
      <c r="R19" s="328"/>
      <c r="S19" s="332" t="s">
        <v>406</v>
      </c>
      <c r="T19" s="4"/>
      <c r="U19" s="4"/>
      <c r="V19" s="4"/>
      <c r="W19" s="4"/>
      <c r="X19" s="4"/>
      <c r="Y19" s="4"/>
    </row>
    <row r="20" spans="1:28" s="3" customFormat="1" ht="180.75" customHeight="1" x14ac:dyDescent="0.2">
      <c r="A20" s="328"/>
      <c r="B20" s="328"/>
      <c r="C20" s="331"/>
      <c r="D20" s="328"/>
      <c r="E20" s="328"/>
      <c r="F20" s="328"/>
      <c r="G20" s="328"/>
      <c r="H20" s="328"/>
      <c r="I20" s="328"/>
      <c r="J20" s="328"/>
      <c r="K20" s="328"/>
      <c r="L20" s="328"/>
      <c r="M20" s="328"/>
      <c r="N20" s="328"/>
      <c r="O20" s="328"/>
      <c r="P20" s="328"/>
      <c r="Q20" s="30" t="s">
        <v>302</v>
      </c>
      <c r="R20" s="31" t="s">
        <v>303</v>
      </c>
      <c r="S20" s="33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2">
        <v>1</v>
      </c>
      <c r="B22" s="143" t="s">
        <v>556</v>
      </c>
      <c r="C22" s="143" t="s">
        <v>556</v>
      </c>
      <c r="D22" s="143" t="s">
        <v>556</v>
      </c>
      <c r="E22" s="143" t="s">
        <v>556</v>
      </c>
      <c r="F22" s="143" t="s">
        <v>556</v>
      </c>
      <c r="G22" s="143" t="s">
        <v>556</v>
      </c>
      <c r="H22" s="143" t="s">
        <v>556</v>
      </c>
      <c r="I22" s="143" t="s">
        <v>556</v>
      </c>
      <c r="J22" s="143" t="s">
        <v>556</v>
      </c>
      <c r="K22" s="143" t="s">
        <v>556</v>
      </c>
      <c r="L22" s="143" t="s">
        <v>556</v>
      </c>
      <c r="M22" s="143" t="s">
        <v>556</v>
      </c>
      <c r="N22" s="143" t="s">
        <v>556</v>
      </c>
      <c r="O22" s="143" t="s">
        <v>556</v>
      </c>
      <c r="P22" s="143" t="s">
        <v>556</v>
      </c>
      <c r="Q22" s="143" t="s">
        <v>556</v>
      </c>
      <c r="R22" s="143" t="s">
        <v>556</v>
      </c>
      <c r="S22" s="143" t="s">
        <v>556</v>
      </c>
      <c r="W22" s="4"/>
      <c r="X22" s="4"/>
      <c r="Y22" s="4"/>
    </row>
    <row r="23" spans="1:28" ht="20.25" customHeight="1" x14ac:dyDescent="0.25">
      <c r="A23" s="87"/>
      <c r="B23" s="33" t="s">
        <v>299</v>
      </c>
      <c r="C23" s="33"/>
      <c r="D23" s="33"/>
      <c r="E23" s="87" t="s">
        <v>300</v>
      </c>
      <c r="F23" s="87" t="s">
        <v>300</v>
      </c>
      <c r="G23" s="87" t="s">
        <v>300</v>
      </c>
      <c r="H23" s="131" t="str">
        <f>H22</f>
        <v>нд</v>
      </c>
      <c r="I23" s="87"/>
      <c r="J23" s="131" t="str">
        <f>J22</f>
        <v>нд</v>
      </c>
      <c r="K23" s="87"/>
      <c r="L23" s="87"/>
      <c r="M23" s="87"/>
      <c r="N23" s="87"/>
      <c r="O23" s="87"/>
      <c r="P23" s="87"/>
      <c r="Q23" s="88"/>
      <c r="R23" s="2"/>
      <c r="S23" s="131"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O25" sqref="O25"/>
    </sheetView>
  </sheetViews>
  <sheetFormatPr defaultColWidth="10.7109375" defaultRowHeight="15.75" x14ac:dyDescent="0.25"/>
  <cols>
    <col min="1" max="1" width="9.5703125" style="35" customWidth="1"/>
    <col min="2" max="2" width="20.7109375" style="35" customWidth="1"/>
    <col min="3" max="3" width="25.5703125" style="35" customWidth="1"/>
    <col min="4" max="4" width="17.7109375" style="35" customWidth="1"/>
    <col min="5" max="5" width="16.28515625" style="35" customWidth="1"/>
    <col min="6" max="6" width="34.4257812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8" t="str">
        <f>'1. паспорт местоположение'!A5:C5</f>
        <v>Год раскрытия информации: 2023 год</v>
      </c>
      <c r="B6" s="318"/>
      <c r="C6" s="318"/>
      <c r="D6" s="318"/>
      <c r="E6" s="318"/>
      <c r="F6" s="318"/>
      <c r="G6" s="318"/>
      <c r="H6" s="318"/>
      <c r="I6" s="318"/>
      <c r="J6" s="318"/>
      <c r="K6" s="318"/>
      <c r="L6" s="318"/>
      <c r="M6" s="318"/>
      <c r="N6" s="318"/>
      <c r="O6" s="318"/>
      <c r="P6" s="318"/>
      <c r="Q6" s="318"/>
      <c r="R6" s="318"/>
      <c r="S6" s="318"/>
      <c r="T6" s="318"/>
    </row>
    <row r="7" spans="1:20" s="8" customFormat="1" x14ac:dyDescent="0.2">
      <c r="A7" s="13"/>
    </row>
    <row r="8" spans="1:20" s="8" customFormat="1" ht="18.75" x14ac:dyDescent="0.2">
      <c r="A8" s="322" t="s">
        <v>6</v>
      </c>
      <c r="B8" s="322"/>
      <c r="C8" s="322"/>
      <c r="D8" s="322"/>
      <c r="E8" s="322"/>
      <c r="F8" s="322"/>
      <c r="G8" s="322"/>
      <c r="H8" s="322"/>
      <c r="I8" s="322"/>
      <c r="J8" s="322"/>
      <c r="K8" s="322"/>
      <c r="L8" s="322"/>
      <c r="M8" s="322"/>
      <c r="N8" s="322"/>
      <c r="O8" s="322"/>
      <c r="P8" s="322"/>
      <c r="Q8" s="322"/>
      <c r="R8" s="322"/>
      <c r="S8" s="322"/>
      <c r="T8" s="322"/>
    </row>
    <row r="9" spans="1:20" s="8"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8"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8" customFormat="1" ht="18.75" customHeight="1" x14ac:dyDescent="0.2">
      <c r="A13" s="329" t="str">
        <f>'1. паспорт местоположение'!A12:C12</f>
        <v>M 22-02</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19" t="s">
        <v>4</v>
      </c>
      <c r="B14" s="319"/>
      <c r="C14" s="319"/>
      <c r="D14" s="319"/>
      <c r="E14" s="319"/>
      <c r="F14" s="319"/>
      <c r="G14" s="319"/>
      <c r="H14" s="319"/>
      <c r="I14" s="319"/>
      <c r="J14" s="319"/>
      <c r="K14" s="319"/>
      <c r="L14" s="319"/>
      <c r="M14" s="319"/>
      <c r="N14" s="319"/>
      <c r="O14" s="319"/>
      <c r="P14" s="319"/>
      <c r="Q14" s="319"/>
      <c r="R14" s="319"/>
      <c r="S14" s="319"/>
      <c r="T14" s="319"/>
    </row>
    <row r="15" spans="1:20" s="8" customFormat="1" ht="15.75" customHeight="1" x14ac:dyDescent="0.2">
      <c r="A15" s="333"/>
      <c r="B15" s="333"/>
      <c r="C15" s="333"/>
      <c r="D15" s="333"/>
      <c r="E15" s="333"/>
      <c r="F15" s="333"/>
      <c r="G15" s="333"/>
      <c r="H15" s="333"/>
      <c r="I15" s="333"/>
      <c r="J15" s="333"/>
      <c r="K15" s="333"/>
      <c r="L15" s="333"/>
      <c r="M15" s="333"/>
      <c r="N15" s="333"/>
      <c r="O15" s="333"/>
      <c r="P15" s="333"/>
      <c r="Q15" s="333"/>
      <c r="R15" s="333"/>
      <c r="S15" s="333"/>
      <c r="T15" s="333"/>
    </row>
    <row r="16" spans="1:20" s="3" customFormat="1" ht="12" x14ac:dyDescent="0.2">
      <c r="A16"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319" t="s">
        <v>3</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33"/>
    </row>
    <row r="19" spans="1:113" s="3" customFormat="1" ht="15" customHeight="1" x14ac:dyDescent="0.2">
      <c r="A19" s="321" t="s">
        <v>417</v>
      </c>
      <c r="B19" s="321"/>
      <c r="C19" s="321"/>
      <c r="D19" s="321"/>
      <c r="E19" s="321"/>
      <c r="F19" s="321"/>
      <c r="G19" s="321"/>
      <c r="H19" s="321"/>
      <c r="I19" s="321"/>
      <c r="J19" s="321"/>
      <c r="K19" s="321"/>
      <c r="L19" s="321"/>
      <c r="M19" s="321"/>
      <c r="N19" s="321"/>
      <c r="O19" s="321"/>
      <c r="P19" s="321"/>
      <c r="Q19" s="321"/>
      <c r="R19" s="321"/>
      <c r="S19" s="321"/>
      <c r="T19" s="321"/>
    </row>
    <row r="20" spans="1:113" s="36"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44" t="s">
        <v>2</v>
      </c>
      <c r="B21" s="337" t="s">
        <v>218</v>
      </c>
      <c r="C21" s="338"/>
      <c r="D21" s="341" t="s">
        <v>115</v>
      </c>
      <c r="E21" s="337" t="s">
        <v>446</v>
      </c>
      <c r="F21" s="338"/>
      <c r="G21" s="337" t="s">
        <v>237</v>
      </c>
      <c r="H21" s="338"/>
      <c r="I21" s="337" t="s">
        <v>114</v>
      </c>
      <c r="J21" s="338"/>
      <c r="K21" s="341" t="s">
        <v>113</v>
      </c>
      <c r="L21" s="337" t="s">
        <v>112</v>
      </c>
      <c r="M21" s="338"/>
      <c r="N21" s="337" t="s">
        <v>442</v>
      </c>
      <c r="O21" s="338"/>
      <c r="P21" s="341" t="s">
        <v>111</v>
      </c>
      <c r="Q21" s="347" t="s">
        <v>110</v>
      </c>
      <c r="R21" s="348"/>
      <c r="S21" s="347" t="s">
        <v>109</v>
      </c>
      <c r="T21" s="349"/>
    </row>
    <row r="22" spans="1:113" ht="204.75" customHeight="1" x14ac:dyDescent="0.25">
      <c r="A22" s="345"/>
      <c r="B22" s="339"/>
      <c r="C22" s="340"/>
      <c r="D22" s="343"/>
      <c r="E22" s="339"/>
      <c r="F22" s="340"/>
      <c r="G22" s="339"/>
      <c r="H22" s="340"/>
      <c r="I22" s="339"/>
      <c r="J22" s="340"/>
      <c r="K22" s="342"/>
      <c r="L22" s="339"/>
      <c r="M22" s="340"/>
      <c r="N22" s="339"/>
      <c r="O22" s="340"/>
      <c r="P22" s="342"/>
      <c r="Q22" s="81" t="s">
        <v>108</v>
      </c>
      <c r="R22" s="81" t="s">
        <v>416</v>
      </c>
      <c r="S22" s="81" t="s">
        <v>107</v>
      </c>
      <c r="T22" s="81" t="s">
        <v>106</v>
      </c>
    </row>
    <row r="23" spans="1:113" ht="51.75" customHeight="1" x14ac:dyDescent="0.25">
      <c r="A23" s="346"/>
      <c r="B23" s="81" t="s">
        <v>104</v>
      </c>
      <c r="C23" s="81" t="s">
        <v>105</v>
      </c>
      <c r="D23" s="342"/>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6" customFormat="1" ht="174" customHeight="1" x14ac:dyDescent="0.25">
      <c r="A25" s="44"/>
      <c r="B25" s="118" t="s">
        <v>599</v>
      </c>
      <c r="C25" s="311" t="s">
        <v>600</v>
      </c>
      <c r="D25" s="42" t="s">
        <v>594</v>
      </c>
      <c r="E25" s="42" t="s">
        <v>300</v>
      </c>
      <c r="F25" s="42" t="s">
        <v>597</v>
      </c>
      <c r="G25" s="42"/>
      <c r="H25" s="42"/>
      <c r="I25" s="42"/>
      <c r="J25" s="41"/>
      <c r="K25" s="41"/>
      <c r="L25" s="41" t="s">
        <v>300</v>
      </c>
      <c r="M25" s="43">
        <v>15</v>
      </c>
      <c r="N25" s="43"/>
      <c r="O25" s="43" t="s">
        <v>604</v>
      </c>
      <c r="P25" s="41"/>
      <c r="Q25" s="118"/>
      <c r="R25" s="42"/>
      <c r="S25" s="118"/>
      <c r="T25" s="42"/>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6" t="s">
        <v>452</v>
      </c>
      <c r="C29" s="336"/>
      <c r="D29" s="336"/>
      <c r="E29" s="336"/>
      <c r="F29" s="336"/>
      <c r="G29" s="336"/>
      <c r="H29" s="336"/>
      <c r="I29" s="336"/>
      <c r="J29" s="336"/>
      <c r="K29" s="336"/>
      <c r="L29" s="336"/>
      <c r="M29" s="336"/>
      <c r="N29" s="336"/>
      <c r="O29" s="336"/>
      <c r="P29" s="336"/>
      <c r="Q29" s="336"/>
      <c r="R29" s="336"/>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F13" zoomScale="90" zoomScaleSheetLayoutView="90" workbookViewId="0">
      <selection activeCell="AB25" sqref="A25:XFD26"/>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8" customFormat="1" x14ac:dyDescent="0.2">
      <c r="A6" s="119"/>
      <c r="B6" s="119"/>
      <c r="C6" s="119"/>
      <c r="D6" s="119"/>
      <c r="E6" s="119"/>
      <c r="F6" s="119"/>
      <c r="G6" s="119"/>
      <c r="H6" s="119"/>
      <c r="I6" s="119"/>
      <c r="J6" s="119"/>
      <c r="K6" s="119"/>
      <c r="L6" s="119"/>
      <c r="M6" s="119"/>
      <c r="N6" s="119"/>
      <c r="O6" s="119"/>
      <c r="P6" s="119"/>
      <c r="Q6" s="119"/>
      <c r="R6" s="119"/>
      <c r="S6" s="119"/>
      <c r="T6" s="119"/>
    </row>
    <row r="7" spans="1:27" s="8" customFormat="1" ht="18.75" x14ac:dyDescent="0.2">
      <c r="E7" s="322" t="s">
        <v>6</v>
      </c>
      <c r="F7" s="322"/>
      <c r="G7" s="322"/>
      <c r="H7" s="322"/>
      <c r="I7" s="322"/>
      <c r="J7" s="322"/>
      <c r="K7" s="322"/>
      <c r="L7" s="322"/>
      <c r="M7" s="322"/>
      <c r="N7" s="322"/>
      <c r="O7" s="322"/>
      <c r="P7" s="322"/>
      <c r="Q7" s="322"/>
      <c r="R7" s="322"/>
      <c r="S7" s="322"/>
      <c r="T7" s="322"/>
      <c r="U7" s="322"/>
      <c r="V7" s="322"/>
      <c r="W7" s="322"/>
      <c r="X7" s="322"/>
      <c r="Y7" s="32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19" t="s">
        <v>5</v>
      </c>
      <c r="F10" s="319"/>
      <c r="G10" s="319"/>
      <c r="H10" s="319"/>
      <c r="I10" s="319"/>
      <c r="J10" s="319"/>
      <c r="K10" s="319"/>
      <c r="L10" s="319"/>
      <c r="M10" s="319"/>
      <c r="N10" s="319"/>
      <c r="O10" s="319"/>
      <c r="P10" s="319"/>
      <c r="Q10" s="319"/>
      <c r="R10" s="319"/>
      <c r="S10" s="319"/>
      <c r="T10" s="319"/>
      <c r="U10" s="319"/>
      <c r="V10" s="319"/>
      <c r="W10" s="319"/>
      <c r="X10" s="319"/>
      <c r="Y10" s="31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M 22-02</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19" t="s">
        <v>4</v>
      </c>
      <c r="F13" s="319"/>
      <c r="G13" s="319"/>
      <c r="H13" s="319"/>
      <c r="I13" s="319"/>
      <c r="J13" s="319"/>
      <c r="K13" s="319"/>
      <c r="L13" s="319"/>
      <c r="M13" s="319"/>
      <c r="N13" s="319"/>
      <c r="O13" s="319"/>
      <c r="P13" s="319"/>
      <c r="Q13" s="319"/>
      <c r="R13" s="319"/>
      <c r="S13" s="319"/>
      <c r="T13" s="319"/>
      <c r="U13" s="319"/>
      <c r="V13" s="319"/>
      <c r="W13" s="319"/>
      <c r="X13" s="319"/>
      <c r="Y13" s="31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19" t="s">
        <v>3</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419</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6" customFormat="1" ht="21" customHeight="1" x14ac:dyDescent="0.25"/>
    <row r="21" spans="1:27" ht="15.75" customHeight="1" x14ac:dyDescent="0.25">
      <c r="A21" s="341" t="s">
        <v>2</v>
      </c>
      <c r="B21" s="337" t="s">
        <v>426</v>
      </c>
      <c r="C21" s="338"/>
      <c r="D21" s="337" t="s">
        <v>428</v>
      </c>
      <c r="E21" s="338"/>
      <c r="F21" s="347" t="s">
        <v>87</v>
      </c>
      <c r="G21" s="349"/>
      <c r="H21" s="349"/>
      <c r="I21" s="348"/>
      <c r="J21" s="341" t="s">
        <v>429</v>
      </c>
      <c r="K21" s="337" t="s">
        <v>430</v>
      </c>
      <c r="L21" s="338"/>
      <c r="M21" s="337" t="s">
        <v>431</v>
      </c>
      <c r="N21" s="338"/>
      <c r="O21" s="337" t="s">
        <v>418</v>
      </c>
      <c r="P21" s="338"/>
      <c r="Q21" s="337" t="s">
        <v>120</v>
      </c>
      <c r="R21" s="338"/>
      <c r="S21" s="341" t="s">
        <v>119</v>
      </c>
      <c r="T21" s="341" t="s">
        <v>432</v>
      </c>
      <c r="U21" s="341" t="s">
        <v>427</v>
      </c>
      <c r="V21" s="337" t="s">
        <v>118</v>
      </c>
      <c r="W21" s="338"/>
      <c r="X21" s="347" t="s">
        <v>110</v>
      </c>
      <c r="Y21" s="349"/>
      <c r="Z21" s="347" t="s">
        <v>109</v>
      </c>
      <c r="AA21" s="349"/>
    </row>
    <row r="22" spans="1:27" ht="154.5" customHeight="1" x14ac:dyDescent="0.25">
      <c r="A22" s="343"/>
      <c r="B22" s="339"/>
      <c r="C22" s="340"/>
      <c r="D22" s="339"/>
      <c r="E22" s="340"/>
      <c r="F22" s="347" t="s">
        <v>117</v>
      </c>
      <c r="G22" s="348"/>
      <c r="H22" s="347" t="s">
        <v>116</v>
      </c>
      <c r="I22" s="348"/>
      <c r="J22" s="342"/>
      <c r="K22" s="339"/>
      <c r="L22" s="340"/>
      <c r="M22" s="339"/>
      <c r="N22" s="340"/>
      <c r="O22" s="339"/>
      <c r="P22" s="340"/>
      <c r="Q22" s="339"/>
      <c r="R22" s="340"/>
      <c r="S22" s="342"/>
      <c r="T22" s="342"/>
      <c r="U22" s="342"/>
      <c r="V22" s="339"/>
      <c r="W22" s="340"/>
      <c r="X22" s="81" t="s">
        <v>108</v>
      </c>
      <c r="Y22" s="81" t="s">
        <v>416</v>
      </c>
      <c r="Z22" s="81" t="s">
        <v>107</v>
      </c>
      <c r="AA22" s="81" t="s">
        <v>106</v>
      </c>
    </row>
    <row r="23" spans="1:27" ht="60" customHeight="1" x14ac:dyDescent="0.25">
      <c r="A23" s="342"/>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7" customFormat="1" ht="45.75" customHeight="1" x14ac:dyDescent="0.25">
      <c r="A25" s="356"/>
      <c r="B25" s="356"/>
      <c r="C25" s="357"/>
      <c r="D25" s="357"/>
      <c r="E25" s="357"/>
      <c r="F25" s="356"/>
      <c r="G25" s="356"/>
      <c r="H25" s="356"/>
      <c r="I25" s="356"/>
      <c r="J25" s="356"/>
      <c r="K25" s="351"/>
      <c r="L25" s="351"/>
      <c r="M25" s="351"/>
      <c r="N25" s="351"/>
      <c r="O25" s="351"/>
      <c r="P25" s="355"/>
      <c r="Q25" s="353"/>
      <c r="R25" s="355"/>
      <c r="S25" s="351"/>
      <c r="T25" s="351"/>
      <c r="U25" s="351"/>
      <c r="V25" s="351"/>
      <c r="W25" s="351"/>
      <c r="X25" s="351"/>
      <c r="Y25" s="351"/>
      <c r="Z25" s="351"/>
      <c r="AA25" s="351"/>
    </row>
    <row r="26" spans="1:27" ht="42.75" customHeight="1" x14ac:dyDescent="0.25">
      <c r="A26" s="356"/>
      <c r="B26" s="356"/>
      <c r="C26" s="357"/>
      <c r="D26" s="357"/>
      <c r="E26" s="357"/>
      <c r="F26" s="356"/>
      <c r="G26" s="356"/>
      <c r="H26" s="356"/>
      <c r="I26" s="356"/>
      <c r="J26" s="356"/>
      <c r="K26" s="352"/>
      <c r="L26" s="352"/>
      <c r="M26" s="352"/>
      <c r="N26" s="352"/>
      <c r="O26" s="352"/>
      <c r="P26" s="354"/>
      <c r="Q26" s="354"/>
      <c r="R26" s="354"/>
      <c r="S26" s="352"/>
      <c r="T26" s="352"/>
      <c r="U26" s="352"/>
      <c r="V26" s="352"/>
      <c r="W26" s="352"/>
      <c r="X26" s="352"/>
      <c r="Y26" s="352"/>
      <c r="Z26" s="352"/>
      <c r="AA26" s="352"/>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Q25:Q26"/>
    <mergeCell ref="S25:S26"/>
    <mergeCell ref="T25:T26"/>
    <mergeCell ref="K25:K26"/>
    <mergeCell ref="L25:L26"/>
    <mergeCell ref="M25:M26"/>
    <mergeCell ref="N25:N26"/>
    <mergeCell ref="O25:O26"/>
    <mergeCell ref="P25:P26"/>
    <mergeCell ref="R25:R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8" t="str">
        <f>'1. паспорт местоположение'!A5:C5</f>
        <v>Год раскрытия информации: 2023 год</v>
      </c>
      <c r="B5" s="318"/>
      <c r="C5" s="318"/>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row>
    <row r="6" spans="1:29" s="8" customFormat="1" ht="18.75" x14ac:dyDescent="0.3">
      <c r="A6" s="13"/>
      <c r="G6" s="12"/>
    </row>
    <row r="7" spans="1:29" s="8" customFormat="1" ht="18.75" x14ac:dyDescent="0.2">
      <c r="A7" s="322" t="s">
        <v>6</v>
      </c>
      <c r="B7" s="322"/>
      <c r="C7" s="322"/>
      <c r="D7" s="10"/>
      <c r="E7" s="10"/>
      <c r="F7" s="10"/>
      <c r="G7" s="10"/>
      <c r="H7" s="10"/>
      <c r="I7" s="10"/>
      <c r="J7" s="10"/>
      <c r="K7" s="10"/>
      <c r="L7" s="10"/>
      <c r="M7" s="10"/>
      <c r="N7" s="10"/>
      <c r="O7" s="10"/>
      <c r="P7" s="10"/>
      <c r="Q7" s="10"/>
      <c r="R7" s="10"/>
      <c r="S7" s="10"/>
      <c r="T7" s="10"/>
      <c r="U7" s="10"/>
    </row>
    <row r="8" spans="1:29" s="8" customFormat="1" ht="18.75" x14ac:dyDescent="0.2">
      <c r="A8" s="322"/>
      <c r="B8" s="322"/>
      <c r="C8" s="322"/>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19" t="s">
        <v>5</v>
      </c>
      <c r="B10" s="319"/>
      <c r="C10" s="319"/>
      <c r="D10" s="5"/>
      <c r="E10" s="5"/>
      <c r="F10" s="5"/>
      <c r="G10" s="5"/>
      <c r="H10" s="10"/>
      <c r="I10" s="10"/>
      <c r="J10" s="10"/>
      <c r="K10" s="10"/>
      <c r="L10" s="10"/>
      <c r="M10" s="10"/>
      <c r="N10" s="10"/>
      <c r="O10" s="10"/>
      <c r="P10" s="10"/>
      <c r="Q10" s="10"/>
      <c r="R10" s="10"/>
      <c r="S10" s="10"/>
      <c r="T10" s="10"/>
      <c r="U10" s="10"/>
    </row>
    <row r="11" spans="1:29" s="8" customFormat="1" ht="18.75" x14ac:dyDescent="0.2">
      <c r="A11" s="322"/>
      <c r="B11" s="322"/>
      <c r="C11" s="322"/>
      <c r="D11" s="11"/>
      <c r="E11" s="11"/>
      <c r="F11" s="11"/>
      <c r="G11" s="11"/>
      <c r="H11" s="10"/>
      <c r="I11" s="10"/>
      <c r="J11" s="10"/>
      <c r="K11" s="10"/>
      <c r="L11" s="10"/>
      <c r="M11" s="10"/>
      <c r="N11" s="10"/>
      <c r="O11" s="10"/>
      <c r="P11" s="10"/>
      <c r="Q11" s="10"/>
      <c r="R11" s="10"/>
      <c r="S11" s="10"/>
      <c r="T11" s="10"/>
      <c r="U11" s="10"/>
    </row>
    <row r="12" spans="1:29" s="8" customFormat="1" ht="18.75" x14ac:dyDescent="0.2">
      <c r="A12" s="359" t="str">
        <f>'1. паспорт местоположение'!A12:C12</f>
        <v>M 22-02</v>
      </c>
      <c r="B12" s="359"/>
      <c r="C12" s="359"/>
      <c r="D12" s="7"/>
      <c r="E12" s="7"/>
      <c r="F12" s="7"/>
      <c r="G12" s="7"/>
      <c r="H12" s="10"/>
      <c r="I12" s="10"/>
      <c r="J12" s="10"/>
      <c r="K12" s="10"/>
      <c r="L12" s="10"/>
      <c r="M12" s="10"/>
      <c r="N12" s="10"/>
      <c r="O12" s="10"/>
      <c r="P12" s="10"/>
      <c r="Q12" s="10"/>
      <c r="R12" s="10"/>
      <c r="S12" s="10"/>
      <c r="T12" s="10"/>
      <c r="U12" s="10"/>
    </row>
    <row r="13" spans="1:29" s="8" customFormat="1" ht="18.75" x14ac:dyDescent="0.2">
      <c r="A13" s="319" t="s">
        <v>4</v>
      </c>
      <c r="B13" s="319"/>
      <c r="C13" s="31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3"/>
      <c r="B14" s="333"/>
      <c r="C14" s="333"/>
      <c r="D14" s="4"/>
      <c r="E14" s="4"/>
      <c r="F14" s="4"/>
      <c r="G14" s="4"/>
      <c r="H14" s="4"/>
      <c r="I14" s="4"/>
      <c r="J14" s="4"/>
      <c r="K14" s="4"/>
      <c r="L14" s="4"/>
      <c r="M14" s="4"/>
      <c r="N14" s="4"/>
      <c r="O14" s="4"/>
      <c r="P14" s="4"/>
      <c r="Q14" s="4"/>
      <c r="R14" s="4"/>
      <c r="S14" s="4"/>
      <c r="T14" s="4"/>
      <c r="U14" s="4"/>
    </row>
    <row r="15" spans="1:29" s="3" customFormat="1" ht="33.75" customHeight="1" x14ac:dyDescent="0.2">
      <c r="A15" s="358"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58"/>
      <c r="C15" s="358"/>
      <c r="D15" s="7"/>
      <c r="E15" s="7"/>
      <c r="F15" s="7"/>
      <c r="G15" s="7"/>
      <c r="H15" s="7"/>
      <c r="I15" s="7"/>
      <c r="J15" s="7"/>
      <c r="K15" s="7"/>
      <c r="L15" s="7"/>
      <c r="M15" s="7"/>
      <c r="N15" s="7"/>
      <c r="O15" s="7"/>
      <c r="P15" s="7"/>
      <c r="Q15" s="7"/>
      <c r="R15" s="7"/>
      <c r="S15" s="7"/>
      <c r="T15" s="7"/>
      <c r="U15" s="7"/>
    </row>
    <row r="16" spans="1:29" s="3" customFormat="1" ht="15" customHeight="1" x14ac:dyDescent="0.2">
      <c r="A16" s="319" t="s">
        <v>3</v>
      </c>
      <c r="B16" s="319"/>
      <c r="C16" s="319"/>
      <c r="D16" s="5"/>
      <c r="E16" s="5"/>
      <c r="F16" s="5"/>
      <c r="G16" s="5"/>
      <c r="H16" s="5"/>
      <c r="I16" s="5"/>
      <c r="J16" s="5"/>
      <c r="K16" s="5"/>
      <c r="L16" s="5"/>
      <c r="M16" s="5"/>
      <c r="N16" s="5"/>
      <c r="O16" s="5"/>
      <c r="P16" s="5"/>
      <c r="Q16" s="5"/>
      <c r="R16" s="5"/>
      <c r="S16" s="5"/>
      <c r="T16" s="5"/>
      <c r="U16" s="5"/>
    </row>
    <row r="17" spans="1:21" s="3" customFormat="1" ht="15" customHeight="1" x14ac:dyDescent="0.2">
      <c r="A17" s="333"/>
      <c r="B17" s="333"/>
      <c r="C17" s="333"/>
      <c r="D17" s="4"/>
      <c r="E17" s="4"/>
      <c r="F17" s="4"/>
      <c r="G17" s="4"/>
      <c r="H17" s="4"/>
      <c r="I17" s="4"/>
      <c r="J17" s="4"/>
      <c r="K17" s="4"/>
      <c r="L17" s="4"/>
      <c r="M17" s="4"/>
      <c r="N17" s="4"/>
      <c r="O17" s="4"/>
      <c r="P17" s="4"/>
      <c r="Q17" s="4"/>
      <c r="R17" s="4"/>
    </row>
    <row r="18" spans="1:21" s="3" customFormat="1" ht="27.75" customHeight="1" x14ac:dyDescent="0.2">
      <c r="A18" s="320" t="s">
        <v>411</v>
      </c>
      <c r="B18" s="320"/>
      <c r="C18" s="3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2" t="s">
        <v>595</v>
      </c>
      <c r="D22" s="5"/>
      <c r="E22" s="5"/>
      <c r="F22" s="4"/>
      <c r="G22" s="4"/>
      <c r="H22" s="4"/>
      <c r="I22" s="4"/>
      <c r="J22" s="4"/>
      <c r="K22" s="4"/>
      <c r="L22" s="4"/>
      <c r="M22" s="4"/>
      <c r="N22" s="4"/>
      <c r="O22" s="4"/>
      <c r="P22" s="4"/>
    </row>
    <row r="23" spans="1:21" ht="47.25" x14ac:dyDescent="0.25">
      <c r="A23" s="22" t="s">
        <v>60</v>
      </c>
      <c r="B23" s="24" t="s">
        <v>57</v>
      </c>
      <c r="C23" s="222" t="s">
        <v>578</v>
      </c>
      <c r="E23" s="213"/>
    </row>
    <row r="24" spans="1:21" ht="63" customHeight="1" x14ac:dyDescent="0.25">
      <c r="A24" s="22" t="s">
        <v>59</v>
      </c>
      <c r="B24" s="24" t="s">
        <v>444</v>
      </c>
      <c r="C24" s="222" t="str">
        <f>A15</f>
        <v xml:space="preserve">«Реконструкция трансформаторной подстанции ТП-7 с монтажом трансформатора 15 кВ  мощностью 630 кВА  в г. Пионерске Калининградской области»
</v>
      </c>
    </row>
    <row r="25" spans="1:21" ht="63" customHeight="1" x14ac:dyDescent="0.25">
      <c r="A25" s="22" t="s">
        <v>58</v>
      </c>
      <c r="B25" s="24" t="s">
        <v>445</v>
      </c>
      <c r="C25" s="313" t="s">
        <v>601</v>
      </c>
      <c r="E25" s="149"/>
    </row>
    <row r="26" spans="1:21" ht="42.75" customHeight="1" x14ac:dyDescent="0.25">
      <c r="A26" s="22" t="s">
        <v>56</v>
      </c>
      <c r="B26" s="24" t="s">
        <v>226</v>
      </c>
      <c r="C26" s="23" t="s">
        <v>542</v>
      </c>
    </row>
    <row r="27" spans="1:21" ht="31.5" x14ac:dyDescent="0.25">
      <c r="A27" s="22" t="s">
        <v>55</v>
      </c>
      <c r="B27" s="24" t="s">
        <v>425</v>
      </c>
      <c r="C27" s="23" t="s">
        <v>575</v>
      </c>
      <c r="E27" s="213"/>
    </row>
    <row r="28" spans="1:21" ht="42.75" customHeight="1" x14ac:dyDescent="0.25">
      <c r="A28" s="22" t="s">
        <v>53</v>
      </c>
      <c r="B28" s="24" t="s">
        <v>54</v>
      </c>
      <c r="C28" s="29">
        <v>2022</v>
      </c>
    </row>
    <row r="29" spans="1:21" ht="42.75" customHeight="1" x14ac:dyDescent="0.25">
      <c r="A29" s="22" t="s">
        <v>51</v>
      </c>
      <c r="B29" s="23" t="s">
        <v>52</v>
      </c>
      <c r="C29" s="29">
        <v>2022</v>
      </c>
    </row>
    <row r="30" spans="1:21" ht="42.75" customHeight="1" x14ac:dyDescent="0.25">
      <c r="A30" s="22" t="s">
        <v>69</v>
      </c>
      <c r="B30" s="23" t="s">
        <v>50</v>
      </c>
      <c r="C30" s="23" t="s">
        <v>605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0"/>
      <c r="AB6" s="10"/>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5"/>
      <c r="AB9" s="5"/>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0"/>
      <c r="AB10" s="10"/>
    </row>
    <row r="11" spans="1:28" x14ac:dyDescent="0.25">
      <c r="A11" s="329" t="str">
        <f>'1. паспорт местоположение'!A12:C12</f>
        <v>M 22-02</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5"/>
      <c r="AB12" s="5"/>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9"/>
      <c r="AB13" s="9"/>
    </row>
    <row r="14" spans="1:28" x14ac:dyDescent="0.25">
      <c r="A14"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5"/>
      <c r="AB15" s="5"/>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5"/>
      <c r="AB16" s="15"/>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5"/>
      <c r="AB17" s="15"/>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5"/>
      <c r="AB18" s="15"/>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5"/>
      <c r="AB19" s="15"/>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5"/>
      <c r="AB20" s="15"/>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5"/>
      <c r="AB21" s="15"/>
    </row>
    <row r="22" spans="1:28" x14ac:dyDescent="0.25">
      <c r="A22" s="361" t="s">
        <v>443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21"/>
      <c r="AB22" s="121"/>
    </row>
    <row r="23" spans="1:28" ht="32.25" customHeight="1" x14ac:dyDescent="0.25">
      <c r="A23" s="363" t="s">
        <v>297</v>
      </c>
      <c r="B23" s="364"/>
      <c r="C23" s="364"/>
      <c r="D23" s="364"/>
      <c r="E23" s="364"/>
      <c r="F23" s="364"/>
      <c r="G23" s="364"/>
      <c r="H23" s="364"/>
      <c r="I23" s="364"/>
      <c r="J23" s="364"/>
      <c r="K23" s="364"/>
      <c r="L23" s="365"/>
      <c r="M23" s="362" t="s">
        <v>298</v>
      </c>
      <c r="N23" s="362"/>
      <c r="O23" s="362"/>
      <c r="P23" s="362"/>
      <c r="Q23" s="362"/>
      <c r="R23" s="362"/>
      <c r="S23" s="362"/>
      <c r="T23" s="362"/>
      <c r="U23" s="362"/>
      <c r="V23" s="362"/>
      <c r="W23" s="362"/>
      <c r="X23" s="362"/>
      <c r="Y23" s="362"/>
      <c r="Z23" s="362"/>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2"/>
      <c r="B26" s="162"/>
      <c r="C26" s="163"/>
      <c r="D26" s="163"/>
      <c r="E26" s="163"/>
      <c r="F26" s="163"/>
      <c r="G26" s="163"/>
      <c r="H26" s="163"/>
      <c r="I26" s="163"/>
      <c r="J26" s="163"/>
      <c r="K26" s="163"/>
      <c r="L26" s="164"/>
      <c r="M26" s="165"/>
      <c r="N26" s="163"/>
      <c r="O26" s="164"/>
      <c r="P26" s="164"/>
      <c r="Q26" s="164"/>
      <c r="R26" s="164"/>
      <c r="S26" s="164"/>
      <c r="T26" s="164"/>
      <c r="U26" s="164"/>
      <c r="V26" s="211"/>
      <c r="W26" s="211"/>
      <c r="X26" s="211"/>
      <c r="Y26" s="212"/>
      <c r="Z26" s="166"/>
    </row>
    <row r="27" spans="1:28" x14ac:dyDescent="0.25">
      <c r="A27" s="163"/>
      <c r="B27" s="162"/>
      <c r="C27" s="163"/>
      <c r="D27" s="163"/>
      <c r="E27" s="163"/>
      <c r="F27" s="163"/>
      <c r="G27" s="163"/>
      <c r="H27" s="163"/>
      <c r="I27" s="163"/>
      <c r="J27" s="163"/>
      <c r="K27" s="164"/>
      <c r="L27" s="163"/>
      <c r="M27" s="164"/>
      <c r="N27" s="163"/>
      <c r="O27" s="163"/>
      <c r="P27" s="163"/>
      <c r="Q27" s="163"/>
      <c r="R27" s="163"/>
      <c r="S27" s="163"/>
      <c r="T27" s="163"/>
      <c r="U27" s="163"/>
      <c r="V27" s="163"/>
      <c r="W27" s="163"/>
      <c r="X27" s="163"/>
      <c r="Y27" s="163"/>
      <c r="Z27" s="167"/>
    </row>
    <row r="28" spans="1:28" x14ac:dyDescent="0.25">
      <c r="A28" s="162"/>
      <c r="B28" s="162"/>
      <c r="C28" s="168"/>
      <c r="D28" s="169"/>
      <c r="E28" s="170"/>
      <c r="F28" s="163"/>
      <c r="G28" s="163"/>
      <c r="H28" s="163"/>
      <c r="I28" s="171"/>
      <c r="J28" s="163"/>
      <c r="K28" s="163"/>
      <c r="L28" s="163"/>
      <c r="M28" s="163"/>
      <c r="N28" s="163"/>
      <c r="O28" s="163"/>
      <c r="P28" s="163"/>
      <c r="Q28" s="163"/>
      <c r="R28" s="163"/>
      <c r="S28" s="163"/>
      <c r="T28" s="163"/>
      <c r="U28" s="163"/>
      <c r="V28" s="163"/>
      <c r="W28" s="163"/>
      <c r="X28" s="163"/>
      <c r="Y28" s="163"/>
      <c r="Z28" s="172"/>
    </row>
    <row r="29" spans="1:28" x14ac:dyDescent="0.25">
      <c r="A29" s="163">
        <v>2015</v>
      </c>
      <c r="B29" s="162" t="s">
        <v>569</v>
      </c>
      <c r="C29" s="168">
        <v>1.1667000000000001</v>
      </c>
      <c r="D29" s="169">
        <v>283</v>
      </c>
      <c r="E29" s="170">
        <v>0.11656810000000001</v>
      </c>
      <c r="F29" s="163">
        <v>330.17610000000002</v>
      </c>
      <c r="G29" s="163">
        <v>0.13600000227000003</v>
      </c>
      <c r="H29" s="163">
        <v>85140</v>
      </c>
      <c r="I29" s="163"/>
      <c r="J29" s="163"/>
      <c r="K29" s="163" t="s">
        <v>560</v>
      </c>
      <c r="L29" s="163" t="s">
        <v>561</v>
      </c>
      <c r="M29" s="163"/>
      <c r="N29" s="163"/>
      <c r="O29" s="163"/>
      <c r="P29" s="163"/>
      <c r="Q29" s="163"/>
      <c r="R29" s="163"/>
      <c r="S29" s="163"/>
      <c r="T29" s="163"/>
      <c r="U29" s="163"/>
      <c r="V29" s="163"/>
      <c r="W29" s="163"/>
      <c r="X29" s="163"/>
      <c r="Y29" s="163"/>
      <c r="Z29" s="167"/>
    </row>
    <row r="33" spans="1:1" x14ac:dyDescent="0.25">
      <c r="A33"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120"/>
      <c r="Q5" s="120"/>
      <c r="R5" s="120"/>
      <c r="S5" s="120"/>
      <c r="T5" s="120"/>
      <c r="U5" s="120"/>
      <c r="V5" s="120"/>
      <c r="W5" s="120"/>
      <c r="X5" s="120"/>
      <c r="Y5" s="120"/>
      <c r="Z5" s="120"/>
      <c r="AA5" s="120"/>
      <c r="AB5" s="120"/>
    </row>
    <row r="6" spans="1:28" s="8" customFormat="1" ht="18.75" x14ac:dyDescent="0.3">
      <c r="A6" s="13"/>
      <c r="B6" s="13"/>
      <c r="L6" s="12"/>
    </row>
    <row r="7" spans="1:28" s="8" customFormat="1" ht="18.75" x14ac:dyDescent="0.2">
      <c r="A7" s="322" t="s">
        <v>6</v>
      </c>
      <c r="B7" s="322"/>
      <c r="C7" s="322"/>
      <c r="D7" s="322"/>
      <c r="E7" s="322"/>
      <c r="F7" s="322"/>
      <c r="G7" s="322"/>
      <c r="H7" s="322"/>
      <c r="I7" s="322"/>
      <c r="J7" s="322"/>
      <c r="K7" s="322"/>
      <c r="L7" s="322"/>
      <c r="M7" s="322"/>
      <c r="N7" s="322"/>
      <c r="O7" s="322"/>
      <c r="P7" s="10"/>
      <c r="Q7" s="10"/>
      <c r="R7" s="10"/>
      <c r="S7" s="10"/>
      <c r="T7" s="10"/>
      <c r="U7" s="10"/>
      <c r="V7" s="10"/>
      <c r="W7" s="10"/>
      <c r="X7" s="10"/>
      <c r="Y7" s="10"/>
      <c r="Z7" s="10"/>
    </row>
    <row r="8" spans="1:28" s="8" customFormat="1" ht="18.75" x14ac:dyDescent="0.2">
      <c r="A8" s="322"/>
      <c r="B8" s="322"/>
      <c r="C8" s="322"/>
      <c r="D8" s="322"/>
      <c r="E8" s="322"/>
      <c r="F8" s="322"/>
      <c r="G8" s="322"/>
      <c r="H8" s="322"/>
      <c r="I8" s="322"/>
      <c r="J8" s="322"/>
      <c r="K8" s="322"/>
      <c r="L8" s="322"/>
      <c r="M8" s="322"/>
      <c r="N8" s="322"/>
      <c r="O8" s="322"/>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19" t="s">
        <v>5</v>
      </c>
      <c r="B10" s="319"/>
      <c r="C10" s="319"/>
      <c r="D10" s="319"/>
      <c r="E10" s="319"/>
      <c r="F10" s="319"/>
      <c r="G10" s="319"/>
      <c r="H10" s="319"/>
      <c r="I10" s="319"/>
      <c r="J10" s="319"/>
      <c r="K10" s="319"/>
      <c r="L10" s="319"/>
      <c r="M10" s="319"/>
      <c r="N10" s="319"/>
      <c r="O10" s="319"/>
      <c r="P10" s="10"/>
      <c r="Q10" s="10"/>
      <c r="R10" s="10"/>
      <c r="S10" s="10"/>
      <c r="T10" s="10"/>
      <c r="U10" s="10"/>
      <c r="V10" s="10"/>
      <c r="W10" s="10"/>
      <c r="X10" s="10"/>
      <c r="Y10" s="10"/>
      <c r="Z10" s="10"/>
    </row>
    <row r="11" spans="1:28" s="8" customFormat="1" ht="18.75" x14ac:dyDescent="0.2">
      <c r="A11" s="322"/>
      <c r="B11" s="322"/>
      <c r="C11" s="322"/>
      <c r="D11" s="322"/>
      <c r="E11" s="322"/>
      <c r="F11" s="322"/>
      <c r="G11" s="322"/>
      <c r="H11" s="322"/>
      <c r="I11" s="322"/>
      <c r="J11" s="322"/>
      <c r="K11" s="322"/>
      <c r="L11" s="322"/>
      <c r="M11" s="322"/>
      <c r="N11" s="322"/>
      <c r="O11" s="322"/>
      <c r="P11" s="10"/>
      <c r="Q11" s="10"/>
      <c r="R11" s="10"/>
      <c r="S11" s="10"/>
      <c r="T11" s="10"/>
      <c r="U11" s="10"/>
      <c r="V11" s="10"/>
      <c r="W11" s="10"/>
      <c r="X11" s="10"/>
      <c r="Y11" s="10"/>
      <c r="Z11" s="10"/>
    </row>
    <row r="12" spans="1:28" s="8" customFormat="1" ht="18.75" x14ac:dyDescent="0.2">
      <c r="A12" s="329" t="str">
        <f>'1. паспорт местоположение'!A12:C12</f>
        <v>M 22-02</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19" t="s">
        <v>4</v>
      </c>
      <c r="B13" s="319"/>
      <c r="C13" s="319"/>
      <c r="D13" s="319"/>
      <c r="E13" s="319"/>
      <c r="F13" s="319"/>
      <c r="G13" s="319"/>
      <c r="H13" s="319"/>
      <c r="I13" s="319"/>
      <c r="J13" s="319"/>
      <c r="K13" s="319"/>
      <c r="L13" s="319"/>
      <c r="M13" s="319"/>
      <c r="N13" s="319"/>
      <c r="O13" s="319"/>
      <c r="P13" s="10"/>
      <c r="Q13" s="10"/>
      <c r="R13" s="10"/>
      <c r="S13" s="10"/>
      <c r="T13" s="10"/>
      <c r="U13" s="10"/>
      <c r="V13" s="10"/>
      <c r="W13" s="10"/>
      <c r="X13" s="10"/>
      <c r="Y13" s="10"/>
      <c r="Z13" s="10"/>
    </row>
    <row r="14" spans="1:28" s="8" customFormat="1" ht="15.75" customHeight="1" x14ac:dyDescent="0.2">
      <c r="A14" s="333"/>
      <c r="B14" s="333"/>
      <c r="C14" s="333"/>
      <c r="D14" s="333"/>
      <c r="E14" s="333"/>
      <c r="F14" s="333"/>
      <c r="G14" s="333"/>
      <c r="H14" s="333"/>
      <c r="I14" s="333"/>
      <c r="J14" s="333"/>
      <c r="K14" s="333"/>
      <c r="L14" s="333"/>
      <c r="M14" s="333"/>
      <c r="N14" s="333"/>
      <c r="O14" s="333"/>
      <c r="P14" s="4"/>
      <c r="Q14" s="4"/>
      <c r="R14" s="4"/>
      <c r="S14" s="4"/>
      <c r="T14" s="4"/>
      <c r="U14" s="4"/>
      <c r="V14" s="4"/>
      <c r="W14" s="4"/>
      <c r="X14" s="4"/>
      <c r="Y14" s="4"/>
      <c r="Z14" s="4"/>
    </row>
    <row r="15" spans="1:28" s="3" customFormat="1" ht="12" x14ac:dyDescent="0.2">
      <c r="A15"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19" t="s">
        <v>3</v>
      </c>
      <c r="B16" s="319"/>
      <c r="C16" s="319"/>
      <c r="D16" s="319"/>
      <c r="E16" s="319"/>
      <c r="F16" s="319"/>
      <c r="G16" s="319"/>
      <c r="H16" s="319"/>
      <c r="I16" s="319"/>
      <c r="J16" s="319"/>
      <c r="K16" s="319"/>
      <c r="L16" s="319"/>
      <c r="M16" s="319"/>
      <c r="N16" s="319"/>
      <c r="O16" s="319"/>
      <c r="P16" s="5"/>
      <c r="Q16" s="5"/>
      <c r="R16" s="5"/>
      <c r="S16" s="5"/>
      <c r="T16" s="5"/>
      <c r="U16" s="5"/>
      <c r="V16" s="5"/>
      <c r="W16" s="5"/>
      <c r="X16" s="5"/>
      <c r="Y16" s="5"/>
      <c r="Z16" s="5"/>
    </row>
    <row r="17" spans="1:26" s="3" customFormat="1" ht="15" customHeight="1" x14ac:dyDescent="0.2">
      <c r="A17" s="333"/>
      <c r="B17" s="333"/>
      <c r="C17" s="333"/>
      <c r="D17" s="333"/>
      <c r="E17" s="333"/>
      <c r="F17" s="333"/>
      <c r="G17" s="333"/>
      <c r="H17" s="333"/>
      <c r="I17" s="333"/>
      <c r="J17" s="333"/>
      <c r="K17" s="333"/>
      <c r="L17" s="333"/>
      <c r="M17" s="333"/>
      <c r="N17" s="333"/>
      <c r="O17" s="333"/>
      <c r="P17" s="4"/>
      <c r="Q17" s="4"/>
      <c r="R17" s="4"/>
      <c r="S17" s="4"/>
      <c r="T17" s="4"/>
      <c r="U17" s="4"/>
      <c r="V17" s="4"/>
      <c r="W17" s="4"/>
    </row>
    <row r="18" spans="1:26" s="3" customFormat="1" ht="91.5" customHeight="1" x14ac:dyDescent="0.2">
      <c r="A18" s="370" t="s">
        <v>420</v>
      </c>
      <c r="B18" s="370"/>
      <c r="C18" s="370"/>
      <c r="D18" s="370"/>
      <c r="E18" s="370"/>
      <c r="F18" s="370"/>
      <c r="G18" s="370"/>
      <c r="H18" s="370"/>
      <c r="I18" s="370"/>
      <c r="J18" s="370"/>
      <c r="K18" s="370"/>
      <c r="L18" s="370"/>
      <c r="M18" s="370"/>
      <c r="N18" s="370"/>
      <c r="O18" s="370"/>
      <c r="P18" s="6"/>
      <c r="Q18" s="6"/>
      <c r="R18" s="6"/>
      <c r="S18" s="6"/>
      <c r="T18" s="6"/>
      <c r="U18" s="6"/>
      <c r="V18" s="6"/>
      <c r="W18" s="6"/>
      <c r="X18" s="6"/>
      <c r="Y18" s="6"/>
      <c r="Z18" s="6"/>
    </row>
    <row r="19" spans="1:26" s="3" customFormat="1" ht="78" customHeight="1" x14ac:dyDescent="0.2">
      <c r="A19" s="366" t="s">
        <v>2</v>
      </c>
      <c r="B19" s="366" t="s">
        <v>81</v>
      </c>
      <c r="C19" s="366" t="s">
        <v>80</v>
      </c>
      <c r="D19" s="366" t="s">
        <v>72</v>
      </c>
      <c r="E19" s="367" t="s">
        <v>79</v>
      </c>
      <c r="F19" s="368"/>
      <c r="G19" s="368"/>
      <c r="H19" s="368"/>
      <c r="I19" s="369"/>
      <c r="J19" s="366" t="s">
        <v>78</v>
      </c>
      <c r="K19" s="366"/>
      <c r="L19" s="366"/>
      <c r="M19" s="366"/>
      <c r="N19" s="366"/>
      <c r="O19" s="366"/>
      <c r="P19" s="4"/>
      <c r="Q19" s="4"/>
      <c r="R19" s="4"/>
      <c r="S19" s="4"/>
      <c r="T19" s="4"/>
      <c r="U19" s="4"/>
      <c r="V19" s="4"/>
      <c r="W19" s="4"/>
    </row>
    <row r="20" spans="1:26" s="3" customFormat="1" ht="51" customHeight="1" x14ac:dyDescent="0.2">
      <c r="A20" s="366"/>
      <c r="B20" s="366"/>
      <c r="C20" s="366"/>
      <c r="D20" s="366"/>
      <c r="E20" s="204" t="s">
        <v>77</v>
      </c>
      <c r="F20" s="204" t="s">
        <v>76</v>
      </c>
      <c r="G20" s="204" t="s">
        <v>75</v>
      </c>
      <c r="H20" s="204" t="s">
        <v>74</v>
      </c>
      <c r="I20" s="204" t="s">
        <v>73</v>
      </c>
      <c r="J20" s="204">
        <v>2018</v>
      </c>
      <c r="K20" s="204">
        <v>2019</v>
      </c>
      <c r="L20" s="204">
        <v>2020</v>
      </c>
      <c r="M20" s="204">
        <v>2021</v>
      </c>
      <c r="N20" s="204">
        <v>2022</v>
      </c>
      <c r="O20" s="204">
        <v>2023</v>
      </c>
      <c r="P20" s="4"/>
      <c r="Q20" s="4"/>
      <c r="R20" s="4"/>
      <c r="S20" s="4"/>
      <c r="T20" s="4"/>
      <c r="U20" s="4"/>
      <c r="V20" s="4"/>
      <c r="W20" s="4"/>
    </row>
    <row r="21" spans="1:26" s="3" customFormat="1" ht="16.5" customHeight="1" x14ac:dyDescent="0.2">
      <c r="A21" s="205">
        <v>1</v>
      </c>
      <c r="B21" s="143">
        <v>2</v>
      </c>
      <c r="C21" s="205">
        <v>3</v>
      </c>
      <c r="D21" s="143">
        <v>4</v>
      </c>
      <c r="E21" s="205">
        <v>5</v>
      </c>
      <c r="F21" s="143">
        <v>6</v>
      </c>
      <c r="G21" s="205">
        <v>7</v>
      </c>
      <c r="H21" s="143">
        <v>8</v>
      </c>
      <c r="I21" s="205">
        <v>9</v>
      </c>
      <c r="J21" s="143">
        <v>10</v>
      </c>
      <c r="K21" s="205">
        <v>11</v>
      </c>
      <c r="L21" s="143">
        <v>12</v>
      </c>
      <c r="M21" s="205">
        <v>13</v>
      </c>
      <c r="N21" s="143">
        <v>14</v>
      </c>
      <c r="O21" s="205">
        <v>15</v>
      </c>
      <c r="P21" s="4"/>
      <c r="Q21" s="4"/>
      <c r="R21" s="4"/>
      <c r="S21" s="4"/>
      <c r="T21" s="4"/>
      <c r="U21" s="4"/>
      <c r="V21" s="4"/>
      <c r="W21" s="4"/>
    </row>
    <row r="22" spans="1:26" s="3" customFormat="1" ht="33" customHeight="1" x14ac:dyDescent="0.2">
      <c r="A22" s="206" t="s">
        <v>61</v>
      </c>
      <c r="B22" s="207" t="s">
        <v>567</v>
      </c>
      <c r="C22" s="208">
        <v>0</v>
      </c>
      <c r="D22" s="208">
        <v>0</v>
      </c>
      <c r="E22" s="208">
        <v>0</v>
      </c>
      <c r="F22" s="208">
        <v>0</v>
      </c>
      <c r="G22" s="208">
        <v>0</v>
      </c>
      <c r="H22" s="208">
        <v>0</v>
      </c>
      <c r="I22" s="208">
        <v>0</v>
      </c>
      <c r="J22" s="209">
        <v>0</v>
      </c>
      <c r="K22" s="209">
        <v>0</v>
      </c>
      <c r="L22" s="210">
        <v>0</v>
      </c>
      <c r="M22" s="210">
        <v>0</v>
      </c>
      <c r="N22" s="210">
        <v>0</v>
      </c>
      <c r="O22" s="210">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6" workbookViewId="0">
      <selection activeCell="J37" sqref="J37"/>
    </sheetView>
  </sheetViews>
  <sheetFormatPr defaultRowHeight="12.75" x14ac:dyDescent="0.2"/>
  <cols>
    <col min="1" max="1" width="66.140625" style="236" customWidth="1"/>
    <col min="2" max="2" width="17.140625" style="236" customWidth="1"/>
    <col min="3" max="3" width="13.85546875" style="236" customWidth="1"/>
    <col min="4" max="5" width="13.5703125" style="236" customWidth="1"/>
    <col min="6" max="6" width="14.5703125" style="236" customWidth="1"/>
    <col min="7" max="7" width="13.42578125" style="236" customWidth="1"/>
    <col min="8" max="12" width="15.42578125" style="236" customWidth="1"/>
    <col min="13" max="13" width="15.42578125" style="236" hidden="1" customWidth="1"/>
    <col min="14" max="14" width="15.42578125" style="308" hidden="1" customWidth="1"/>
    <col min="15" max="19" width="15.42578125" style="236" hidden="1" customWidth="1"/>
    <col min="20" max="29" width="17.28515625" style="236" hidden="1" customWidth="1"/>
    <col min="30" max="31" width="17.28515625" style="226" hidden="1" customWidth="1"/>
    <col min="32" max="16384" width="9.140625" style="226"/>
  </cols>
  <sheetData>
    <row r="1" spans="1:45" x14ac:dyDescent="0.2">
      <c r="A1" s="223"/>
      <c r="B1" s="224"/>
      <c r="C1" s="224"/>
      <c r="D1" s="224"/>
      <c r="E1" s="224"/>
      <c r="F1" s="224"/>
      <c r="G1" s="224"/>
      <c r="H1" s="224"/>
      <c r="I1" s="224"/>
      <c r="J1" s="224"/>
      <c r="K1" s="225"/>
      <c r="L1" s="224"/>
      <c r="M1" s="224"/>
      <c r="N1" s="224"/>
      <c r="O1" s="224"/>
      <c r="P1" s="225" t="s">
        <v>65</v>
      </c>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P1" s="227"/>
      <c r="AQ1" s="227"/>
      <c r="AR1" s="228"/>
      <c r="AS1" s="228"/>
    </row>
    <row r="2" spans="1:45" x14ac:dyDescent="0.2">
      <c r="A2" s="223"/>
      <c r="B2" s="224"/>
      <c r="C2" s="224"/>
      <c r="D2" s="224"/>
      <c r="E2" s="224"/>
      <c r="F2" s="224"/>
      <c r="G2" s="224"/>
      <c r="H2" s="224"/>
      <c r="I2" s="224"/>
      <c r="J2" s="224"/>
      <c r="K2" s="229"/>
      <c r="L2" s="224"/>
      <c r="M2" s="224"/>
      <c r="N2" s="224"/>
      <c r="O2" s="224"/>
      <c r="P2" s="229" t="s">
        <v>7</v>
      </c>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P2" s="227"/>
      <c r="AQ2" s="227"/>
      <c r="AR2" s="228"/>
      <c r="AS2" s="228"/>
    </row>
    <row r="3" spans="1:45" x14ac:dyDescent="0.2">
      <c r="A3" s="230"/>
      <c r="B3" s="224"/>
      <c r="C3" s="224"/>
      <c r="D3" s="224"/>
      <c r="E3" s="224"/>
      <c r="F3" s="224"/>
      <c r="G3" s="224"/>
      <c r="H3" s="224"/>
      <c r="I3" s="224"/>
      <c r="J3" s="224"/>
      <c r="K3" s="229"/>
      <c r="L3" s="224"/>
      <c r="M3" s="224"/>
      <c r="N3" s="224"/>
      <c r="O3" s="224"/>
      <c r="P3" s="229" t="s">
        <v>287</v>
      </c>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P3" s="227"/>
      <c r="AQ3" s="227"/>
      <c r="AR3" s="228"/>
      <c r="AS3" s="228"/>
    </row>
    <row r="4" spans="1:45" x14ac:dyDescent="0.2">
      <c r="A4" s="231"/>
      <c r="B4" s="223"/>
      <c r="C4" s="223"/>
      <c r="D4" s="223"/>
      <c r="E4" s="223"/>
      <c r="F4" s="223"/>
      <c r="G4" s="223"/>
      <c r="H4" s="223"/>
      <c r="I4" s="223"/>
      <c r="J4" s="223"/>
      <c r="K4" s="229"/>
      <c r="L4" s="223"/>
      <c r="M4" s="223"/>
      <c r="N4" s="223"/>
      <c r="O4" s="223"/>
      <c r="P4" s="223"/>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7"/>
      <c r="AQ4" s="227"/>
      <c r="AR4" s="228"/>
      <c r="AS4" s="228"/>
    </row>
    <row r="5" spans="1:45" x14ac:dyDescent="0.2">
      <c r="A5" s="379" t="str">
        <f>'1. паспорт местоположение'!A5:C5</f>
        <v>Год раскрытия информации: 2023 год</v>
      </c>
      <c r="B5" s="379"/>
      <c r="C5" s="379"/>
      <c r="D5" s="379"/>
      <c r="E5" s="379"/>
      <c r="F5" s="379"/>
      <c r="G5" s="379"/>
      <c r="H5" s="379"/>
      <c r="I5" s="379"/>
      <c r="J5" s="379"/>
      <c r="K5" s="379"/>
      <c r="L5" s="379"/>
      <c r="M5" s="379"/>
      <c r="N5" s="379"/>
      <c r="O5" s="379"/>
      <c r="P5" s="379"/>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27"/>
      <c r="AQ5" s="227"/>
      <c r="AR5" s="228"/>
      <c r="AS5" s="228"/>
    </row>
    <row r="6" spans="1:45" x14ac:dyDescent="0.2">
      <c r="A6" s="231"/>
      <c r="B6" s="223"/>
      <c r="C6" s="223"/>
      <c r="D6" s="223"/>
      <c r="E6" s="223"/>
      <c r="F6" s="223"/>
      <c r="G6" s="223"/>
      <c r="H6" s="223"/>
      <c r="I6" s="223"/>
      <c r="J6" s="223"/>
      <c r="K6" s="229"/>
      <c r="L6" s="223"/>
      <c r="M6" s="223"/>
      <c r="N6" s="223"/>
      <c r="O6" s="223"/>
      <c r="P6" s="223"/>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7"/>
      <c r="AQ6" s="227"/>
      <c r="AR6" s="228"/>
      <c r="AS6" s="228"/>
    </row>
    <row r="7" spans="1:45" x14ac:dyDescent="0.2">
      <c r="A7" s="379" t="s">
        <v>6</v>
      </c>
      <c r="B7" s="379"/>
      <c r="C7" s="379"/>
      <c r="D7" s="379"/>
      <c r="E7" s="379"/>
      <c r="F7" s="379"/>
      <c r="G7" s="379"/>
      <c r="H7" s="379"/>
      <c r="I7" s="379"/>
      <c r="J7" s="379"/>
      <c r="K7" s="379"/>
      <c r="L7" s="379"/>
      <c r="M7" s="379"/>
      <c r="N7" s="379"/>
      <c r="O7" s="379"/>
      <c r="P7" s="379"/>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27"/>
      <c r="AQ7" s="227"/>
      <c r="AR7" s="228"/>
      <c r="AS7" s="228"/>
    </row>
    <row r="8" spans="1:45" x14ac:dyDescent="0.2">
      <c r="A8" s="234"/>
      <c r="B8" s="234"/>
      <c r="C8" s="234"/>
      <c r="D8" s="234"/>
      <c r="E8" s="234"/>
      <c r="F8" s="234"/>
      <c r="G8" s="234"/>
      <c r="H8" s="234"/>
      <c r="I8" s="234"/>
      <c r="J8" s="234"/>
      <c r="K8" s="234"/>
      <c r="L8" s="232"/>
      <c r="M8" s="232"/>
      <c r="N8" s="232"/>
      <c r="O8" s="232"/>
      <c r="P8" s="232"/>
      <c r="Q8" s="233"/>
      <c r="R8" s="233"/>
      <c r="S8" s="233"/>
      <c r="T8" s="233"/>
      <c r="U8" s="233"/>
      <c r="V8" s="233"/>
      <c r="W8" s="233"/>
      <c r="X8" s="233"/>
      <c r="Y8" s="233"/>
      <c r="Z8" s="224"/>
      <c r="AA8" s="224"/>
      <c r="AB8" s="224"/>
      <c r="AC8" s="224"/>
      <c r="AD8" s="224"/>
      <c r="AE8" s="224"/>
      <c r="AF8" s="224"/>
      <c r="AG8" s="224"/>
      <c r="AH8" s="224"/>
      <c r="AI8" s="224"/>
      <c r="AJ8" s="224"/>
      <c r="AK8" s="224"/>
      <c r="AL8" s="224"/>
      <c r="AM8" s="224"/>
      <c r="AN8" s="224"/>
      <c r="AO8" s="224"/>
      <c r="AP8" s="227"/>
      <c r="AQ8" s="227"/>
      <c r="AR8" s="228"/>
      <c r="AS8" s="228"/>
    </row>
    <row r="9" spans="1:45" x14ac:dyDescent="0.2">
      <c r="A9" s="380" t="str">
        <f>'1. паспорт местоположение'!A9:C9</f>
        <v xml:space="preserve">Акционерное общество "Западная энергетическая компания" </v>
      </c>
      <c r="B9" s="380"/>
      <c r="C9" s="380"/>
      <c r="D9" s="380"/>
      <c r="E9" s="380"/>
      <c r="F9" s="380"/>
      <c r="G9" s="380"/>
      <c r="H9" s="380"/>
      <c r="I9" s="380"/>
      <c r="J9" s="380"/>
      <c r="K9" s="380"/>
      <c r="L9" s="380"/>
      <c r="M9" s="380"/>
      <c r="N9" s="380"/>
      <c r="O9" s="380"/>
      <c r="P9" s="380"/>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27"/>
      <c r="AQ9" s="227"/>
      <c r="AR9" s="228"/>
      <c r="AS9" s="228"/>
    </row>
    <row r="10" spans="1:45" x14ac:dyDescent="0.2">
      <c r="A10" s="378" t="s">
        <v>5</v>
      </c>
      <c r="B10" s="378"/>
      <c r="C10" s="378"/>
      <c r="D10" s="378"/>
      <c r="E10" s="378"/>
      <c r="F10" s="378"/>
      <c r="G10" s="378"/>
      <c r="H10" s="378"/>
      <c r="I10" s="378"/>
      <c r="J10" s="378"/>
      <c r="K10" s="378"/>
      <c r="L10" s="378"/>
      <c r="M10" s="378"/>
      <c r="N10" s="378"/>
      <c r="O10" s="378"/>
      <c r="P10" s="378"/>
      <c r="AD10" s="236"/>
      <c r="AE10" s="236"/>
      <c r="AF10" s="236"/>
      <c r="AG10" s="236"/>
      <c r="AH10" s="236"/>
      <c r="AI10" s="236"/>
      <c r="AJ10" s="236"/>
      <c r="AK10" s="236"/>
      <c r="AL10" s="236"/>
      <c r="AM10" s="236"/>
      <c r="AN10" s="236"/>
      <c r="AO10" s="236"/>
      <c r="AP10" s="227"/>
      <c r="AQ10" s="227"/>
      <c r="AR10" s="228"/>
      <c r="AS10" s="228"/>
    </row>
    <row r="11" spans="1:45" x14ac:dyDescent="0.2">
      <c r="A11" s="234"/>
      <c r="B11" s="234"/>
      <c r="C11" s="234"/>
      <c r="D11" s="234"/>
      <c r="E11" s="234"/>
      <c r="F11" s="234"/>
      <c r="G11" s="234"/>
      <c r="H11" s="234"/>
      <c r="I11" s="234"/>
      <c r="J11" s="234"/>
      <c r="K11" s="234"/>
      <c r="L11" s="232"/>
      <c r="M11" s="232"/>
      <c r="N11" s="232"/>
      <c r="O11" s="232"/>
      <c r="P11" s="232"/>
      <c r="Q11" s="233"/>
      <c r="R11" s="233"/>
      <c r="S11" s="233"/>
      <c r="T11" s="233"/>
      <c r="U11" s="233"/>
      <c r="V11" s="233"/>
      <c r="W11" s="233"/>
      <c r="X11" s="233"/>
      <c r="Y11" s="233"/>
      <c r="Z11" s="224"/>
      <c r="AA11" s="224"/>
      <c r="AB11" s="224"/>
      <c r="AC11" s="224"/>
      <c r="AD11" s="224"/>
      <c r="AE11" s="224"/>
      <c r="AF11" s="224"/>
      <c r="AG11" s="224"/>
      <c r="AH11" s="224"/>
      <c r="AI11" s="224"/>
      <c r="AJ11" s="224"/>
      <c r="AK11" s="224"/>
      <c r="AL11" s="224"/>
      <c r="AM11" s="224"/>
      <c r="AN11" s="224"/>
      <c r="AO11" s="224"/>
      <c r="AP11" s="227"/>
      <c r="AQ11" s="227"/>
      <c r="AR11" s="228"/>
      <c r="AS11" s="228"/>
    </row>
    <row r="12" spans="1:45" x14ac:dyDescent="0.2">
      <c r="A12" s="380" t="str">
        <f>'1. паспорт местоположение'!A12:C12</f>
        <v>M 22-02</v>
      </c>
      <c r="B12" s="380"/>
      <c r="C12" s="380"/>
      <c r="D12" s="380"/>
      <c r="E12" s="380"/>
      <c r="F12" s="380"/>
      <c r="G12" s="380"/>
      <c r="H12" s="380"/>
      <c r="I12" s="380"/>
      <c r="J12" s="380"/>
      <c r="K12" s="380"/>
      <c r="L12" s="380"/>
      <c r="M12" s="380"/>
      <c r="N12" s="380"/>
      <c r="O12" s="380"/>
      <c r="P12" s="380"/>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27"/>
      <c r="AQ12" s="227"/>
      <c r="AR12" s="228"/>
      <c r="AS12" s="228"/>
    </row>
    <row r="13" spans="1:45" x14ac:dyDescent="0.2">
      <c r="A13" s="378" t="s">
        <v>4</v>
      </c>
      <c r="B13" s="378"/>
      <c r="C13" s="378"/>
      <c r="D13" s="378"/>
      <c r="E13" s="378"/>
      <c r="F13" s="378"/>
      <c r="G13" s="378"/>
      <c r="H13" s="378"/>
      <c r="I13" s="378"/>
      <c r="J13" s="378"/>
      <c r="K13" s="378"/>
      <c r="L13" s="378"/>
      <c r="M13" s="378"/>
      <c r="N13" s="378"/>
      <c r="O13" s="378"/>
      <c r="P13" s="378"/>
      <c r="AD13" s="236"/>
      <c r="AE13" s="236"/>
      <c r="AF13" s="236"/>
      <c r="AG13" s="236"/>
      <c r="AH13" s="236"/>
      <c r="AI13" s="236"/>
      <c r="AJ13" s="236"/>
      <c r="AK13" s="236"/>
      <c r="AL13" s="236"/>
      <c r="AM13" s="236"/>
      <c r="AN13" s="236"/>
      <c r="AO13" s="236"/>
      <c r="AP13" s="227"/>
      <c r="AQ13" s="227"/>
      <c r="AR13" s="228"/>
      <c r="AS13" s="228"/>
    </row>
    <row r="14" spans="1:45" x14ac:dyDescent="0.2">
      <c r="A14" s="237"/>
      <c r="B14" s="237"/>
      <c r="C14" s="237"/>
      <c r="D14" s="237"/>
      <c r="E14" s="237"/>
      <c r="F14" s="237"/>
      <c r="G14" s="237"/>
      <c r="H14" s="237"/>
      <c r="I14" s="237"/>
      <c r="J14" s="237"/>
      <c r="K14" s="237"/>
      <c r="L14" s="237"/>
      <c r="M14" s="237"/>
      <c r="N14" s="237"/>
      <c r="O14" s="237"/>
      <c r="P14" s="237"/>
      <c r="Q14" s="238"/>
      <c r="R14" s="238"/>
      <c r="S14" s="238"/>
      <c r="T14" s="238"/>
      <c r="U14" s="238"/>
      <c r="V14" s="238"/>
      <c r="W14" s="238"/>
      <c r="X14" s="238"/>
      <c r="Y14" s="238"/>
      <c r="Z14" s="224"/>
      <c r="AA14" s="224"/>
      <c r="AB14" s="224"/>
      <c r="AC14" s="224"/>
      <c r="AD14" s="224"/>
      <c r="AE14" s="224"/>
      <c r="AF14" s="224"/>
      <c r="AG14" s="224"/>
      <c r="AH14" s="224"/>
      <c r="AI14" s="224"/>
      <c r="AJ14" s="224"/>
      <c r="AK14" s="224"/>
      <c r="AL14" s="224"/>
      <c r="AM14" s="224"/>
      <c r="AN14" s="224"/>
      <c r="AO14" s="224"/>
      <c r="AP14" s="227"/>
      <c r="AQ14" s="227"/>
      <c r="AR14" s="228"/>
      <c r="AS14" s="228"/>
    </row>
    <row r="15" spans="1:45" x14ac:dyDescent="0.2">
      <c r="A15" s="375" t="str">
        <f>'1. паспорт местоположение'!A15:C15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75"/>
      <c r="C15" s="375"/>
      <c r="D15" s="375"/>
      <c r="E15" s="375"/>
      <c r="F15" s="375"/>
      <c r="G15" s="375"/>
      <c r="H15" s="375"/>
      <c r="I15" s="375"/>
      <c r="J15" s="375"/>
      <c r="K15" s="375"/>
      <c r="L15" s="375"/>
      <c r="M15" s="375"/>
      <c r="N15" s="375"/>
      <c r="O15" s="375"/>
      <c r="P15" s="375"/>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27"/>
      <c r="AQ15" s="227"/>
      <c r="AR15" s="228"/>
      <c r="AS15" s="228"/>
    </row>
    <row r="16" spans="1:45" x14ac:dyDescent="0.2">
      <c r="A16" s="376" t="s">
        <v>3</v>
      </c>
      <c r="B16" s="376"/>
      <c r="C16" s="376"/>
      <c r="D16" s="376"/>
      <c r="E16" s="376"/>
      <c r="F16" s="376"/>
      <c r="G16" s="376"/>
      <c r="H16" s="376"/>
      <c r="I16" s="376"/>
      <c r="J16" s="376"/>
      <c r="K16" s="376"/>
      <c r="L16" s="376"/>
      <c r="M16" s="376"/>
      <c r="N16" s="376"/>
      <c r="O16" s="376"/>
      <c r="P16" s="376"/>
      <c r="AD16" s="236"/>
      <c r="AE16" s="236"/>
      <c r="AF16" s="236"/>
      <c r="AG16" s="236"/>
      <c r="AH16" s="236"/>
      <c r="AI16" s="236"/>
      <c r="AJ16" s="236"/>
      <c r="AK16" s="236"/>
      <c r="AL16" s="236"/>
      <c r="AM16" s="236"/>
      <c r="AN16" s="236"/>
      <c r="AO16" s="236"/>
      <c r="AP16" s="227"/>
      <c r="AQ16" s="227"/>
      <c r="AR16" s="228"/>
      <c r="AS16" s="228"/>
    </row>
    <row r="17" spans="1:45"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W17" s="240"/>
      <c r="X17" s="240"/>
      <c r="Y17" s="240"/>
      <c r="Z17" s="240"/>
      <c r="AA17" s="240"/>
      <c r="AB17" s="240"/>
      <c r="AC17" s="240"/>
      <c r="AD17" s="240"/>
      <c r="AE17" s="240"/>
      <c r="AF17" s="240"/>
      <c r="AG17" s="240"/>
      <c r="AH17" s="240"/>
      <c r="AI17" s="240"/>
      <c r="AJ17" s="240"/>
      <c r="AK17" s="240"/>
      <c r="AL17" s="240"/>
      <c r="AM17" s="240"/>
      <c r="AN17" s="240"/>
      <c r="AO17" s="240"/>
      <c r="AP17" s="227"/>
      <c r="AQ17" s="227"/>
      <c r="AR17" s="228"/>
      <c r="AS17" s="228"/>
    </row>
    <row r="18" spans="1:45" x14ac:dyDescent="0.2">
      <c r="A18" s="377" t="s">
        <v>421</v>
      </c>
      <c r="B18" s="377"/>
      <c r="C18" s="377"/>
      <c r="D18" s="377"/>
      <c r="E18" s="377"/>
      <c r="F18" s="377"/>
      <c r="G18" s="377"/>
      <c r="H18" s="377"/>
      <c r="I18" s="377"/>
      <c r="J18" s="377"/>
      <c r="K18" s="377"/>
      <c r="L18" s="377"/>
      <c r="M18" s="377"/>
      <c r="N18" s="377"/>
      <c r="O18" s="377"/>
      <c r="P18" s="377"/>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27"/>
      <c r="AQ18" s="227"/>
      <c r="AR18" s="228"/>
      <c r="AS18" s="228"/>
    </row>
    <row r="19" spans="1:45" x14ac:dyDescent="0.2">
      <c r="A19" s="241"/>
      <c r="B19" s="241"/>
      <c r="C19" s="241"/>
      <c r="D19" s="241"/>
      <c r="E19" s="241"/>
      <c r="F19" s="241"/>
      <c r="G19" s="241"/>
      <c r="H19" s="241"/>
      <c r="I19" s="241"/>
      <c r="J19" s="241"/>
      <c r="K19" s="241"/>
      <c r="L19" s="241"/>
      <c r="M19" s="241"/>
      <c r="N19" s="241"/>
      <c r="O19" s="241"/>
      <c r="P19" s="241"/>
      <c r="Q19" s="235"/>
      <c r="R19" s="235"/>
      <c r="S19" s="235"/>
      <c r="T19" s="235"/>
      <c r="U19" s="235"/>
      <c r="V19" s="235"/>
      <c r="W19" s="235"/>
      <c r="X19" s="235"/>
      <c r="Y19" s="235"/>
      <c r="Z19" s="235"/>
      <c r="AA19" s="235"/>
      <c r="AB19" s="235"/>
      <c r="AC19" s="235"/>
      <c r="AD19" s="235"/>
      <c r="AE19" s="235"/>
      <c r="AF19" s="235"/>
      <c r="AG19" s="235"/>
      <c r="AH19" s="235"/>
      <c r="AI19" s="235"/>
      <c r="AJ19" s="235"/>
      <c r="AK19" s="235"/>
      <c r="AL19" s="235"/>
      <c r="AM19" s="235"/>
      <c r="AN19" s="235"/>
      <c r="AO19" s="235"/>
      <c r="AP19" s="227"/>
      <c r="AQ19" s="227"/>
      <c r="AR19" s="228"/>
      <c r="AS19" s="228"/>
    </row>
    <row r="20" spans="1:45" x14ac:dyDescent="0.2">
      <c r="A20" s="241"/>
      <c r="B20" s="241"/>
      <c r="C20" s="241"/>
      <c r="D20" s="241"/>
      <c r="E20" s="241"/>
      <c r="F20" s="241"/>
      <c r="G20" s="241"/>
      <c r="H20" s="241"/>
      <c r="I20" s="241"/>
      <c r="J20" s="241"/>
      <c r="K20" s="241"/>
      <c r="L20" s="241"/>
      <c r="M20" s="241"/>
      <c r="N20" s="241"/>
      <c r="O20" s="241"/>
      <c r="P20" s="241"/>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27"/>
      <c r="AQ20" s="227"/>
      <c r="AR20" s="228"/>
      <c r="AS20" s="228"/>
    </row>
    <row r="21" spans="1:45" x14ac:dyDescent="0.2">
      <c r="A21" s="242"/>
      <c r="N21" s="236"/>
      <c r="AP21" s="227"/>
      <c r="AQ21" s="227"/>
      <c r="AR21" s="228"/>
      <c r="AS21" s="228"/>
    </row>
    <row r="22" spans="1:45" x14ac:dyDescent="0.2">
      <c r="A22" s="233"/>
      <c r="N22" s="236"/>
      <c r="AP22" s="227"/>
      <c r="AQ22" s="227"/>
      <c r="AR22" s="228"/>
      <c r="AS22" s="228"/>
    </row>
    <row r="23" spans="1:45" ht="13.5" thickBot="1" x14ac:dyDescent="0.25">
      <c r="A23" s="243" t="s">
        <v>286</v>
      </c>
      <c r="B23" s="243" t="s">
        <v>0</v>
      </c>
      <c r="D23" s="244"/>
      <c r="N23" s="236"/>
    </row>
    <row r="24" spans="1:45" ht="15" x14ac:dyDescent="0.2">
      <c r="A24" s="245" t="s">
        <v>459</v>
      </c>
      <c r="B24" s="246">
        <f>'6.2. Паспорт фин осв ввод'!D30*1000000</f>
        <v>949254.72</v>
      </c>
      <c r="N24" s="236"/>
    </row>
    <row r="25" spans="1:45" x14ac:dyDescent="0.2">
      <c r="A25" s="247" t="s">
        <v>284</v>
      </c>
      <c r="B25" s="248">
        <v>0</v>
      </c>
      <c r="N25" s="236"/>
    </row>
    <row r="26" spans="1:45" x14ac:dyDescent="0.2">
      <c r="A26" s="247" t="s">
        <v>282</v>
      </c>
      <c r="B26" s="248">
        <v>30</v>
      </c>
      <c r="D26" s="233" t="s">
        <v>285</v>
      </c>
      <c r="N26" s="236"/>
    </row>
    <row r="27" spans="1:45" ht="13.5" thickBot="1" x14ac:dyDescent="0.25">
      <c r="A27" s="249" t="s">
        <v>280</v>
      </c>
      <c r="B27" s="250">
        <v>1</v>
      </c>
      <c r="D27" s="371" t="s">
        <v>283</v>
      </c>
      <c r="E27" s="372"/>
      <c r="F27" s="373"/>
      <c r="G27" s="251" t="str">
        <f>IF(SUM(B89:AG89)=0,"не окупается",SUM(B89:AG89))</f>
        <v>не окупается</v>
      </c>
      <c r="H27" s="252"/>
      <c r="N27" s="236"/>
    </row>
    <row r="28" spans="1:45" ht="15" x14ac:dyDescent="0.2">
      <c r="A28" s="245" t="s">
        <v>279</v>
      </c>
      <c r="B28" s="246">
        <f>B24*0.001</f>
        <v>949.25472000000002</v>
      </c>
      <c r="D28" s="371" t="s">
        <v>281</v>
      </c>
      <c r="E28" s="372"/>
      <c r="F28" s="373"/>
      <c r="G28" s="251" t="str">
        <f>IF(SUM(B90:AG90)=0,"не окупается",SUM(B90:AG90))</f>
        <v>не окупается</v>
      </c>
      <c r="H28" s="252"/>
      <c r="N28" s="236"/>
    </row>
    <row r="29" spans="1:45" x14ac:dyDescent="0.2">
      <c r="A29" s="247" t="s">
        <v>460</v>
      </c>
      <c r="B29" s="248">
        <v>6</v>
      </c>
      <c r="D29" s="371" t="s">
        <v>580</v>
      </c>
      <c r="E29" s="372"/>
      <c r="F29" s="373"/>
      <c r="G29" s="253">
        <f>L87</f>
        <v>-1389959.7482613714</v>
      </c>
      <c r="H29" s="254"/>
      <c r="N29" s="236"/>
    </row>
    <row r="30" spans="1:45" x14ac:dyDescent="0.2">
      <c r="A30" s="247" t="s">
        <v>278</v>
      </c>
      <c r="B30" s="248">
        <v>6</v>
      </c>
      <c r="D30" s="371"/>
      <c r="E30" s="372"/>
      <c r="F30" s="373"/>
      <c r="G30" s="255"/>
      <c r="H30" s="256"/>
      <c r="N30" s="236"/>
    </row>
    <row r="31" spans="1:45" x14ac:dyDescent="0.2">
      <c r="A31" s="247" t="s">
        <v>257</v>
      </c>
      <c r="B31" s="248">
        <v>0</v>
      </c>
      <c r="N31" s="236"/>
    </row>
    <row r="32" spans="1:45" x14ac:dyDescent="0.2">
      <c r="A32" s="247" t="s">
        <v>277</v>
      </c>
      <c r="B32" s="248">
        <v>1</v>
      </c>
      <c r="N32" s="236"/>
    </row>
    <row r="33" spans="1:31" x14ac:dyDescent="0.2">
      <c r="A33" s="247" t="s">
        <v>276</v>
      </c>
      <c r="B33" s="248">
        <v>1</v>
      </c>
      <c r="N33" s="236"/>
    </row>
    <row r="34" spans="1:31" x14ac:dyDescent="0.2">
      <c r="A34" s="257" t="s">
        <v>581</v>
      </c>
      <c r="B34" s="248">
        <f>B24*0.03</f>
        <v>28477.641599999999</v>
      </c>
      <c r="N34" s="236"/>
    </row>
    <row r="35" spans="1:31" ht="13.5" thickBot="1" x14ac:dyDescent="0.25">
      <c r="A35" s="249" t="s">
        <v>251</v>
      </c>
      <c r="B35" s="258">
        <v>0.2</v>
      </c>
      <c r="N35" s="236"/>
    </row>
    <row r="36" spans="1:31" x14ac:dyDescent="0.2">
      <c r="A36" s="245" t="s">
        <v>461</v>
      </c>
      <c r="B36" s="259">
        <v>0</v>
      </c>
      <c r="N36" s="236"/>
    </row>
    <row r="37" spans="1:31" x14ac:dyDescent="0.2">
      <c r="A37" s="247" t="s">
        <v>275</v>
      </c>
      <c r="B37" s="248"/>
      <c r="N37" s="236"/>
    </row>
    <row r="38" spans="1:31" ht="13.5" thickBot="1" x14ac:dyDescent="0.25">
      <c r="A38" s="257" t="s">
        <v>274</v>
      </c>
      <c r="B38" s="260"/>
      <c r="N38" s="236"/>
    </row>
    <row r="39" spans="1:31" x14ac:dyDescent="0.2">
      <c r="A39" s="261" t="s">
        <v>462</v>
      </c>
      <c r="B39" s="262">
        <v>1</v>
      </c>
      <c r="N39" s="236"/>
    </row>
    <row r="40" spans="1:31" x14ac:dyDescent="0.2">
      <c r="A40" s="263" t="s">
        <v>273</v>
      </c>
      <c r="B40" s="264"/>
      <c r="N40" s="236"/>
    </row>
    <row r="41" spans="1:31" x14ac:dyDescent="0.2">
      <c r="A41" s="263" t="s">
        <v>272</v>
      </c>
      <c r="B41" s="265"/>
      <c r="N41" s="236"/>
    </row>
    <row r="42" spans="1:31" x14ac:dyDescent="0.2">
      <c r="A42" s="263" t="s">
        <v>271</v>
      </c>
      <c r="B42" s="265">
        <v>0</v>
      </c>
      <c r="N42" s="236"/>
    </row>
    <row r="43" spans="1:31" x14ac:dyDescent="0.2">
      <c r="A43" s="263" t="s">
        <v>270</v>
      </c>
      <c r="B43" s="266">
        <v>9.8699999999999996E-2</v>
      </c>
      <c r="N43" s="236"/>
    </row>
    <row r="44" spans="1:31" x14ac:dyDescent="0.2">
      <c r="A44" s="263" t="s">
        <v>269</v>
      </c>
      <c r="B44" s="267">
        <v>1</v>
      </c>
      <c r="N44" s="236"/>
    </row>
    <row r="45" spans="1:31" ht="13.5" thickBot="1" x14ac:dyDescent="0.25">
      <c r="A45" s="268" t="s">
        <v>582</v>
      </c>
      <c r="B45" s="267">
        <f>B44*B43+B42*B41*(1-B35)</f>
        <v>9.8699999999999996E-2</v>
      </c>
      <c r="C45" s="269"/>
      <c r="N45" s="236"/>
    </row>
    <row r="46" spans="1:31" x14ac:dyDescent="0.2">
      <c r="A46" s="270" t="s">
        <v>268</v>
      </c>
      <c r="B46" s="271">
        <v>1</v>
      </c>
      <c r="C46" s="271">
        <v>2</v>
      </c>
      <c r="D46" s="271">
        <v>3</v>
      </c>
      <c r="E46" s="271">
        <v>4</v>
      </c>
      <c r="F46" s="271">
        <v>5</v>
      </c>
      <c r="G46" s="271">
        <v>6</v>
      </c>
      <c r="H46" s="271">
        <v>7</v>
      </c>
      <c r="I46" s="271">
        <v>8</v>
      </c>
      <c r="J46" s="271">
        <v>9</v>
      </c>
      <c r="K46" s="271">
        <v>10</v>
      </c>
      <c r="L46" s="271">
        <v>11</v>
      </c>
      <c r="M46" s="271">
        <v>12</v>
      </c>
      <c r="N46" s="271">
        <v>13</v>
      </c>
      <c r="O46" s="271">
        <v>14</v>
      </c>
      <c r="P46" s="271">
        <v>15</v>
      </c>
      <c r="Q46" s="271">
        <v>16</v>
      </c>
      <c r="R46" s="271">
        <v>17</v>
      </c>
      <c r="S46" s="271">
        <v>18</v>
      </c>
      <c r="T46" s="271">
        <v>19</v>
      </c>
      <c r="U46" s="271">
        <v>20</v>
      </c>
      <c r="V46" s="271">
        <v>21</v>
      </c>
      <c r="W46" s="271">
        <v>22</v>
      </c>
      <c r="X46" s="271">
        <v>23</v>
      </c>
      <c r="Y46" s="271">
        <v>24</v>
      </c>
      <c r="Z46" s="271">
        <v>25</v>
      </c>
      <c r="AA46" s="271">
        <v>26</v>
      </c>
      <c r="AB46" s="271">
        <v>27</v>
      </c>
      <c r="AC46" s="272">
        <v>28</v>
      </c>
      <c r="AD46" s="272">
        <v>29</v>
      </c>
      <c r="AE46" s="272">
        <v>30</v>
      </c>
    </row>
    <row r="47" spans="1:31" x14ac:dyDescent="0.2">
      <c r="A47" s="273" t="s">
        <v>267</v>
      </c>
      <c r="B47" s="274">
        <v>0.13900000000000001</v>
      </c>
      <c r="C47" s="274">
        <v>5.8999999999999997E-2</v>
      </c>
      <c r="D47" s="274">
        <v>5.2999999999999999E-2</v>
      </c>
      <c r="E47" s="274">
        <v>4.8000000000000001E-2</v>
      </c>
      <c r="F47" s="275">
        <v>4.7E-2</v>
      </c>
      <c r="G47" s="275">
        <v>4.7E-2</v>
      </c>
      <c r="H47" s="275">
        <v>4.7E-2</v>
      </c>
      <c r="I47" s="275">
        <v>4.7E-2</v>
      </c>
      <c r="J47" s="275">
        <v>4.7E-2</v>
      </c>
      <c r="K47" s="275">
        <v>4.7E-2</v>
      </c>
      <c r="L47" s="275">
        <v>4.7E-2</v>
      </c>
      <c r="M47" s="275">
        <v>4.7E-2</v>
      </c>
      <c r="N47" s="275">
        <v>4.7E-2</v>
      </c>
      <c r="O47" s="275">
        <v>4.7E-2</v>
      </c>
      <c r="P47" s="275">
        <v>4.7E-2</v>
      </c>
      <c r="Q47" s="275">
        <v>4.7E-2</v>
      </c>
      <c r="R47" s="275">
        <v>4.7E-2</v>
      </c>
      <c r="S47" s="275">
        <v>4.7E-2</v>
      </c>
      <c r="T47" s="275">
        <v>4.7E-2</v>
      </c>
      <c r="U47" s="275">
        <v>4.7E-2</v>
      </c>
      <c r="V47" s="275">
        <v>4.7E-2</v>
      </c>
      <c r="W47" s="275">
        <v>4.7E-2</v>
      </c>
      <c r="X47" s="275">
        <v>4.7E-2</v>
      </c>
      <c r="Y47" s="275">
        <v>4.7E-2</v>
      </c>
      <c r="Z47" s="275">
        <v>4.7E-2</v>
      </c>
      <c r="AA47" s="275">
        <v>4.7E-2</v>
      </c>
      <c r="AB47" s="275">
        <v>4.7E-2</v>
      </c>
      <c r="AC47" s="275">
        <v>4.7E-2</v>
      </c>
      <c r="AD47" s="275">
        <v>4.7E-2</v>
      </c>
      <c r="AE47" s="275">
        <v>4.7E-2</v>
      </c>
    </row>
    <row r="48" spans="1:31" x14ac:dyDescent="0.2">
      <c r="A48" s="273" t="s">
        <v>266</v>
      </c>
      <c r="B48" s="275">
        <f>B47</f>
        <v>0.13900000000000001</v>
      </c>
      <c r="C48" s="275">
        <f t="shared" ref="C48:AE48" si="0">(1+B48)*(1+C47)-1</f>
        <v>0.20620099999999986</v>
      </c>
      <c r="D48" s="275">
        <f t="shared" si="0"/>
        <v>0.27012965299999969</v>
      </c>
      <c r="E48" s="275">
        <f t="shared" si="0"/>
        <v>0.33109587634399973</v>
      </c>
      <c r="F48" s="275">
        <f t="shared" si="0"/>
        <v>0.39365738253216764</v>
      </c>
      <c r="G48" s="275">
        <f t="shared" si="0"/>
        <v>0.45915927951117941</v>
      </c>
      <c r="H48" s="275">
        <f t="shared" si="0"/>
        <v>0.52773976564820479</v>
      </c>
      <c r="I48" s="275">
        <f t="shared" si="0"/>
        <v>0.59954353463367038</v>
      </c>
      <c r="J48" s="275">
        <f t="shared" si="0"/>
        <v>0.67472208076145268</v>
      </c>
      <c r="K48" s="275">
        <f t="shared" si="0"/>
        <v>0.75343401855724079</v>
      </c>
      <c r="L48" s="275">
        <f t="shared" si="0"/>
        <v>0.83584541742943097</v>
      </c>
      <c r="M48" s="275">
        <f t="shared" si="0"/>
        <v>0.92213015204861404</v>
      </c>
      <c r="N48" s="275">
        <f t="shared" si="0"/>
        <v>1.0124702691948988</v>
      </c>
      <c r="O48" s="275">
        <f t="shared" si="0"/>
        <v>1.107056371847059</v>
      </c>
      <c r="P48" s="275">
        <f t="shared" si="0"/>
        <v>1.2060880213238705</v>
      </c>
      <c r="Q48" s="275">
        <f t="shared" si="0"/>
        <v>1.3097741583260922</v>
      </c>
      <c r="R48" s="275">
        <f t="shared" si="0"/>
        <v>1.4183335437674183</v>
      </c>
      <c r="S48" s="275">
        <f t="shared" si="0"/>
        <v>1.5319952203244869</v>
      </c>
      <c r="T48" s="275">
        <f t="shared" si="0"/>
        <v>1.6509989956797377</v>
      </c>
      <c r="U48" s="275">
        <f t="shared" si="0"/>
        <v>1.7755959484766852</v>
      </c>
      <c r="V48" s="275">
        <f t="shared" si="0"/>
        <v>1.9060489580550892</v>
      </c>
      <c r="W48" s="275">
        <f t="shared" si="0"/>
        <v>2.0426332590836784</v>
      </c>
      <c r="X48" s="275">
        <f t="shared" si="0"/>
        <v>2.185637022260611</v>
      </c>
      <c r="Y48" s="275">
        <f t="shared" si="0"/>
        <v>2.3353619623068593</v>
      </c>
      <c r="Z48" s="275">
        <f t="shared" si="0"/>
        <v>2.4921239745352817</v>
      </c>
      <c r="AA48" s="275">
        <f t="shared" si="0"/>
        <v>2.6562538013384396</v>
      </c>
      <c r="AB48" s="275">
        <f t="shared" si="0"/>
        <v>2.8280977300013461</v>
      </c>
      <c r="AC48" s="275">
        <f t="shared" si="0"/>
        <v>3.0080183233114095</v>
      </c>
      <c r="AD48" s="275">
        <f t="shared" si="0"/>
        <v>3.1963951845070451</v>
      </c>
      <c r="AE48" s="275">
        <f t="shared" si="0"/>
        <v>3.3936257581788762</v>
      </c>
    </row>
    <row r="49" spans="1:31" ht="13.5" thickBot="1" x14ac:dyDescent="0.25">
      <c r="A49" s="276" t="s">
        <v>463</v>
      </c>
      <c r="B49" s="277">
        <f>B24*1.2/2*0</f>
        <v>0</v>
      </c>
      <c r="C49" s="277">
        <v>0</v>
      </c>
      <c r="D49" s="277">
        <v>0</v>
      </c>
      <c r="E49" s="277">
        <v>0</v>
      </c>
      <c r="F49" s="277">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7">
        <v>0</v>
      </c>
      <c r="AC49" s="277">
        <v>0</v>
      </c>
      <c r="AD49" s="277">
        <v>0</v>
      </c>
      <c r="AE49" s="277">
        <v>0</v>
      </c>
    </row>
    <row r="50" spans="1:31" ht="13.5" thickBot="1" x14ac:dyDescent="0.25">
      <c r="A50" s="278"/>
      <c r="N50" s="236"/>
      <c r="AC50" s="279"/>
      <c r="AD50" s="279"/>
      <c r="AE50" s="279"/>
    </row>
    <row r="51" spans="1:31" x14ac:dyDescent="0.2">
      <c r="A51" s="280" t="s">
        <v>265</v>
      </c>
      <c r="B51" s="271">
        <v>1</v>
      </c>
      <c r="C51" s="271">
        <v>2</v>
      </c>
      <c r="D51" s="271">
        <v>3</v>
      </c>
      <c r="E51" s="271">
        <v>4</v>
      </c>
      <c r="F51" s="271">
        <v>5</v>
      </c>
      <c r="G51" s="271">
        <v>6</v>
      </c>
      <c r="H51" s="271">
        <v>7</v>
      </c>
      <c r="I51" s="271">
        <v>8</v>
      </c>
      <c r="J51" s="271">
        <v>9</v>
      </c>
      <c r="K51" s="271">
        <v>10</v>
      </c>
      <c r="L51" s="271">
        <v>11</v>
      </c>
      <c r="M51" s="271">
        <v>12</v>
      </c>
      <c r="N51" s="271">
        <v>13</v>
      </c>
      <c r="O51" s="271">
        <v>14</v>
      </c>
      <c r="P51" s="271">
        <v>15</v>
      </c>
      <c r="Q51" s="271">
        <v>16</v>
      </c>
      <c r="R51" s="271">
        <v>17</v>
      </c>
      <c r="S51" s="271">
        <v>18</v>
      </c>
      <c r="T51" s="271">
        <v>19</v>
      </c>
      <c r="U51" s="271">
        <v>20</v>
      </c>
      <c r="V51" s="271">
        <v>21</v>
      </c>
      <c r="W51" s="271">
        <v>22</v>
      </c>
      <c r="X51" s="271">
        <v>23</v>
      </c>
      <c r="Y51" s="271">
        <v>24</v>
      </c>
      <c r="Z51" s="271">
        <v>25</v>
      </c>
      <c r="AA51" s="271">
        <v>26</v>
      </c>
      <c r="AB51" s="271">
        <v>27</v>
      </c>
      <c r="AC51" s="271">
        <v>28</v>
      </c>
      <c r="AD51" s="271">
        <v>29</v>
      </c>
      <c r="AE51" s="271">
        <v>30</v>
      </c>
    </row>
    <row r="52" spans="1:31" x14ac:dyDescent="0.2">
      <c r="A52" s="273" t="s">
        <v>264</v>
      </c>
      <c r="B52" s="281">
        <v>0</v>
      </c>
      <c r="C52" s="281">
        <v>0</v>
      </c>
      <c r="D52" s="281">
        <v>0</v>
      </c>
      <c r="E52" s="281">
        <v>0</v>
      </c>
      <c r="F52" s="281">
        <v>0</v>
      </c>
      <c r="G52" s="281">
        <v>0</v>
      </c>
      <c r="H52" s="281">
        <v>0</v>
      </c>
      <c r="I52" s="281">
        <v>0</v>
      </c>
      <c r="J52" s="281">
        <v>0</v>
      </c>
      <c r="K52" s="281">
        <v>0</v>
      </c>
      <c r="L52" s="281">
        <v>0</v>
      </c>
      <c r="M52" s="281">
        <v>0</v>
      </c>
      <c r="N52" s="281">
        <v>0</v>
      </c>
      <c r="O52" s="281">
        <v>0</v>
      </c>
      <c r="P52" s="281">
        <v>0</v>
      </c>
      <c r="Q52" s="281">
        <v>0</v>
      </c>
      <c r="R52" s="281">
        <v>0</v>
      </c>
      <c r="S52" s="281">
        <v>0</v>
      </c>
      <c r="T52" s="281">
        <v>0</v>
      </c>
      <c r="U52" s="281">
        <v>0</v>
      </c>
      <c r="V52" s="281">
        <v>0</v>
      </c>
      <c r="W52" s="281">
        <v>0</v>
      </c>
      <c r="X52" s="281">
        <v>0</v>
      </c>
      <c r="Y52" s="281">
        <v>0</v>
      </c>
      <c r="Z52" s="281">
        <v>0</v>
      </c>
      <c r="AA52" s="281">
        <v>0</v>
      </c>
      <c r="AB52" s="281">
        <v>0</v>
      </c>
      <c r="AC52" s="282">
        <v>0</v>
      </c>
      <c r="AD52" s="282">
        <v>0</v>
      </c>
      <c r="AE52" s="282">
        <v>0</v>
      </c>
    </row>
    <row r="53" spans="1:31" x14ac:dyDescent="0.2">
      <c r="A53" s="273" t="s">
        <v>263</v>
      </c>
      <c r="B53" s="281">
        <v>0</v>
      </c>
      <c r="C53" s="281">
        <v>0</v>
      </c>
      <c r="D53" s="281">
        <v>0</v>
      </c>
      <c r="E53" s="281">
        <v>0</v>
      </c>
      <c r="F53" s="281">
        <v>0</v>
      </c>
      <c r="G53" s="281">
        <v>0</v>
      </c>
      <c r="H53" s="281">
        <v>0</v>
      </c>
      <c r="I53" s="281">
        <v>0</v>
      </c>
      <c r="J53" s="281">
        <v>0</v>
      </c>
      <c r="K53" s="281">
        <v>0</v>
      </c>
      <c r="L53" s="281">
        <v>0</v>
      </c>
      <c r="M53" s="281">
        <v>0</v>
      </c>
      <c r="N53" s="281">
        <v>0</v>
      </c>
      <c r="O53" s="281">
        <v>0</v>
      </c>
      <c r="P53" s="281">
        <v>0</v>
      </c>
      <c r="Q53" s="281">
        <v>0</v>
      </c>
      <c r="R53" s="281">
        <v>0</v>
      </c>
      <c r="S53" s="281">
        <v>0</v>
      </c>
      <c r="T53" s="281">
        <v>0</v>
      </c>
      <c r="U53" s="281">
        <v>0</v>
      </c>
      <c r="V53" s="281">
        <v>0</v>
      </c>
      <c r="W53" s="281">
        <v>0</v>
      </c>
      <c r="X53" s="281">
        <v>0</v>
      </c>
      <c r="Y53" s="281">
        <v>0</v>
      </c>
      <c r="Z53" s="281">
        <v>0</v>
      </c>
      <c r="AA53" s="281">
        <v>0</v>
      </c>
      <c r="AB53" s="281">
        <v>0</v>
      </c>
      <c r="AC53" s="282">
        <v>0</v>
      </c>
      <c r="AD53" s="282">
        <v>0</v>
      </c>
      <c r="AE53" s="282">
        <v>0</v>
      </c>
    </row>
    <row r="54" spans="1:31" x14ac:dyDescent="0.2">
      <c r="A54" s="273" t="s">
        <v>262</v>
      </c>
      <c r="B54" s="281">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2">
        <v>0</v>
      </c>
      <c r="AD54" s="282">
        <v>0</v>
      </c>
      <c r="AE54" s="282">
        <v>0</v>
      </c>
    </row>
    <row r="55" spans="1:31" ht="13.5" thickBot="1" x14ac:dyDescent="0.25">
      <c r="A55" s="276" t="s">
        <v>261</v>
      </c>
      <c r="B55" s="283">
        <v>0</v>
      </c>
      <c r="C55" s="283">
        <v>0</v>
      </c>
      <c r="D55" s="283">
        <v>0</v>
      </c>
      <c r="E55" s="283">
        <v>0</v>
      </c>
      <c r="F55" s="283">
        <v>0</v>
      </c>
      <c r="G55" s="283">
        <v>0</v>
      </c>
      <c r="H55" s="283">
        <v>0</v>
      </c>
      <c r="I55" s="283">
        <v>0</v>
      </c>
      <c r="J55" s="283">
        <v>0</v>
      </c>
      <c r="K55" s="283">
        <v>0</v>
      </c>
      <c r="L55" s="283">
        <v>0</v>
      </c>
      <c r="M55" s="283">
        <v>0</v>
      </c>
      <c r="N55" s="283">
        <v>0</v>
      </c>
      <c r="O55" s="283">
        <v>0</v>
      </c>
      <c r="P55" s="283">
        <v>0</v>
      </c>
      <c r="Q55" s="283">
        <v>0</v>
      </c>
      <c r="R55" s="283">
        <v>0</v>
      </c>
      <c r="S55" s="283">
        <v>0</v>
      </c>
      <c r="T55" s="283">
        <v>0</v>
      </c>
      <c r="U55" s="283">
        <v>0</v>
      </c>
      <c r="V55" s="283">
        <v>0</v>
      </c>
      <c r="W55" s="283">
        <v>0</v>
      </c>
      <c r="X55" s="283">
        <v>0</v>
      </c>
      <c r="Y55" s="283">
        <v>0</v>
      </c>
      <c r="Z55" s="283">
        <v>0</v>
      </c>
      <c r="AA55" s="283">
        <v>0</v>
      </c>
      <c r="AB55" s="283">
        <v>0</v>
      </c>
      <c r="AC55" s="284">
        <v>0</v>
      </c>
      <c r="AD55" s="284">
        <v>0</v>
      </c>
      <c r="AE55" s="284">
        <v>0</v>
      </c>
    </row>
    <row r="56" spans="1:31" ht="13.5" thickBot="1" x14ac:dyDescent="0.25">
      <c r="A56" s="278"/>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6"/>
      <c r="AD56" s="286"/>
      <c r="AE56" s="286"/>
    </row>
    <row r="57" spans="1:31" ht="13.5" thickBot="1" x14ac:dyDescent="0.25">
      <c r="A57" s="280" t="s">
        <v>464</v>
      </c>
      <c r="B57" s="271">
        <v>1</v>
      </c>
      <c r="C57" s="271">
        <v>2</v>
      </c>
      <c r="D57" s="271">
        <v>3</v>
      </c>
      <c r="E57" s="271">
        <v>4</v>
      </c>
      <c r="F57" s="271">
        <v>5</v>
      </c>
      <c r="G57" s="271">
        <v>6</v>
      </c>
      <c r="H57" s="271">
        <v>7</v>
      </c>
      <c r="I57" s="271">
        <v>8</v>
      </c>
      <c r="J57" s="271">
        <v>9</v>
      </c>
      <c r="K57" s="271">
        <v>10</v>
      </c>
      <c r="L57" s="271">
        <v>11</v>
      </c>
      <c r="M57" s="271">
        <v>12</v>
      </c>
      <c r="N57" s="271">
        <v>13</v>
      </c>
      <c r="O57" s="271">
        <v>14</v>
      </c>
      <c r="P57" s="271">
        <v>15</v>
      </c>
      <c r="Q57" s="271">
        <v>16</v>
      </c>
      <c r="R57" s="271">
        <v>17</v>
      </c>
      <c r="S57" s="271">
        <v>18</v>
      </c>
      <c r="T57" s="271">
        <v>19</v>
      </c>
      <c r="U57" s="271">
        <v>20</v>
      </c>
      <c r="V57" s="271">
        <v>21</v>
      </c>
      <c r="W57" s="271">
        <v>22</v>
      </c>
      <c r="X57" s="271">
        <v>23</v>
      </c>
      <c r="Y57" s="271">
        <v>24</v>
      </c>
      <c r="Z57" s="271">
        <v>25</v>
      </c>
      <c r="AA57" s="271">
        <v>26</v>
      </c>
      <c r="AB57" s="271">
        <v>27</v>
      </c>
      <c r="AC57" s="271">
        <v>28</v>
      </c>
      <c r="AD57" s="271">
        <v>29</v>
      </c>
      <c r="AE57" s="271">
        <v>30</v>
      </c>
    </row>
    <row r="58" spans="1:31" x14ac:dyDescent="0.2">
      <c r="A58" s="280" t="s">
        <v>260</v>
      </c>
      <c r="B58" s="271">
        <f t="shared" ref="B58:AE58" si="1">B49*$B$27</f>
        <v>0</v>
      </c>
      <c r="C58" s="271">
        <f t="shared" si="1"/>
        <v>0</v>
      </c>
      <c r="D58" s="271">
        <f t="shared" si="1"/>
        <v>0</v>
      </c>
      <c r="E58" s="271">
        <f t="shared" si="1"/>
        <v>0</v>
      </c>
      <c r="F58" s="271">
        <f t="shared" si="1"/>
        <v>0</v>
      </c>
      <c r="G58" s="271">
        <f t="shared" si="1"/>
        <v>0</v>
      </c>
      <c r="H58" s="271">
        <f t="shared" si="1"/>
        <v>0</v>
      </c>
      <c r="I58" s="271">
        <f t="shared" si="1"/>
        <v>0</v>
      </c>
      <c r="J58" s="271">
        <f t="shared" si="1"/>
        <v>0</v>
      </c>
      <c r="K58" s="271">
        <f t="shared" si="1"/>
        <v>0</v>
      </c>
      <c r="L58" s="271">
        <f t="shared" si="1"/>
        <v>0</v>
      </c>
      <c r="M58" s="271">
        <f t="shared" si="1"/>
        <v>0</v>
      </c>
      <c r="N58" s="271">
        <f t="shared" si="1"/>
        <v>0</v>
      </c>
      <c r="O58" s="271">
        <f t="shared" si="1"/>
        <v>0</v>
      </c>
      <c r="P58" s="271">
        <f t="shared" si="1"/>
        <v>0</v>
      </c>
      <c r="Q58" s="271">
        <f t="shared" si="1"/>
        <v>0</v>
      </c>
      <c r="R58" s="271">
        <f t="shared" si="1"/>
        <v>0</v>
      </c>
      <c r="S58" s="271">
        <f t="shared" si="1"/>
        <v>0</v>
      </c>
      <c r="T58" s="271">
        <f t="shared" si="1"/>
        <v>0</v>
      </c>
      <c r="U58" s="271">
        <f t="shared" si="1"/>
        <v>0</v>
      </c>
      <c r="V58" s="271">
        <f t="shared" si="1"/>
        <v>0</v>
      </c>
      <c r="W58" s="271">
        <f t="shared" si="1"/>
        <v>0</v>
      </c>
      <c r="X58" s="271">
        <f t="shared" si="1"/>
        <v>0</v>
      </c>
      <c r="Y58" s="271">
        <f t="shared" si="1"/>
        <v>0</v>
      </c>
      <c r="Z58" s="271">
        <f t="shared" si="1"/>
        <v>0</v>
      </c>
      <c r="AA58" s="271">
        <f t="shared" si="1"/>
        <v>0</v>
      </c>
      <c r="AB58" s="271">
        <f t="shared" si="1"/>
        <v>0</v>
      </c>
      <c r="AC58" s="271">
        <f t="shared" si="1"/>
        <v>0</v>
      </c>
      <c r="AD58" s="271">
        <f t="shared" si="1"/>
        <v>0</v>
      </c>
      <c r="AE58" s="271">
        <f t="shared" si="1"/>
        <v>0</v>
      </c>
    </row>
    <row r="59" spans="1:31" x14ac:dyDescent="0.2">
      <c r="A59" s="273" t="s">
        <v>259</v>
      </c>
      <c r="B59" s="287">
        <f t="shared" ref="B59:AE59" si="2">SUM(B60:B65)</f>
        <v>0</v>
      </c>
      <c r="C59" s="287">
        <f t="shared" si="2"/>
        <v>-20187.483711999997</v>
      </c>
      <c r="D59" s="287">
        <f t="shared" si="2"/>
        <v>-19352.140778666664</v>
      </c>
      <c r="E59" s="287">
        <f t="shared" si="2"/>
        <v>-18516.797845333331</v>
      </c>
      <c r="F59" s="287">
        <f t="shared" si="2"/>
        <v>-17681.454912000001</v>
      </c>
      <c r="G59" s="287">
        <f t="shared" si="2"/>
        <v>-16846.111978666668</v>
      </c>
      <c r="H59" s="287">
        <f t="shared" si="2"/>
        <v>-16960.023765333335</v>
      </c>
      <c r="I59" s="287">
        <f t="shared" si="2"/>
        <v>-15175.426112000003</v>
      </c>
      <c r="J59" s="287">
        <f t="shared" si="2"/>
        <v>14137.55842133333</v>
      </c>
      <c r="K59" s="287">
        <f t="shared" si="2"/>
        <v>-13504.740245333336</v>
      </c>
      <c r="L59" s="287">
        <f t="shared" si="2"/>
        <v>-12669.397312000005</v>
      </c>
      <c r="M59" s="287">
        <f t="shared" si="2"/>
        <v>-29933.153301333325</v>
      </c>
      <c r="N59" s="287">
        <f t="shared" si="2"/>
        <v>-11947.966165333341</v>
      </c>
      <c r="O59" s="287">
        <f t="shared" si="2"/>
        <v>-10163.368512000006</v>
      </c>
      <c r="P59" s="287">
        <f t="shared" si="2"/>
        <v>-9328.025578666673</v>
      </c>
      <c r="Q59" s="287">
        <f t="shared" si="2"/>
        <v>-8492.6826453333415</v>
      </c>
      <c r="R59" s="287">
        <f t="shared" si="2"/>
        <v>20820.301887999991</v>
      </c>
      <c r="S59" s="287">
        <f t="shared" si="2"/>
        <v>-6821.9967786666757</v>
      </c>
      <c r="T59" s="287">
        <f t="shared" si="2"/>
        <v>-6935.9085653333432</v>
      </c>
      <c r="U59" s="287">
        <f t="shared" si="2"/>
        <v>-5151.3109120000099</v>
      </c>
      <c r="V59" s="287">
        <f t="shared" si="2"/>
        <v>-4315.9679786666784</v>
      </c>
      <c r="W59" s="287">
        <f t="shared" si="2"/>
        <v>-3480.625045333345</v>
      </c>
      <c r="X59" s="287">
        <f t="shared" si="2"/>
        <v>-2645.2821120000117</v>
      </c>
      <c r="Y59" s="287">
        <f t="shared" si="2"/>
        <v>-1809.9391786666786</v>
      </c>
      <c r="Z59" s="287">
        <f t="shared" si="2"/>
        <v>26553.790634666653</v>
      </c>
      <c r="AA59" s="287">
        <f t="shared" si="2"/>
        <v>-139.2533120000119</v>
      </c>
      <c r="AB59" s="287">
        <f t="shared" si="2"/>
        <v>696.08962133332136</v>
      </c>
      <c r="AC59" s="287">
        <f t="shared" si="2"/>
        <v>1531.4325546666544</v>
      </c>
      <c r="AD59" s="287">
        <f t="shared" si="2"/>
        <v>2366.7754879999875</v>
      </c>
      <c r="AE59" s="287">
        <f t="shared" si="2"/>
        <v>3202.1184213333208</v>
      </c>
    </row>
    <row r="60" spans="1:31" x14ac:dyDescent="0.2">
      <c r="A60" s="288" t="s">
        <v>258</v>
      </c>
      <c r="B60" s="281"/>
      <c r="C60" s="281"/>
      <c r="D60" s="281"/>
      <c r="E60" s="281"/>
      <c r="F60" s="281"/>
      <c r="G60" s="281"/>
      <c r="H60" s="281">
        <f>-B28</f>
        <v>-949.25472000000002</v>
      </c>
      <c r="I60" s="287">
        <v>0</v>
      </c>
      <c r="J60" s="281"/>
      <c r="K60" s="281"/>
      <c r="L60" s="281"/>
      <c r="M60" s="281"/>
      <c r="N60" s="281">
        <f>H60</f>
        <v>-949.25472000000002</v>
      </c>
      <c r="O60" s="281"/>
      <c r="P60" s="281"/>
      <c r="Q60" s="281"/>
      <c r="R60" s="281"/>
      <c r="S60" s="281"/>
      <c r="T60" s="281">
        <f>N60</f>
        <v>-949.25472000000002</v>
      </c>
      <c r="U60" s="281"/>
      <c r="V60" s="281"/>
      <c r="W60" s="281"/>
      <c r="X60" s="281"/>
      <c r="Y60" s="281"/>
      <c r="Z60" s="281">
        <f>T60</f>
        <v>-949.25472000000002</v>
      </c>
      <c r="AA60" s="281"/>
      <c r="AB60" s="281"/>
      <c r="AC60" s="281"/>
      <c r="AD60" s="281"/>
      <c r="AE60" s="281"/>
    </row>
    <row r="61" spans="1:31" x14ac:dyDescent="0.2">
      <c r="A61" s="288" t="s">
        <v>257</v>
      </c>
      <c r="B61" s="281"/>
      <c r="C61" s="281"/>
      <c r="D61" s="281"/>
      <c r="E61" s="281"/>
      <c r="F61" s="281"/>
      <c r="G61" s="281"/>
      <c r="H61" s="281"/>
      <c r="I61" s="281"/>
      <c r="J61" s="281">
        <f>B34</f>
        <v>28477.641599999999</v>
      </c>
      <c r="K61" s="281"/>
      <c r="L61" s="281"/>
      <c r="M61" s="281"/>
      <c r="N61" s="281"/>
      <c r="O61" s="281"/>
      <c r="P61" s="281"/>
      <c r="Q61" s="281"/>
      <c r="R61" s="281">
        <f>J61</f>
        <v>28477.641599999999</v>
      </c>
      <c r="S61" s="281"/>
      <c r="T61" s="281"/>
      <c r="U61" s="281"/>
      <c r="V61" s="281"/>
      <c r="W61" s="281"/>
      <c r="X61" s="281"/>
      <c r="Y61" s="281"/>
      <c r="Z61" s="281">
        <f>R61</f>
        <v>28477.641599999999</v>
      </c>
      <c r="AA61" s="289">
        <f>S61</f>
        <v>0</v>
      </c>
      <c r="AB61" s="281"/>
      <c r="AC61" s="281"/>
      <c r="AD61" s="281"/>
      <c r="AE61" s="281"/>
    </row>
    <row r="62" spans="1:31" x14ac:dyDescent="0.2">
      <c r="A62" s="288" t="s">
        <v>581</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row>
    <row r="63" spans="1:31" x14ac:dyDescent="0.2">
      <c r="A63" s="288" t="s">
        <v>461</v>
      </c>
      <c r="B63" s="290">
        <v>0</v>
      </c>
      <c r="C63" s="290">
        <v>0</v>
      </c>
      <c r="D63" s="290">
        <v>0</v>
      </c>
      <c r="E63" s="290">
        <v>0</v>
      </c>
      <c r="F63" s="290">
        <v>0</v>
      </c>
      <c r="G63" s="290">
        <v>0</v>
      </c>
      <c r="H63" s="290">
        <v>0</v>
      </c>
      <c r="I63" s="290">
        <v>0</v>
      </c>
      <c r="J63" s="290">
        <v>0</v>
      </c>
      <c r="K63" s="290">
        <v>0</v>
      </c>
      <c r="L63" s="290">
        <v>0</v>
      </c>
      <c r="M63" s="290">
        <v>0</v>
      </c>
      <c r="N63" s="290">
        <v>0</v>
      </c>
      <c r="O63" s="290">
        <v>0</v>
      </c>
      <c r="P63" s="290">
        <v>0</v>
      </c>
      <c r="Q63" s="290">
        <v>0</v>
      </c>
      <c r="R63" s="290">
        <v>0</v>
      </c>
      <c r="S63" s="290">
        <v>0</v>
      </c>
      <c r="T63" s="290">
        <v>0</v>
      </c>
      <c r="U63" s="290">
        <v>0</v>
      </c>
      <c r="V63" s="290">
        <v>0</v>
      </c>
      <c r="W63" s="290">
        <v>0</v>
      </c>
      <c r="X63" s="290">
        <v>0</v>
      </c>
      <c r="Y63" s="290">
        <v>0</v>
      </c>
      <c r="Z63" s="290">
        <v>0</v>
      </c>
      <c r="AA63" s="290">
        <v>0</v>
      </c>
      <c r="AB63" s="290">
        <v>0</v>
      </c>
      <c r="AC63" s="290">
        <v>0</v>
      </c>
      <c r="AD63" s="290">
        <v>0</v>
      </c>
      <c r="AE63" s="290">
        <v>0</v>
      </c>
    </row>
    <row r="64" spans="1:31" x14ac:dyDescent="0.2">
      <c r="A64" s="288" t="s">
        <v>461</v>
      </c>
      <c r="B64" s="290">
        <v>0</v>
      </c>
      <c r="C64" s="290">
        <v>0</v>
      </c>
      <c r="D64" s="290">
        <v>0</v>
      </c>
      <c r="E64" s="290">
        <v>0</v>
      </c>
      <c r="F64" s="290">
        <v>0</v>
      </c>
      <c r="G64" s="290">
        <v>0</v>
      </c>
      <c r="H64" s="290">
        <v>0</v>
      </c>
      <c r="I64" s="290">
        <v>0</v>
      </c>
      <c r="J64" s="290">
        <v>0</v>
      </c>
      <c r="K64" s="290">
        <v>0</v>
      </c>
      <c r="L64" s="290">
        <v>0</v>
      </c>
      <c r="M64" s="290">
        <v>0</v>
      </c>
      <c r="N64" s="290">
        <v>0</v>
      </c>
      <c r="O64" s="290">
        <v>0</v>
      </c>
      <c r="P64" s="290">
        <v>0</v>
      </c>
      <c r="Q64" s="290">
        <v>0</v>
      </c>
      <c r="R64" s="290">
        <v>0</v>
      </c>
      <c r="S64" s="290">
        <v>0</v>
      </c>
      <c r="T64" s="290">
        <v>0</v>
      </c>
      <c r="U64" s="290">
        <v>0</v>
      </c>
      <c r="V64" s="290">
        <v>0</v>
      </c>
      <c r="W64" s="290">
        <v>0</v>
      </c>
      <c r="X64" s="290">
        <v>0</v>
      </c>
      <c r="Y64" s="290">
        <v>0</v>
      </c>
      <c r="Z64" s="290">
        <v>0</v>
      </c>
      <c r="AA64" s="290">
        <v>0</v>
      </c>
      <c r="AB64" s="290">
        <v>0</v>
      </c>
      <c r="AC64" s="290">
        <v>0</v>
      </c>
      <c r="AD64" s="290">
        <v>0</v>
      </c>
      <c r="AE64" s="290">
        <v>0</v>
      </c>
    </row>
    <row r="65" spans="1:31" x14ac:dyDescent="0.2">
      <c r="A65" s="288" t="s">
        <v>583</v>
      </c>
      <c r="B65" s="290">
        <v>0</v>
      </c>
      <c r="C65" s="309">
        <f>-($B$24+C67)*0.022</f>
        <v>-20187.483711999997</v>
      </c>
      <c r="D65" s="309">
        <f>-($B$24+D67+C67)*0.022</f>
        <v>-19352.140778666664</v>
      </c>
      <c r="E65" s="310">
        <f>-($B$24+E67+C67+D67)*0.022</f>
        <v>-18516.797845333331</v>
      </c>
      <c r="F65" s="310">
        <f>-($B$24+F67+D67+E67+C67)*0.022</f>
        <v>-17681.454912000001</v>
      </c>
      <c r="G65" s="310">
        <f>-($B$24+G67+E67+F67+D67+C67)*0.022</f>
        <v>-16846.111978666668</v>
      </c>
      <c r="H65" s="310">
        <f>-($B$24+H67+F67+G67+E67+C67+D67)*0.022</f>
        <v>-16010.769045333334</v>
      </c>
      <c r="I65" s="310">
        <f>-($B$24+C67+I67+G67+H67+F67+D67+E67)*0.022</f>
        <v>-15175.426112000003</v>
      </c>
      <c r="J65" s="310">
        <f>-($B$24+D67+J67+H67+I67+G67+E67+F67+C67)*0.022</f>
        <v>-14340.083178666669</v>
      </c>
      <c r="K65" s="310">
        <f>-($B$24+E67+K67+I67+J67+H67+F67+G67+C67+D67)*0.022</f>
        <v>-13504.740245333336</v>
      </c>
      <c r="L65" s="310">
        <f>-($B$24+F67+L67+J67+K67+I67+G67+H67+E67+D67+C67)*0.022</f>
        <v>-12669.397312000005</v>
      </c>
      <c r="M65" s="310">
        <f>(-$B$24+G67+M67+K67+L67+J67+H67+I67+F67+E67+D67+C67)*0.022</f>
        <v>-29933.153301333325</v>
      </c>
      <c r="N65" s="310">
        <f>-($B$24+H67+N67+L67+M67+K67+I67+J67+G67+F67+E67+C67+D67)*0.022</f>
        <v>-10998.71144533334</v>
      </c>
      <c r="O65" s="310">
        <f>-($B$24+I67+O67+M67+N67+L67+J67+K67+H67+G67+F67+D67+C67+E67)*0.022</f>
        <v>-10163.368512000006</v>
      </c>
      <c r="P65" s="310">
        <f>-($B$24+J67+P67+N67+O67+M67+K67+L67+I67+H67+G67+E67+F67+C67+D67)*0.022</f>
        <v>-9328.025578666673</v>
      </c>
      <c r="Q65" s="310">
        <f>-($B$24+K67+Q67+O67+P67+N67+L67+M67+J67+I67+H67+F67+G67+D67+C67+E67)*0.022</f>
        <v>-8492.6826453333415</v>
      </c>
      <c r="R65" s="310">
        <f>-($B$24+L67+R67+P67+Q67+O67+M67+N67+K67+J67+I67+G67+H67+E67+D67+C67+F67)*0.022</f>
        <v>-7657.3397120000091</v>
      </c>
      <c r="S65" s="310">
        <f>-($B$24+M67+S67+Q67+R67+P67+N67+O67+L67+K67+J67+H67+I67+F67+E67+D67+C67+G67)*0.022</f>
        <v>-6821.9967786666757</v>
      </c>
      <c r="T65" s="310">
        <f>-($B$24+N67+T67+R67+S67+Q67+O67+P67+M67+L67+K67+I67+J67+G67+F67+E67+D67+C67+H67)*0.022</f>
        <v>-5986.6538453333433</v>
      </c>
      <c r="U65" s="310">
        <f>-($B$24+O67+U67+S67+T67+R67+P67+Q67+N67+M67+L67+J67+K67+H67+G67+F67+E67+C67+D67++I67)*0.022</f>
        <v>-5151.3109120000099</v>
      </c>
      <c r="V65" s="310">
        <f>-($B$24+P67+V67+T67+U67+S67+Q67+R67+O67+N67+M67+K67+L67+I67+H67+G67+F67+D67+E67+C67+J67)*0.022</f>
        <v>-4315.9679786666784</v>
      </c>
      <c r="W65" s="310">
        <f>-($B$24+Q67+W67+U67+V67+T67+R67+S67+P67+O67+N67+L67+M67+J67+I67+H67+G67+E67+F67+D67+C67+K67)*0.022</f>
        <v>-3480.625045333345</v>
      </c>
      <c r="X65" s="310">
        <f>-($B$24+R67+X67+V67+W67+U67+S67+T67+Q67+P67+O67+M67+N67+K67+J67+I67+H67+F67+G67+E67+D67+C67+L67)*0.022</f>
        <v>-2645.2821120000117</v>
      </c>
      <c r="Y65" s="310">
        <f>-($B$24+S67+Y67+W67+X67+V67+T67+U67+R67+Q67+P67+N67+O67+L67+K67+J67+I67+G67+H67+F67+E67+D67+C67+M67)*0.022</f>
        <v>-1809.9391786666786</v>
      </c>
      <c r="Z65" s="310">
        <f>-($B$24+T67+Z67+X67+Y67+W67+U67+V67+S67+R67+Q67+O67+P67+M67+L67+K67+J67+H67+I67+G67+F67+E67+D67+C67+N67)*0.022</f>
        <v>-974.59624533334534</v>
      </c>
      <c r="AA65" s="310">
        <f>-($B$24+U67+AA67+Y67+Z67+X67+V67+W67+T67+S67+R67+P67+Q67+N67+M67+L67+K67+I67+J67+H67+G67+F67+E67+D67+C67+O67)*0.022</f>
        <v>-139.2533120000119</v>
      </c>
      <c r="AB65" s="310">
        <f>-($B$24+V67+AB67+Z67+AA67+Y67+W67+X67+U67+T67+S67+Q67+R67+O67+N67+M67+L67+J67+K67+I67+H67+G67+F67+E67+D67+C67+P67)*0.022</f>
        <v>696.08962133332136</v>
      </c>
      <c r="AC65" s="310">
        <f>-($B$24+W67+AC67+AA67+AB67+Z67+X67+Y67+V67+U67+T67+R67+S67+P67+O67+N67+M67+K67+L67+J67+I67+H67+G67+F67+E67+D67+C67+Q67)*0.022</f>
        <v>1531.4325546666544</v>
      </c>
      <c r="AD65" s="310">
        <f>-($B$24+X67+AD67+AB67+AC67+AA67+Y67+Z67+W67+V67+U67+S67+T67+Q67+P67+O67+N67+L67+M67+K67+J67+I67+H67+G67+F67+E67+D67+C67+R67)*0.022</f>
        <v>2366.7754879999875</v>
      </c>
      <c r="AE65" s="310">
        <f>-($B$24+Y67+AE67+AC67+AD67+AB67+Z67+AA67+X67+W67+V67+T67+U67+R67+Q67+P67+O67+M67+N67+L67+K67+J67+I67+H67+G67+F67+E67+D67+C67+S67)*0.022</f>
        <v>3202.1184213333208</v>
      </c>
    </row>
    <row r="66" spans="1:31" x14ac:dyDescent="0.2">
      <c r="A66" s="291" t="s">
        <v>584</v>
      </c>
      <c r="B66" s="292">
        <f t="shared" ref="B66:AE66" si="3">B58+B59</f>
        <v>0</v>
      </c>
      <c r="C66" s="292">
        <f t="shared" si="3"/>
        <v>-20187.483711999997</v>
      </c>
      <c r="D66" s="292">
        <f t="shared" si="3"/>
        <v>-19352.140778666664</v>
      </c>
      <c r="E66" s="292">
        <f t="shared" si="3"/>
        <v>-18516.797845333331</v>
      </c>
      <c r="F66" s="292">
        <f t="shared" si="3"/>
        <v>-17681.454912000001</v>
      </c>
      <c r="G66" s="292">
        <f t="shared" si="3"/>
        <v>-16846.111978666668</v>
      </c>
      <c r="H66" s="292">
        <f t="shared" si="3"/>
        <v>-16960.023765333335</v>
      </c>
      <c r="I66" s="292">
        <f t="shared" si="3"/>
        <v>-15175.426112000003</v>
      </c>
      <c r="J66" s="292">
        <f t="shared" si="3"/>
        <v>14137.55842133333</v>
      </c>
      <c r="K66" s="292">
        <f t="shared" si="3"/>
        <v>-13504.740245333336</v>
      </c>
      <c r="L66" s="292">
        <f t="shared" si="3"/>
        <v>-12669.397312000005</v>
      </c>
      <c r="M66" s="292">
        <f t="shared" si="3"/>
        <v>-29933.153301333325</v>
      </c>
      <c r="N66" s="292">
        <f t="shared" si="3"/>
        <v>-11947.966165333341</v>
      </c>
      <c r="O66" s="292">
        <f t="shared" si="3"/>
        <v>-10163.368512000006</v>
      </c>
      <c r="P66" s="292">
        <f t="shared" si="3"/>
        <v>-9328.025578666673</v>
      </c>
      <c r="Q66" s="292">
        <f t="shared" si="3"/>
        <v>-8492.6826453333415</v>
      </c>
      <c r="R66" s="292">
        <f t="shared" si="3"/>
        <v>20820.301887999991</v>
      </c>
      <c r="S66" s="292">
        <f t="shared" si="3"/>
        <v>-6821.9967786666757</v>
      </c>
      <c r="T66" s="292">
        <f t="shared" si="3"/>
        <v>-6935.9085653333432</v>
      </c>
      <c r="U66" s="292">
        <f t="shared" si="3"/>
        <v>-5151.3109120000099</v>
      </c>
      <c r="V66" s="292">
        <f t="shared" si="3"/>
        <v>-4315.9679786666784</v>
      </c>
      <c r="W66" s="292">
        <f t="shared" si="3"/>
        <v>-3480.625045333345</v>
      </c>
      <c r="X66" s="292">
        <f t="shared" si="3"/>
        <v>-2645.2821120000117</v>
      </c>
      <c r="Y66" s="292">
        <f t="shared" si="3"/>
        <v>-1809.9391786666786</v>
      </c>
      <c r="Z66" s="292">
        <f t="shared" si="3"/>
        <v>26553.790634666653</v>
      </c>
      <c r="AA66" s="292">
        <f t="shared" si="3"/>
        <v>-139.2533120000119</v>
      </c>
      <c r="AB66" s="292">
        <f t="shared" si="3"/>
        <v>696.08962133332136</v>
      </c>
      <c r="AC66" s="292">
        <f t="shared" si="3"/>
        <v>1531.4325546666544</v>
      </c>
      <c r="AD66" s="292">
        <f t="shared" si="3"/>
        <v>2366.7754879999875</v>
      </c>
      <c r="AE66" s="292">
        <f t="shared" si="3"/>
        <v>3202.1184213333208</v>
      </c>
    </row>
    <row r="67" spans="1:31" x14ac:dyDescent="0.2">
      <c r="A67" s="288" t="s">
        <v>253</v>
      </c>
      <c r="B67" s="293">
        <v>0</v>
      </c>
      <c r="C67" s="293">
        <f>-($B$24)*$B$27/$B$26</f>
        <v>-31641.824000000001</v>
      </c>
      <c r="D67" s="293">
        <f>($B$81+$C$81)*$B$27/$B$26</f>
        <v>-37970.133333333331</v>
      </c>
      <c r="E67" s="294">
        <f t="shared" ref="E67:AE67" si="4">D67</f>
        <v>-37970.133333333331</v>
      </c>
      <c r="F67" s="294">
        <f t="shared" si="4"/>
        <v>-37970.133333333331</v>
      </c>
      <c r="G67" s="294">
        <f t="shared" si="4"/>
        <v>-37970.133333333331</v>
      </c>
      <c r="H67" s="294">
        <f t="shared" si="4"/>
        <v>-37970.133333333331</v>
      </c>
      <c r="I67" s="294">
        <f t="shared" si="4"/>
        <v>-37970.133333333331</v>
      </c>
      <c r="J67" s="294">
        <f t="shared" si="4"/>
        <v>-37970.133333333331</v>
      </c>
      <c r="K67" s="294">
        <f t="shared" si="4"/>
        <v>-37970.133333333331</v>
      </c>
      <c r="L67" s="294">
        <f t="shared" si="4"/>
        <v>-37970.133333333331</v>
      </c>
      <c r="M67" s="294">
        <f t="shared" si="4"/>
        <v>-37970.133333333331</v>
      </c>
      <c r="N67" s="294">
        <f t="shared" si="4"/>
        <v>-37970.133333333331</v>
      </c>
      <c r="O67" s="294">
        <f t="shared" si="4"/>
        <v>-37970.133333333331</v>
      </c>
      <c r="P67" s="294">
        <f t="shared" si="4"/>
        <v>-37970.133333333331</v>
      </c>
      <c r="Q67" s="294">
        <f t="shared" si="4"/>
        <v>-37970.133333333331</v>
      </c>
      <c r="R67" s="294">
        <f t="shared" si="4"/>
        <v>-37970.133333333331</v>
      </c>
      <c r="S67" s="294">
        <f t="shared" si="4"/>
        <v>-37970.133333333331</v>
      </c>
      <c r="T67" s="294">
        <f t="shared" si="4"/>
        <v>-37970.133333333331</v>
      </c>
      <c r="U67" s="294">
        <f t="shared" si="4"/>
        <v>-37970.133333333331</v>
      </c>
      <c r="V67" s="294">
        <f t="shared" si="4"/>
        <v>-37970.133333333331</v>
      </c>
      <c r="W67" s="294">
        <f t="shared" si="4"/>
        <v>-37970.133333333331</v>
      </c>
      <c r="X67" s="294">
        <f t="shared" si="4"/>
        <v>-37970.133333333331</v>
      </c>
      <c r="Y67" s="294">
        <f t="shared" si="4"/>
        <v>-37970.133333333331</v>
      </c>
      <c r="Z67" s="294">
        <f t="shared" si="4"/>
        <v>-37970.133333333331</v>
      </c>
      <c r="AA67" s="294">
        <f t="shared" si="4"/>
        <v>-37970.133333333331</v>
      </c>
      <c r="AB67" s="294">
        <f t="shared" si="4"/>
        <v>-37970.133333333331</v>
      </c>
      <c r="AC67" s="294">
        <f t="shared" si="4"/>
        <v>-37970.133333333331</v>
      </c>
      <c r="AD67" s="294">
        <f t="shared" si="4"/>
        <v>-37970.133333333331</v>
      </c>
      <c r="AE67" s="294">
        <f t="shared" si="4"/>
        <v>-37970.133333333331</v>
      </c>
    </row>
    <row r="68" spans="1:31" x14ac:dyDescent="0.2">
      <c r="A68" s="291" t="s">
        <v>585</v>
      </c>
      <c r="B68" s="292">
        <f t="shared" ref="B68:AE68" si="5">B66+B67</f>
        <v>0</v>
      </c>
      <c r="C68" s="292">
        <f>C66+C67</f>
        <v>-51829.307711999994</v>
      </c>
      <c r="D68" s="292">
        <f t="shared" si="5"/>
        <v>-57322.274111999999</v>
      </c>
      <c r="E68" s="292">
        <f t="shared" si="5"/>
        <v>-56486.931178666666</v>
      </c>
      <c r="F68" s="292">
        <f t="shared" si="5"/>
        <v>-55651.588245333332</v>
      </c>
      <c r="G68" s="292">
        <f t="shared" si="5"/>
        <v>-54816.245311999999</v>
      </c>
      <c r="H68" s="292">
        <f t="shared" si="5"/>
        <v>-54930.157098666663</v>
      </c>
      <c r="I68" s="292">
        <f t="shared" si="5"/>
        <v>-53145.559445333332</v>
      </c>
      <c r="J68" s="292">
        <f t="shared" si="5"/>
        <v>-23832.574912000004</v>
      </c>
      <c r="K68" s="292">
        <f t="shared" si="5"/>
        <v>-51474.873578666666</v>
      </c>
      <c r="L68" s="292">
        <f t="shared" si="5"/>
        <v>-50639.530645333332</v>
      </c>
      <c r="M68" s="292">
        <f t="shared" si="5"/>
        <v>-67903.286634666656</v>
      </c>
      <c r="N68" s="292">
        <f t="shared" si="5"/>
        <v>-49918.09949866667</v>
      </c>
      <c r="O68" s="292">
        <f t="shared" si="5"/>
        <v>-48133.50184533334</v>
      </c>
      <c r="P68" s="292">
        <f t="shared" si="5"/>
        <v>-47298.158912000006</v>
      </c>
      <c r="Q68" s="292">
        <f t="shared" si="5"/>
        <v>-46462.815978666673</v>
      </c>
      <c r="R68" s="292">
        <f t="shared" si="5"/>
        <v>-17149.831445333341</v>
      </c>
      <c r="S68" s="292">
        <f t="shared" si="5"/>
        <v>-44792.130112000006</v>
      </c>
      <c r="T68" s="292">
        <f t="shared" si="5"/>
        <v>-44906.041898666677</v>
      </c>
      <c r="U68" s="292">
        <f t="shared" si="5"/>
        <v>-43121.444245333339</v>
      </c>
      <c r="V68" s="292">
        <f t="shared" si="5"/>
        <v>-42286.101312000013</v>
      </c>
      <c r="W68" s="292">
        <f t="shared" si="5"/>
        <v>-41450.75837866668</v>
      </c>
      <c r="X68" s="292">
        <f t="shared" si="5"/>
        <v>-40615.415445333347</v>
      </c>
      <c r="Y68" s="292">
        <f t="shared" si="5"/>
        <v>-39780.072512000013</v>
      </c>
      <c r="Z68" s="292">
        <f t="shared" si="5"/>
        <v>-11416.342698666678</v>
      </c>
      <c r="AA68" s="292">
        <f t="shared" si="5"/>
        <v>-38109.386645333347</v>
      </c>
      <c r="AB68" s="292">
        <f t="shared" si="5"/>
        <v>-37274.043712000013</v>
      </c>
      <c r="AC68" s="292">
        <f t="shared" si="5"/>
        <v>-36438.70077866668</v>
      </c>
      <c r="AD68" s="292">
        <f t="shared" si="5"/>
        <v>-35603.357845333347</v>
      </c>
      <c r="AE68" s="292">
        <f t="shared" si="5"/>
        <v>-34768.014912000013</v>
      </c>
    </row>
    <row r="69" spans="1:31" x14ac:dyDescent="0.2">
      <c r="A69" s="288" t="s">
        <v>252</v>
      </c>
      <c r="B69" s="290">
        <v>0</v>
      </c>
      <c r="C69" s="290">
        <v>0</v>
      </c>
      <c r="D69" s="290">
        <v>0</v>
      </c>
      <c r="E69" s="290">
        <v>0</v>
      </c>
      <c r="F69" s="290">
        <v>0</v>
      </c>
      <c r="G69" s="290">
        <v>0</v>
      </c>
      <c r="H69" s="290">
        <v>0</v>
      </c>
      <c r="I69" s="290">
        <v>0</v>
      </c>
      <c r="J69" s="290">
        <v>0</v>
      </c>
      <c r="K69" s="290">
        <v>0</v>
      </c>
      <c r="L69" s="290">
        <v>0</v>
      </c>
      <c r="M69" s="290">
        <v>0</v>
      </c>
      <c r="N69" s="290">
        <v>0</v>
      </c>
      <c r="O69" s="290">
        <v>0</v>
      </c>
      <c r="P69" s="290">
        <v>0</v>
      </c>
      <c r="Q69" s="290">
        <v>0</v>
      </c>
      <c r="R69" s="290">
        <v>0</v>
      </c>
      <c r="S69" s="290">
        <v>0</v>
      </c>
      <c r="T69" s="290">
        <v>0</v>
      </c>
      <c r="U69" s="290">
        <v>0</v>
      </c>
      <c r="V69" s="290">
        <v>0</v>
      </c>
      <c r="W69" s="290">
        <v>0</v>
      </c>
      <c r="X69" s="290">
        <v>0</v>
      </c>
      <c r="Y69" s="290">
        <v>0</v>
      </c>
      <c r="Z69" s="290">
        <v>0</v>
      </c>
      <c r="AA69" s="290">
        <v>0</v>
      </c>
      <c r="AB69" s="290">
        <v>0</v>
      </c>
      <c r="AC69" s="290">
        <v>0</v>
      </c>
      <c r="AD69" s="290">
        <v>0</v>
      </c>
      <c r="AE69" s="290">
        <v>0</v>
      </c>
    </row>
    <row r="70" spans="1:31" x14ac:dyDescent="0.2">
      <c r="A70" s="291" t="s">
        <v>256</v>
      </c>
      <c r="B70" s="292">
        <f t="shared" ref="B70:AE70" si="6">B68+B69</f>
        <v>0</v>
      </c>
      <c r="C70" s="292">
        <f t="shared" si="6"/>
        <v>-51829.307711999994</v>
      </c>
      <c r="D70" s="292">
        <f t="shared" si="6"/>
        <v>-57322.274111999999</v>
      </c>
      <c r="E70" s="292">
        <f t="shared" si="6"/>
        <v>-56486.931178666666</v>
      </c>
      <c r="F70" s="292">
        <f t="shared" si="6"/>
        <v>-55651.588245333332</v>
      </c>
      <c r="G70" s="292">
        <f t="shared" si="6"/>
        <v>-54816.245311999999</v>
      </c>
      <c r="H70" s="292">
        <f t="shared" si="6"/>
        <v>-54930.157098666663</v>
      </c>
      <c r="I70" s="292">
        <f t="shared" si="6"/>
        <v>-53145.559445333332</v>
      </c>
      <c r="J70" s="292">
        <f t="shared" si="6"/>
        <v>-23832.574912000004</v>
      </c>
      <c r="K70" s="292">
        <f t="shared" si="6"/>
        <v>-51474.873578666666</v>
      </c>
      <c r="L70" s="292">
        <f t="shared" si="6"/>
        <v>-50639.530645333332</v>
      </c>
      <c r="M70" s="292">
        <f t="shared" si="6"/>
        <v>-67903.286634666656</v>
      </c>
      <c r="N70" s="292">
        <f t="shared" si="6"/>
        <v>-49918.09949866667</v>
      </c>
      <c r="O70" s="292">
        <f t="shared" si="6"/>
        <v>-48133.50184533334</v>
      </c>
      <c r="P70" s="292">
        <f t="shared" si="6"/>
        <v>-47298.158912000006</v>
      </c>
      <c r="Q70" s="292">
        <f t="shared" si="6"/>
        <v>-46462.815978666673</v>
      </c>
      <c r="R70" s="292">
        <f t="shared" si="6"/>
        <v>-17149.831445333341</v>
      </c>
      <c r="S70" s="292">
        <f t="shared" si="6"/>
        <v>-44792.130112000006</v>
      </c>
      <c r="T70" s="292">
        <f t="shared" si="6"/>
        <v>-44906.041898666677</v>
      </c>
      <c r="U70" s="292">
        <f t="shared" si="6"/>
        <v>-43121.444245333339</v>
      </c>
      <c r="V70" s="292">
        <f t="shared" si="6"/>
        <v>-42286.101312000013</v>
      </c>
      <c r="W70" s="292">
        <f t="shared" si="6"/>
        <v>-41450.75837866668</v>
      </c>
      <c r="X70" s="292">
        <f t="shared" si="6"/>
        <v>-40615.415445333347</v>
      </c>
      <c r="Y70" s="292">
        <f t="shared" si="6"/>
        <v>-39780.072512000013</v>
      </c>
      <c r="Z70" s="292">
        <f t="shared" si="6"/>
        <v>-11416.342698666678</v>
      </c>
      <c r="AA70" s="292">
        <f t="shared" si="6"/>
        <v>-38109.386645333347</v>
      </c>
      <c r="AB70" s="292">
        <f t="shared" si="6"/>
        <v>-37274.043712000013</v>
      </c>
      <c r="AC70" s="292">
        <f t="shared" si="6"/>
        <v>-36438.70077866668</v>
      </c>
      <c r="AD70" s="292">
        <f t="shared" si="6"/>
        <v>-35603.357845333347</v>
      </c>
      <c r="AE70" s="292">
        <f t="shared" si="6"/>
        <v>-34768.014912000013</v>
      </c>
    </row>
    <row r="71" spans="1:31" x14ac:dyDescent="0.2">
      <c r="A71" s="288" t="s">
        <v>251</v>
      </c>
      <c r="B71" s="293">
        <f t="shared" ref="B71:AE71" si="7">-B70*$B$35</f>
        <v>0</v>
      </c>
      <c r="C71" s="293">
        <f t="shared" si="7"/>
        <v>10365.8615424</v>
      </c>
      <c r="D71" s="293">
        <f t="shared" si="7"/>
        <v>11464.454822400001</v>
      </c>
      <c r="E71" s="293">
        <f t="shared" si="7"/>
        <v>11297.386235733335</v>
      </c>
      <c r="F71" s="293">
        <f t="shared" si="7"/>
        <v>11130.317649066666</v>
      </c>
      <c r="G71" s="293">
        <f t="shared" si="7"/>
        <v>10963.2490624</v>
      </c>
      <c r="H71" s="293">
        <f t="shared" si="7"/>
        <v>10986.031419733334</v>
      </c>
      <c r="I71" s="293">
        <f t="shared" si="7"/>
        <v>10629.111889066668</v>
      </c>
      <c r="J71" s="293">
        <f t="shared" si="7"/>
        <v>4766.5149824000009</v>
      </c>
      <c r="K71" s="293">
        <f t="shared" si="7"/>
        <v>10294.974715733333</v>
      </c>
      <c r="L71" s="293">
        <f t="shared" si="7"/>
        <v>10127.906129066667</v>
      </c>
      <c r="M71" s="293">
        <f t="shared" si="7"/>
        <v>13580.657326933331</v>
      </c>
      <c r="N71" s="293">
        <f t="shared" si="7"/>
        <v>9983.619899733334</v>
      </c>
      <c r="O71" s="293">
        <f t="shared" si="7"/>
        <v>9626.7003690666679</v>
      </c>
      <c r="P71" s="293">
        <f t="shared" si="7"/>
        <v>9459.6317824000016</v>
      </c>
      <c r="Q71" s="293">
        <f t="shared" si="7"/>
        <v>9292.5631957333353</v>
      </c>
      <c r="R71" s="293">
        <f t="shared" si="7"/>
        <v>3429.9662890666682</v>
      </c>
      <c r="S71" s="293">
        <f t="shared" si="7"/>
        <v>8958.4260224000009</v>
      </c>
      <c r="T71" s="293">
        <f t="shared" si="7"/>
        <v>8981.2083797333362</v>
      </c>
      <c r="U71" s="293">
        <f t="shared" si="7"/>
        <v>8624.2888490666683</v>
      </c>
      <c r="V71" s="293">
        <f t="shared" si="7"/>
        <v>8457.2202624000038</v>
      </c>
      <c r="W71" s="293">
        <f t="shared" si="7"/>
        <v>8290.1516757333357</v>
      </c>
      <c r="X71" s="293">
        <f t="shared" si="7"/>
        <v>8123.0830890666693</v>
      </c>
      <c r="Y71" s="293">
        <f t="shared" si="7"/>
        <v>7956.014502400003</v>
      </c>
      <c r="Z71" s="293">
        <f t="shared" si="7"/>
        <v>2283.2685397333357</v>
      </c>
      <c r="AA71" s="293">
        <f t="shared" si="7"/>
        <v>7621.8773290666695</v>
      </c>
      <c r="AB71" s="293">
        <f t="shared" si="7"/>
        <v>7454.8087424000032</v>
      </c>
      <c r="AC71" s="293">
        <f t="shared" si="7"/>
        <v>7287.740155733336</v>
      </c>
      <c r="AD71" s="293">
        <f t="shared" si="7"/>
        <v>7120.6715690666697</v>
      </c>
      <c r="AE71" s="293">
        <f t="shared" si="7"/>
        <v>6953.6029824000034</v>
      </c>
    </row>
    <row r="72" spans="1:31" ht="13.5" thickBot="1" x14ac:dyDescent="0.25">
      <c r="A72" s="295" t="s">
        <v>255</v>
      </c>
      <c r="B72" s="296">
        <f t="shared" ref="B72:AE72" si="8">B70+B71</f>
        <v>0</v>
      </c>
      <c r="C72" s="296">
        <f t="shared" si="8"/>
        <v>-41463.446169599993</v>
      </c>
      <c r="D72" s="296">
        <f t="shared" si="8"/>
        <v>-45857.819289599996</v>
      </c>
      <c r="E72" s="296">
        <f t="shared" si="8"/>
        <v>-45189.544942933331</v>
      </c>
      <c r="F72" s="296">
        <f t="shared" si="8"/>
        <v>-44521.270596266666</v>
      </c>
      <c r="G72" s="296">
        <f t="shared" si="8"/>
        <v>-43852.996249600001</v>
      </c>
      <c r="H72" s="296">
        <f t="shared" si="8"/>
        <v>-43944.125678933327</v>
      </c>
      <c r="I72" s="296">
        <f t="shared" si="8"/>
        <v>-42516.447556266663</v>
      </c>
      <c r="J72" s="296">
        <f t="shared" si="8"/>
        <v>-19066.059929600004</v>
      </c>
      <c r="K72" s="296">
        <f t="shared" si="8"/>
        <v>-41179.898862933333</v>
      </c>
      <c r="L72" s="296">
        <f t="shared" si="8"/>
        <v>-40511.624516266667</v>
      </c>
      <c r="M72" s="296">
        <f t="shared" si="8"/>
        <v>-54322.629307733325</v>
      </c>
      <c r="N72" s="296">
        <f t="shared" si="8"/>
        <v>-39934.479598933336</v>
      </c>
      <c r="O72" s="296">
        <f t="shared" si="8"/>
        <v>-38506.801476266672</v>
      </c>
      <c r="P72" s="296">
        <f t="shared" si="8"/>
        <v>-37838.527129600006</v>
      </c>
      <c r="Q72" s="296">
        <f t="shared" si="8"/>
        <v>-37170.252782933341</v>
      </c>
      <c r="R72" s="296">
        <f t="shared" si="8"/>
        <v>-13719.865156266673</v>
      </c>
      <c r="S72" s="296">
        <f t="shared" si="8"/>
        <v>-35833.704089600003</v>
      </c>
      <c r="T72" s="296">
        <f t="shared" si="8"/>
        <v>-35924.833518933345</v>
      </c>
      <c r="U72" s="296">
        <f t="shared" si="8"/>
        <v>-34497.155396266673</v>
      </c>
      <c r="V72" s="296">
        <f t="shared" si="8"/>
        <v>-33828.881049600008</v>
      </c>
      <c r="W72" s="296">
        <f t="shared" si="8"/>
        <v>-33160.606702933343</v>
      </c>
      <c r="X72" s="296">
        <f t="shared" si="8"/>
        <v>-32492.332356266677</v>
      </c>
      <c r="Y72" s="296">
        <f t="shared" si="8"/>
        <v>-31824.058009600012</v>
      </c>
      <c r="Z72" s="296">
        <f t="shared" si="8"/>
        <v>-9133.0741589333429</v>
      </c>
      <c r="AA72" s="296">
        <f t="shared" si="8"/>
        <v>-30487.509316266678</v>
      </c>
      <c r="AB72" s="296">
        <f t="shared" si="8"/>
        <v>-29819.234969600009</v>
      </c>
      <c r="AC72" s="296">
        <f t="shared" si="8"/>
        <v>-29150.960622933344</v>
      </c>
      <c r="AD72" s="296">
        <f t="shared" si="8"/>
        <v>-28482.686276266679</v>
      </c>
      <c r="AE72" s="296">
        <f t="shared" si="8"/>
        <v>-27814.41192960001</v>
      </c>
    </row>
    <row r="73" spans="1:31" ht="13.5" thickBot="1" x14ac:dyDescent="0.25">
      <c r="A73" s="278"/>
      <c r="B73" s="297">
        <v>0.5</v>
      </c>
      <c r="C73" s="297">
        <v>1.5</v>
      </c>
      <c r="D73" s="297">
        <v>2.5</v>
      </c>
      <c r="E73" s="297">
        <v>3.5</v>
      </c>
      <c r="F73" s="297">
        <v>4.5</v>
      </c>
      <c r="G73" s="297">
        <v>5.5</v>
      </c>
      <c r="H73" s="297">
        <v>6.5</v>
      </c>
      <c r="I73" s="297">
        <v>7.5</v>
      </c>
      <c r="J73" s="297">
        <v>8.5</v>
      </c>
      <c r="K73" s="297">
        <v>9.5</v>
      </c>
      <c r="L73" s="297">
        <v>10.5</v>
      </c>
      <c r="M73" s="297">
        <v>11.5</v>
      </c>
      <c r="N73" s="297">
        <v>12.5</v>
      </c>
      <c r="O73" s="297">
        <v>13.5</v>
      </c>
      <c r="P73" s="297">
        <v>14.5</v>
      </c>
      <c r="Q73" s="297">
        <v>15.5</v>
      </c>
      <c r="R73" s="297">
        <v>16.5</v>
      </c>
      <c r="S73" s="297">
        <v>17.5</v>
      </c>
      <c r="T73" s="297">
        <v>18.5</v>
      </c>
      <c r="U73" s="297">
        <v>19.5</v>
      </c>
      <c r="V73" s="297">
        <v>20.5</v>
      </c>
      <c r="W73" s="297">
        <v>21.5</v>
      </c>
      <c r="X73" s="297">
        <v>22.5</v>
      </c>
      <c r="Y73" s="297">
        <v>23.5</v>
      </c>
      <c r="Z73" s="297">
        <v>24.5</v>
      </c>
      <c r="AA73" s="297">
        <v>25.5</v>
      </c>
      <c r="AB73" s="297">
        <v>26.5</v>
      </c>
      <c r="AC73" s="297">
        <v>27.5</v>
      </c>
      <c r="AD73" s="297">
        <v>28.5</v>
      </c>
      <c r="AE73" s="297">
        <v>29.5</v>
      </c>
    </row>
    <row r="74" spans="1:31" x14ac:dyDescent="0.2">
      <c r="A74" s="280" t="s">
        <v>254</v>
      </c>
      <c r="B74" s="271">
        <v>1</v>
      </c>
      <c r="C74" s="271">
        <v>2</v>
      </c>
      <c r="D74" s="271">
        <v>3</v>
      </c>
      <c r="E74" s="271">
        <v>4</v>
      </c>
      <c r="F74" s="271">
        <v>5</v>
      </c>
      <c r="G74" s="271">
        <v>6</v>
      </c>
      <c r="H74" s="271">
        <v>7</v>
      </c>
      <c r="I74" s="271">
        <v>8</v>
      </c>
      <c r="J74" s="271">
        <v>9</v>
      </c>
      <c r="K74" s="271">
        <v>10</v>
      </c>
      <c r="L74" s="271">
        <v>11</v>
      </c>
      <c r="M74" s="271">
        <v>12</v>
      </c>
      <c r="N74" s="271">
        <v>13</v>
      </c>
      <c r="O74" s="271">
        <v>14</v>
      </c>
      <c r="P74" s="271">
        <v>15</v>
      </c>
      <c r="Q74" s="271">
        <v>16</v>
      </c>
      <c r="R74" s="271">
        <v>17</v>
      </c>
      <c r="S74" s="271">
        <v>18</v>
      </c>
      <c r="T74" s="271">
        <v>19</v>
      </c>
      <c r="U74" s="271">
        <v>20</v>
      </c>
      <c r="V74" s="271">
        <v>21</v>
      </c>
      <c r="W74" s="271">
        <v>22</v>
      </c>
      <c r="X74" s="271">
        <v>23</v>
      </c>
      <c r="Y74" s="271">
        <v>24</v>
      </c>
      <c r="Z74" s="271">
        <v>25</v>
      </c>
      <c r="AA74" s="271">
        <v>26</v>
      </c>
      <c r="AB74" s="271">
        <v>27</v>
      </c>
      <c r="AC74" s="271">
        <v>28</v>
      </c>
      <c r="AD74" s="271">
        <v>29</v>
      </c>
      <c r="AE74" s="271">
        <v>30</v>
      </c>
    </row>
    <row r="75" spans="1:31" x14ac:dyDescent="0.2">
      <c r="A75" s="298" t="s">
        <v>585</v>
      </c>
      <c r="B75" s="292">
        <f t="shared" ref="B75:AE75" si="9">B68</f>
        <v>0</v>
      </c>
      <c r="C75" s="292">
        <f t="shared" si="9"/>
        <v>-51829.307711999994</v>
      </c>
      <c r="D75" s="292">
        <f t="shared" si="9"/>
        <v>-57322.274111999999</v>
      </c>
      <c r="E75" s="292">
        <f t="shared" si="9"/>
        <v>-56486.931178666666</v>
      </c>
      <c r="F75" s="292">
        <f t="shared" si="9"/>
        <v>-55651.588245333332</v>
      </c>
      <c r="G75" s="292">
        <f t="shared" si="9"/>
        <v>-54816.245311999999</v>
      </c>
      <c r="H75" s="292">
        <f t="shared" si="9"/>
        <v>-54930.157098666663</v>
      </c>
      <c r="I75" s="292">
        <f t="shared" si="9"/>
        <v>-53145.559445333332</v>
      </c>
      <c r="J75" s="292">
        <f t="shared" si="9"/>
        <v>-23832.574912000004</v>
      </c>
      <c r="K75" s="292">
        <f t="shared" si="9"/>
        <v>-51474.873578666666</v>
      </c>
      <c r="L75" s="292">
        <f t="shared" si="9"/>
        <v>-50639.530645333332</v>
      </c>
      <c r="M75" s="292">
        <f t="shared" si="9"/>
        <v>-67903.286634666656</v>
      </c>
      <c r="N75" s="292">
        <f t="shared" si="9"/>
        <v>-49918.09949866667</v>
      </c>
      <c r="O75" s="292">
        <f t="shared" si="9"/>
        <v>-48133.50184533334</v>
      </c>
      <c r="P75" s="292">
        <f t="shared" si="9"/>
        <v>-47298.158912000006</v>
      </c>
      <c r="Q75" s="292">
        <f t="shared" si="9"/>
        <v>-46462.815978666673</v>
      </c>
      <c r="R75" s="292">
        <f t="shared" si="9"/>
        <v>-17149.831445333341</v>
      </c>
      <c r="S75" s="292">
        <f t="shared" si="9"/>
        <v>-44792.130112000006</v>
      </c>
      <c r="T75" s="292">
        <f t="shared" si="9"/>
        <v>-44906.041898666677</v>
      </c>
      <c r="U75" s="292">
        <f t="shared" si="9"/>
        <v>-43121.444245333339</v>
      </c>
      <c r="V75" s="292">
        <f t="shared" si="9"/>
        <v>-42286.101312000013</v>
      </c>
      <c r="W75" s="292">
        <f t="shared" si="9"/>
        <v>-41450.75837866668</v>
      </c>
      <c r="X75" s="292">
        <f t="shared" si="9"/>
        <v>-40615.415445333347</v>
      </c>
      <c r="Y75" s="292">
        <f t="shared" si="9"/>
        <v>-39780.072512000013</v>
      </c>
      <c r="Z75" s="292">
        <f t="shared" si="9"/>
        <v>-11416.342698666678</v>
      </c>
      <c r="AA75" s="292">
        <f t="shared" si="9"/>
        <v>-38109.386645333347</v>
      </c>
      <c r="AB75" s="292">
        <f t="shared" si="9"/>
        <v>-37274.043712000013</v>
      </c>
      <c r="AC75" s="292">
        <f t="shared" si="9"/>
        <v>-36438.70077866668</v>
      </c>
      <c r="AD75" s="292">
        <f t="shared" si="9"/>
        <v>-35603.357845333347</v>
      </c>
      <c r="AE75" s="292">
        <f t="shared" si="9"/>
        <v>-34768.014912000013</v>
      </c>
    </row>
    <row r="76" spans="1:31" x14ac:dyDescent="0.2">
      <c r="A76" s="288" t="s">
        <v>253</v>
      </c>
      <c r="B76" s="293">
        <f t="shared" ref="B76:AE76" si="10">-B67</f>
        <v>0</v>
      </c>
      <c r="C76" s="293">
        <f t="shared" si="10"/>
        <v>31641.824000000001</v>
      </c>
      <c r="D76" s="293">
        <f t="shared" si="10"/>
        <v>37970.133333333331</v>
      </c>
      <c r="E76" s="293">
        <f t="shared" si="10"/>
        <v>37970.133333333331</v>
      </c>
      <c r="F76" s="293">
        <f t="shared" si="10"/>
        <v>37970.133333333331</v>
      </c>
      <c r="G76" s="293">
        <f t="shared" si="10"/>
        <v>37970.133333333331</v>
      </c>
      <c r="H76" s="293">
        <f t="shared" si="10"/>
        <v>37970.133333333331</v>
      </c>
      <c r="I76" s="293">
        <f t="shared" si="10"/>
        <v>37970.133333333331</v>
      </c>
      <c r="J76" s="293">
        <f t="shared" si="10"/>
        <v>37970.133333333331</v>
      </c>
      <c r="K76" s="293">
        <f t="shared" si="10"/>
        <v>37970.133333333331</v>
      </c>
      <c r="L76" s="293">
        <f t="shared" si="10"/>
        <v>37970.133333333331</v>
      </c>
      <c r="M76" s="293">
        <f t="shared" si="10"/>
        <v>37970.133333333331</v>
      </c>
      <c r="N76" s="293">
        <f t="shared" si="10"/>
        <v>37970.133333333331</v>
      </c>
      <c r="O76" s="293">
        <f t="shared" si="10"/>
        <v>37970.133333333331</v>
      </c>
      <c r="P76" s="293">
        <f t="shared" si="10"/>
        <v>37970.133333333331</v>
      </c>
      <c r="Q76" s="293">
        <f t="shared" si="10"/>
        <v>37970.133333333331</v>
      </c>
      <c r="R76" s="293">
        <f t="shared" si="10"/>
        <v>37970.133333333331</v>
      </c>
      <c r="S76" s="293">
        <f t="shared" si="10"/>
        <v>37970.133333333331</v>
      </c>
      <c r="T76" s="293">
        <f t="shared" si="10"/>
        <v>37970.133333333331</v>
      </c>
      <c r="U76" s="293">
        <f t="shared" si="10"/>
        <v>37970.133333333331</v>
      </c>
      <c r="V76" s="293">
        <f t="shared" si="10"/>
        <v>37970.133333333331</v>
      </c>
      <c r="W76" s="293">
        <f t="shared" si="10"/>
        <v>37970.133333333331</v>
      </c>
      <c r="X76" s="293">
        <f t="shared" si="10"/>
        <v>37970.133333333331</v>
      </c>
      <c r="Y76" s="293">
        <f t="shared" si="10"/>
        <v>37970.133333333331</v>
      </c>
      <c r="Z76" s="293">
        <f t="shared" si="10"/>
        <v>37970.133333333331</v>
      </c>
      <c r="AA76" s="293">
        <f t="shared" si="10"/>
        <v>37970.133333333331</v>
      </c>
      <c r="AB76" s="293">
        <f t="shared" si="10"/>
        <v>37970.133333333331</v>
      </c>
      <c r="AC76" s="293">
        <f t="shared" si="10"/>
        <v>37970.133333333331</v>
      </c>
      <c r="AD76" s="293">
        <f t="shared" si="10"/>
        <v>37970.133333333331</v>
      </c>
      <c r="AE76" s="293">
        <f t="shared" si="10"/>
        <v>37970.133333333331</v>
      </c>
    </row>
    <row r="77" spans="1:31" x14ac:dyDescent="0.2">
      <c r="A77" s="288" t="s">
        <v>252</v>
      </c>
      <c r="B77" s="293">
        <f t="shared" ref="B77:AE77" si="11">B69</f>
        <v>0</v>
      </c>
      <c r="C77" s="293">
        <f t="shared" si="11"/>
        <v>0</v>
      </c>
      <c r="D77" s="293">
        <f t="shared" si="11"/>
        <v>0</v>
      </c>
      <c r="E77" s="293">
        <f t="shared" si="11"/>
        <v>0</v>
      </c>
      <c r="F77" s="293">
        <f t="shared" si="11"/>
        <v>0</v>
      </c>
      <c r="G77" s="293">
        <f t="shared" si="11"/>
        <v>0</v>
      </c>
      <c r="H77" s="293">
        <f t="shared" si="11"/>
        <v>0</v>
      </c>
      <c r="I77" s="293">
        <f t="shared" si="11"/>
        <v>0</v>
      </c>
      <c r="J77" s="293">
        <f t="shared" si="11"/>
        <v>0</v>
      </c>
      <c r="K77" s="293">
        <f t="shared" si="11"/>
        <v>0</v>
      </c>
      <c r="L77" s="293">
        <f t="shared" si="11"/>
        <v>0</v>
      </c>
      <c r="M77" s="293">
        <f t="shared" si="11"/>
        <v>0</v>
      </c>
      <c r="N77" s="293">
        <f t="shared" si="11"/>
        <v>0</v>
      </c>
      <c r="O77" s="293">
        <f t="shared" si="11"/>
        <v>0</v>
      </c>
      <c r="P77" s="293">
        <f t="shared" si="11"/>
        <v>0</v>
      </c>
      <c r="Q77" s="293">
        <f t="shared" si="11"/>
        <v>0</v>
      </c>
      <c r="R77" s="293">
        <f t="shared" si="11"/>
        <v>0</v>
      </c>
      <c r="S77" s="293">
        <f t="shared" si="11"/>
        <v>0</v>
      </c>
      <c r="T77" s="293">
        <f t="shared" si="11"/>
        <v>0</v>
      </c>
      <c r="U77" s="293">
        <f t="shared" si="11"/>
        <v>0</v>
      </c>
      <c r="V77" s="293">
        <f t="shared" si="11"/>
        <v>0</v>
      </c>
      <c r="W77" s="293">
        <f t="shared" si="11"/>
        <v>0</v>
      </c>
      <c r="X77" s="293">
        <f t="shared" si="11"/>
        <v>0</v>
      </c>
      <c r="Y77" s="293">
        <f t="shared" si="11"/>
        <v>0</v>
      </c>
      <c r="Z77" s="293">
        <f t="shared" si="11"/>
        <v>0</v>
      </c>
      <c r="AA77" s="293">
        <f t="shared" si="11"/>
        <v>0</v>
      </c>
      <c r="AB77" s="293">
        <f t="shared" si="11"/>
        <v>0</v>
      </c>
      <c r="AC77" s="293">
        <f t="shared" si="11"/>
        <v>0</v>
      </c>
      <c r="AD77" s="293">
        <f t="shared" si="11"/>
        <v>0</v>
      </c>
      <c r="AE77" s="293">
        <f t="shared" si="11"/>
        <v>0</v>
      </c>
    </row>
    <row r="78" spans="1:31" x14ac:dyDescent="0.2">
      <c r="A78" s="288" t="s">
        <v>251</v>
      </c>
      <c r="B78" s="293">
        <f>IF(SUM($B$71:B71)+SUM($A$78:A78)&gt;0,0,SUM($B$71:B71)-SUM($A$78:A78))</f>
        <v>0</v>
      </c>
      <c r="C78" s="293">
        <f>IF(SUM($B$71:C71)+SUM($A$78:B78)&gt;0,0,SUM($B$71:C71)-SUM($A$78:B78))</f>
        <v>0</v>
      </c>
      <c r="D78" s="293">
        <f>IF(SUM($B$71:D71)+SUM($A$78:C78)&gt;0,0,SUM($B$71:D71)-SUM($A$78:C78))</f>
        <v>0</v>
      </c>
      <c r="E78" s="293">
        <f>IF(SUM($B$71:E71)+SUM($A$78:D78)&gt;0,0,SUM($B$71:E71)-SUM($A$78:D78))</f>
        <v>0</v>
      </c>
      <c r="F78" s="293">
        <f>IF(SUM($B$71:F71)+SUM($A$78:E78)&gt;0,0,SUM($B$71:F71)-SUM($A$78:E78))</f>
        <v>0</v>
      </c>
      <c r="G78" s="293">
        <f>IF(SUM($B$71:G71)+SUM($A$78:F78)&gt;0,0,SUM($B$71:G71)-SUM($A$78:F78))</f>
        <v>0</v>
      </c>
      <c r="H78" s="293">
        <f>IF(SUM($B$71:H71)+SUM($A$78:G78)&gt;0,0,SUM($B$71:H71)-SUM($A$78:G78))</f>
        <v>0</v>
      </c>
      <c r="I78" s="293">
        <f>IF(SUM($B$71:I71)+SUM($A$78:H78)&gt;0,0,SUM($B$71:I71)-SUM($A$78:H78))</f>
        <v>0</v>
      </c>
      <c r="J78" s="293">
        <f>IF(SUM($B$71:J71)+SUM($A$78:I78)&gt;0,0,SUM($B$71:J71)-SUM($A$78:I78))</f>
        <v>0</v>
      </c>
      <c r="K78" s="293">
        <f>IF(SUM($B$71:K71)+SUM($A$78:J78)&gt;0,0,SUM($B$71:K71)-SUM($A$78:J78))</f>
        <v>0</v>
      </c>
      <c r="L78" s="293">
        <f>IF(SUM($B$71:L71)+SUM($A$78:K78)&gt;0,0,SUM($B$71:L71)-SUM($A$78:K78))</f>
        <v>0</v>
      </c>
      <c r="M78" s="293">
        <f>IF(SUM($B$71:M71)+SUM($A$78:L78)&gt;0,0,SUM($B$71:M71)-SUM($A$78:L78))</f>
        <v>0</v>
      </c>
      <c r="N78" s="293">
        <f>IF(SUM($B$71:N71)+SUM($A$78:M78)&gt;0,0,SUM($B$71:N71)-SUM($A$78:M78))</f>
        <v>0</v>
      </c>
      <c r="O78" s="293">
        <f>IF(SUM($B$71:O71)+SUM($A$78:N78)&gt;0,0,SUM($B$71:O71)-SUM($A$78:N78))</f>
        <v>0</v>
      </c>
      <c r="P78" s="293">
        <f>IF(SUM($B$71:P71)+SUM($A$78:O78)&gt;0,0,SUM($B$71:P71)-SUM($A$78:O78))</f>
        <v>0</v>
      </c>
      <c r="Q78" s="293">
        <f>IF(SUM($B$71:Q71)+SUM($A$78:P78)&gt;0,0,SUM($B$71:Q71)-SUM($A$78:P78))</f>
        <v>0</v>
      </c>
      <c r="R78" s="293">
        <f>IF(SUM($B$71:R71)+SUM($A$78:Q78)&gt;0,0,SUM($B$71:R71)-SUM($A$78:Q78))</f>
        <v>0</v>
      </c>
      <c r="S78" s="293">
        <f>IF(SUM($B$71:S71)+SUM($A$78:R78)&gt;0,0,SUM($B$71:S71)-SUM($A$78:R78))</f>
        <v>0</v>
      </c>
      <c r="T78" s="293">
        <f>IF(SUM($B$71:T71)+SUM($A$78:S78)&gt;0,0,SUM($B$71:T71)-SUM($A$78:S78))</f>
        <v>0</v>
      </c>
      <c r="U78" s="293">
        <f>IF(SUM($B$71:U71)+SUM($A$78:T78)&gt;0,0,SUM($B$71:U71)-SUM($A$78:T78))</f>
        <v>0</v>
      </c>
      <c r="V78" s="293">
        <f>IF(SUM($B$71:V71)+SUM($A$78:U78)&gt;0,0,SUM($B$71:V71)-SUM($A$78:U78))</f>
        <v>0</v>
      </c>
      <c r="W78" s="293">
        <f>IF(SUM($B$71:W71)+SUM($A$78:V78)&gt;0,0,SUM($B$71:W71)-SUM($A$78:V78))</f>
        <v>0</v>
      </c>
      <c r="X78" s="293">
        <f>IF(SUM($B$71:X71)+SUM($A$78:W78)&gt;0,0,SUM($B$71:X71)-SUM($A$78:W78))</f>
        <v>0</v>
      </c>
      <c r="Y78" s="293">
        <f>IF(SUM($B$71:Y71)+SUM($A$78:X78)&gt;0,0,SUM($B$71:Y71)-SUM($A$78:X78))</f>
        <v>0</v>
      </c>
      <c r="Z78" s="293">
        <f>IF(SUM($B$71:Z71)+SUM($A$78:Y78)&gt;0,0,SUM($B$71:Z71)-SUM($A$78:Y78))</f>
        <v>0</v>
      </c>
      <c r="AA78" s="293">
        <f>IF(SUM($B$71:AA71)+SUM($A$78:Z78)&gt;0,0,SUM($B$71:AA71)-SUM($A$78:Z78))</f>
        <v>0</v>
      </c>
      <c r="AB78" s="293">
        <f>IF(SUM($B$71:AB71)+SUM($A$78:AA78)&gt;0,0,SUM($B$71:AB71)-SUM($A$78:AA78))</f>
        <v>0</v>
      </c>
      <c r="AC78" s="293">
        <f>IF(SUM($B$71:AC71)+SUM($A$78:AB78)&gt;0,0,SUM($B$71:AC71)-SUM($A$78:AB78))</f>
        <v>0</v>
      </c>
      <c r="AD78" s="293">
        <f>IF(SUM($B$71:AD71)+SUM($A$78:AC78)&gt;0,0,SUM($B$71:AD71)-SUM($A$78:AC78))</f>
        <v>0</v>
      </c>
      <c r="AE78" s="293">
        <f>IF(SUM($B$71:AE71)+SUM($A$78:AD78)&gt;0,0,SUM($B$71:AE71)-SUM($A$78:AD78))</f>
        <v>0</v>
      </c>
    </row>
    <row r="79" spans="1:31" x14ac:dyDescent="0.2">
      <c r="A79" s="288" t="s">
        <v>250</v>
      </c>
      <c r="B79" s="293">
        <f>IF(((SUM($B$58:B58)+SUM($B$60:B64))+SUM($B$81:B81))&lt;0,((SUM($B$58:B58)+SUM($B$60:B64))+SUM($B$81:B81))*0.2-SUM($A$79:A79),IF(SUM(A$79:$A79)&lt;0,0-SUM(A$79:$A79),0))</f>
        <v>-227820.80000000002</v>
      </c>
      <c r="C79" s="293">
        <f>IF(((SUM($B$58:C58)+SUM($B$60:C64))+SUM($B$81:C81))&lt;0,((SUM($B$58:C58)+SUM($B$60:C64))+SUM($B$81:C81))*0.2-SUM($A$79:B79),IF(SUM($A$79:B79)&lt;0,0-SUM($A$79:B79),0))</f>
        <v>0</v>
      </c>
      <c r="D79" s="293">
        <f>IF(((SUM($B$58:D58)+SUM($B$60:D64))+SUM($B$81:D81))&lt;0,((SUM($B$58:D58)+SUM($B$60:D64))+SUM($B$81:D81))*0.2-SUM($A$79:C79),IF(SUM($A$79:C79)&lt;0,0-SUM($A$79:C79),0))</f>
        <v>0</v>
      </c>
      <c r="E79" s="293">
        <f>IF(((SUM($B$58:E58)+SUM($B$60:E64))+SUM($B$81:E81))&lt;0,((SUM($B$58:E58)+SUM($B$60:E64))+SUM($B$81:E81))*0.2-SUM($A$79:D79),IF(SUM($A$79:D79)&lt;0,0-SUM($A$79:D79),0))</f>
        <v>0</v>
      </c>
      <c r="F79" s="293">
        <f>IF(((SUM($B$58:F58)+SUM($B$60:F64))+SUM($B$81:F81))&lt;0,((SUM($B$58:F58)+SUM($B$60:F64))+SUM($B$81:F81))*0.2-SUM($A$79:E79),IF(SUM($A$79:E79)&lt;0,0-SUM($A$79:E79),0))</f>
        <v>0</v>
      </c>
      <c r="G79" s="293">
        <f>IF(((SUM($B$58:G58)+SUM($B$60:G64))+SUM($B$81:G81))&lt;0,((SUM($B$58:G58)+SUM($B$60:G64))+SUM($B$81:G81))*0.2-SUM($A$79:F79),IF(SUM($A$79:F79)&lt;0,0-SUM($A$79:F79),0))</f>
        <v>0</v>
      </c>
      <c r="H79" s="293">
        <f>IF(((SUM($B$58:H58)+SUM($B$60:H64))+SUM($B$81:H81))&lt;0,((SUM($B$58:H58)+SUM($B$60:H64))+SUM($B$81:H81))*0.2-SUM($A$79:G79),IF(SUM($A$79:G79)&lt;0,0-SUM($A$79:G79),0))</f>
        <v>-189.85094400000526</v>
      </c>
      <c r="I79" s="293">
        <f>IF(((SUM($B$58:I58)+SUM($B$60:I64))+SUM($B$81:I81))&lt;0,((SUM($B$58:I58)+SUM($B$60:I64))+SUM($B$81:I81))*0.2-SUM($A$79:H79),IF(SUM($A$79:H79)&lt;0,0-SUM($A$79:H79),0))</f>
        <v>0</v>
      </c>
      <c r="J79" s="293">
        <f>IF(((SUM($B$58:J58)+SUM($B$60:J64))+SUM($B$81:J81))&lt;0,((SUM($B$58:J58)+SUM($B$60:J64))+SUM($B$81:J81))*0.2-SUM($A$79:I79),IF(SUM($A$79:I79)&lt;0,0-SUM($A$79:I79),0))</f>
        <v>5695.5283199999831</v>
      </c>
      <c r="K79" s="293">
        <f>IF(((SUM($B$58:K58)+SUM($B$60:K64))+SUM($B$81:K81))&lt;0,((SUM($B$58:K58)+SUM($B$60:K64))+SUM($B$81:K81))*0.2-SUM($A$79:J79),IF(SUM($A$79:J79)&lt;0,0-SUM($A$79:J79),0))</f>
        <v>0</v>
      </c>
      <c r="L79" s="293">
        <f>IF(((SUM($B$58:L58)+SUM($B$60:L64))+SUM($B$81:L81))&lt;0,((SUM($B$58:L58)+SUM($B$60:L64))+SUM($B$81:L81))*0.2-SUM($A$79:K79),IF(SUM($A$79:K79)&lt;0,0-SUM($A$79:K79),0))</f>
        <v>0</v>
      </c>
      <c r="M79" s="293">
        <f>IF(((SUM($B$58:M58)+SUM($B$60:M64))+SUM($B$81:M81))&lt;0,((SUM($B$58:M58)+SUM($B$60:M64))+SUM($B$81:M81))*0.2-SUM($A$79:L79),IF(SUM($A$79:L79)&lt;0,0-SUM($A$79:L79),0))</f>
        <v>0</v>
      </c>
      <c r="N79" s="293">
        <f>IF(((SUM($B$58:N58)+SUM($B$60:N64))+SUM($B$81:N81))&lt;0,((SUM($B$58:N58)+SUM($B$60:N64))+SUM($B$81:N81))*0.2-SUM($A$79:M79),IF(SUM($A$79:M79)&lt;0,0-SUM($A$79:M79),0))</f>
        <v>-189.85094399997615</v>
      </c>
      <c r="O79" s="293">
        <f>IF(((SUM($B$58:O58)+SUM($B$60:O64))+SUM($B$81:O81))&lt;0,((SUM($B$58:O58)+SUM($B$60:O64))+SUM($B$81:O81))*0.2-SUM($A$79:N79),IF(SUM($A$79:N79)&lt;0,0-SUM($A$79:N79),0))</f>
        <v>0</v>
      </c>
      <c r="P79" s="293">
        <f>IF(((SUM($B$58:P58)+SUM($B$60:P64))+SUM($B$81:P81))&lt;0,((SUM($B$58:P58)+SUM($B$60:P64))+SUM($B$81:P81))*0.2-SUM($A$79:O79),IF(SUM($A$79:O79)&lt;0,0-SUM($A$79:O79),0))</f>
        <v>0</v>
      </c>
      <c r="Q79" s="293">
        <f>IF(((SUM($B$58:Q58)+SUM($B$60:Q64))+SUM($B$81:Q81))&lt;0,((SUM($B$58:Q58)+SUM($B$60:Q64))+SUM($B$81:Q81))*0.2-SUM($A$79:P79),IF(SUM($A$79:P79)&lt;0,0-SUM($A$79:P79),0))</f>
        <v>0</v>
      </c>
      <c r="R79" s="293">
        <f>IF(((SUM($B$58:R58)+SUM($B$60:R64))+SUM($B$81:R81))&lt;0,((SUM($B$58:R58)+SUM($B$60:R64))+SUM($B$81:R81))*0.2-SUM($A$79:Q79),IF(SUM($A$79:Q79)&lt;0,0-SUM($A$79:Q79),0))</f>
        <v>5695.5283200000122</v>
      </c>
      <c r="S79" s="293">
        <f>IF(((SUM($B$58:S58)+SUM($B$60:S64))+SUM($B$81:S81))&lt;0,((SUM($B$58:S58)+SUM($B$60:S64))+SUM($B$81:S81))*0.2-SUM($A$79:R79),IF(SUM($A$79:R79)&lt;0,0-SUM($A$79:R79),0))</f>
        <v>0</v>
      </c>
      <c r="T79" s="293">
        <f>IF(((SUM($B$58:T58)+SUM($B$60:T64))+SUM($B$81:T81))&lt;0,((SUM($B$58:T58)+SUM($B$60:T64))+SUM($B$81:T81))*0.2-SUM($A$79:S79),IF(SUM($A$79:S79)&lt;0,0-SUM($A$79:S79),0))</f>
        <v>-189.85094400003436</v>
      </c>
      <c r="U79" s="293">
        <f>IF(((SUM($B$58:U58)+SUM($B$60:U64))+SUM($B$81:U81))&lt;0,((SUM($B$58:U58)+SUM($B$60:U64))+SUM($B$81:U81))*0.2-SUM($A$79:T79),IF(SUM($A$79:T79)&lt;0,0-SUM($A$79:T79),0))</f>
        <v>0</v>
      </c>
      <c r="V79" s="293">
        <f>IF(((SUM($B$58:V58)+SUM($B$60:V64))+SUM($B$81:V81))&lt;0,((SUM($B$58:V58)+SUM($B$60:V64))+SUM($B$81:V81))*0.2-SUM($A$79:U79),IF(SUM($A$79:U79)&lt;0,0-SUM($A$79:U79),0))</f>
        <v>0</v>
      </c>
      <c r="W79" s="293">
        <f>IF(((SUM($B$58:W58)+SUM($B$60:W64))+SUM($B$81:W81))&lt;0,((SUM($B$58:W58)+SUM($B$60:W64))+SUM($B$81:W81))*0.2-SUM($A$79:V79),IF(SUM($A$79:V79)&lt;0,0-SUM($A$79:V79),0))</f>
        <v>0</v>
      </c>
      <c r="X79" s="293">
        <f>IF(((SUM($B$58:X58)+SUM($B$60:X64))+SUM($B$81:X81))&lt;0,((SUM($B$58:X58)+SUM($B$60:X64))+SUM($B$81:X81))*0.2-SUM($A$79:W79),IF(SUM($A$79:W79)&lt;0,0-SUM($A$79:W79),0))</f>
        <v>0</v>
      </c>
      <c r="Y79" s="293">
        <f>IF(((SUM($B$58:Y58)+SUM($B$60:Y64))+SUM($B$81:Y81))&lt;0,((SUM($B$58:Y58)+SUM($B$60:Y64))+SUM($B$81:Y81))*0.2-SUM($A$79:X79),IF(SUM($A$79:X79)&lt;0,0-SUM($A$79:X79),0))</f>
        <v>0</v>
      </c>
      <c r="Z79" s="293">
        <f>IF(((SUM($B$58:Z58)+SUM($B$60:Z64))+SUM($B$81:Z81))&lt;0,((SUM($B$58:Z58)+SUM($B$60:Z64))+SUM($B$81:Z81))*0.2-SUM($A$79:Y79),IF(SUM($A$79:Y79)&lt;0,0-SUM($A$79:Y79),0))</f>
        <v>5505.677376000036</v>
      </c>
      <c r="AA79" s="293">
        <f>IF(((SUM($B$58:AA58)+SUM($B$60:AA64))+SUM($B$81:AA81))&lt;0,((SUM($B$58:AA58)+SUM($B$60:AA64))+SUM($B$81:AA81))*0.2-SUM($A$79:Z79),IF(SUM($A$79:Z79)&lt;0,0-SUM($A$79:Z79),0))</f>
        <v>0</v>
      </c>
      <c r="AB79" s="293">
        <f>IF(((SUM($B$58:AB58)+SUM($B$60:AB64))+SUM($B$81:AB81))&lt;0,((SUM($B$58:AB58)+SUM($B$60:AB64))+SUM($B$81:AB81))*0.2-SUM($A$79:AA79),IF(SUM($A$79:AA79)&lt;0,0-SUM($A$79:AA79),0))</f>
        <v>0</v>
      </c>
      <c r="AC79" s="293">
        <f>IF(((SUM($B$58:AC58)+SUM($B$60:AC64))+SUM($B$81:AC81))&lt;0,((SUM($B$58:AC58)+SUM($B$60:AC64))+SUM($B$81:AC81))*0.2-SUM($A$79:AB79),IF(SUM($A$79:AB79)&lt;0,0-SUM($A$79:AB79),0))</f>
        <v>0</v>
      </c>
      <c r="AD79" s="293">
        <f>IF(((SUM($B$58:AD58)+SUM($B$60:AD64))+SUM($B$81:AD81))&lt;0,((SUM($B$58:AD58)+SUM($B$60:AD64))+SUM($B$81:AD81))*0.2-SUM($A$79:AC79),IF(SUM($A$79:AC79)&lt;0,0-SUM($A$79:AC79),0))</f>
        <v>0</v>
      </c>
      <c r="AE79" s="293">
        <f>IF(((SUM($B$58:AE58)+SUM($B$60:AE64))+SUM($B$81:AE81))&lt;0,((SUM($B$58:AE58)+SUM($B$60:AE64))+SUM($B$81:AE81))*0.2-SUM($A$79:AD79),IF(SUM($A$79:AD79)&lt;0,0-SUM($A$79:AD79),0))</f>
        <v>0</v>
      </c>
    </row>
    <row r="80" spans="1:31" x14ac:dyDescent="0.2">
      <c r="A80" s="288" t="s">
        <v>249</v>
      </c>
      <c r="B80" s="293">
        <f>-B58*($B$38)</f>
        <v>0</v>
      </c>
      <c r="C80" s="293">
        <f t="shared" ref="C80:AE80" si="12">-C58*($B$38)</f>
        <v>0</v>
      </c>
      <c r="D80" s="293">
        <f t="shared" si="12"/>
        <v>0</v>
      </c>
      <c r="E80" s="293">
        <f t="shared" si="12"/>
        <v>0</v>
      </c>
      <c r="F80" s="293">
        <f t="shared" si="12"/>
        <v>0</v>
      </c>
      <c r="G80" s="293">
        <f t="shared" si="12"/>
        <v>0</v>
      </c>
      <c r="H80" s="293">
        <f t="shared" si="12"/>
        <v>0</v>
      </c>
      <c r="I80" s="293">
        <f t="shared" si="12"/>
        <v>0</v>
      </c>
      <c r="J80" s="293">
        <f t="shared" si="12"/>
        <v>0</v>
      </c>
      <c r="K80" s="293">
        <f t="shared" si="12"/>
        <v>0</v>
      </c>
      <c r="L80" s="293">
        <f t="shared" si="12"/>
        <v>0</v>
      </c>
      <c r="M80" s="293">
        <f t="shared" si="12"/>
        <v>0</v>
      </c>
      <c r="N80" s="293">
        <f t="shared" si="12"/>
        <v>0</v>
      </c>
      <c r="O80" s="293">
        <f t="shared" si="12"/>
        <v>0</v>
      </c>
      <c r="P80" s="293">
        <f t="shared" si="12"/>
        <v>0</v>
      </c>
      <c r="Q80" s="293">
        <f t="shared" si="12"/>
        <v>0</v>
      </c>
      <c r="R80" s="293">
        <f t="shared" si="12"/>
        <v>0</v>
      </c>
      <c r="S80" s="293">
        <f t="shared" si="12"/>
        <v>0</v>
      </c>
      <c r="T80" s="293">
        <f t="shared" si="12"/>
        <v>0</v>
      </c>
      <c r="U80" s="293">
        <f t="shared" si="12"/>
        <v>0</v>
      </c>
      <c r="V80" s="293">
        <f t="shared" si="12"/>
        <v>0</v>
      </c>
      <c r="W80" s="293">
        <f t="shared" si="12"/>
        <v>0</v>
      </c>
      <c r="X80" s="293">
        <f t="shared" si="12"/>
        <v>0</v>
      </c>
      <c r="Y80" s="293">
        <f t="shared" si="12"/>
        <v>0</v>
      </c>
      <c r="Z80" s="293">
        <f t="shared" si="12"/>
        <v>0</v>
      </c>
      <c r="AA80" s="293">
        <f t="shared" si="12"/>
        <v>0</v>
      </c>
      <c r="AB80" s="293">
        <f t="shared" si="12"/>
        <v>0</v>
      </c>
      <c r="AC80" s="293">
        <f t="shared" si="12"/>
        <v>0</v>
      </c>
      <c r="AD80" s="293">
        <f t="shared" si="12"/>
        <v>0</v>
      </c>
      <c r="AE80" s="293">
        <f t="shared" si="12"/>
        <v>0</v>
      </c>
    </row>
    <row r="81" spans="1:31" x14ac:dyDescent="0.2">
      <c r="A81" s="288" t="s">
        <v>465</v>
      </c>
      <c r="B81" s="299">
        <f>-'6.2. Паспорт фин осв ввод'!R24*1000000</f>
        <v>-1139104</v>
      </c>
      <c r="C81" s="299"/>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row>
    <row r="82" spans="1:31" x14ac:dyDescent="0.2">
      <c r="A82" s="288" t="s">
        <v>248</v>
      </c>
      <c r="B82" s="290">
        <v>0</v>
      </c>
      <c r="C82" s="290">
        <v>0</v>
      </c>
      <c r="D82" s="290">
        <v>0</v>
      </c>
      <c r="E82" s="290">
        <v>0</v>
      </c>
      <c r="F82" s="290">
        <v>0</v>
      </c>
      <c r="G82" s="290">
        <v>0</v>
      </c>
      <c r="H82" s="290">
        <v>0</v>
      </c>
      <c r="I82" s="290">
        <v>0</v>
      </c>
      <c r="J82" s="290">
        <v>0</v>
      </c>
      <c r="K82" s="290">
        <v>0</v>
      </c>
      <c r="L82" s="290">
        <v>0</v>
      </c>
      <c r="M82" s="290">
        <v>0</v>
      </c>
      <c r="N82" s="290">
        <v>0</v>
      </c>
      <c r="O82" s="290">
        <v>0</v>
      </c>
      <c r="P82" s="290">
        <v>0</v>
      </c>
      <c r="Q82" s="290">
        <v>0</v>
      </c>
      <c r="R82" s="290">
        <v>0</v>
      </c>
      <c r="S82" s="290">
        <v>0</v>
      </c>
      <c r="T82" s="290">
        <v>0</v>
      </c>
      <c r="U82" s="290">
        <v>0</v>
      </c>
      <c r="V82" s="290">
        <v>0</v>
      </c>
      <c r="W82" s="290">
        <v>0</v>
      </c>
      <c r="X82" s="290">
        <v>0</v>
      </c>
      <c r="Y82" s="290">
        <v>0</v>
      </c>
      <c r="Z82" s="290">
        <v>0</v>
      </c>
      <c r="AA82" s="290">
        <v>0</v>
      </c>
      <c r="AB82" s="290">
        <v>0</v>
      </c>
      <c r="AC82" s="290">
        <v>0</v>
      </c>
      <c r="AD82" s="290">
        <v>0</v>
      </c>
      <c r="AE82" s="290">
        <v>0</v>
      </c>
    </row>
    <row r="83" spans="1:31" x14ac:dyDescent="0.2">
      <c r="A83" s="291" t="s">
        <v>247</v>
      </c>
      <c r="B83" s="292">
        <f t="shared" ref="B83:AE83" si="13">SUM(B75:B82)</f>
        <v>-1366924.8</v>
      </c>
      <c r="C83" s="292">
        <f t="shared" si="13"/>
        <v>-20187.483711999994</v>
      </c>
      <c r="D83" s="292">
        <f t="shared" si="13"/>
        <v>-19352.140778666668</v>
      </c>
      <c r="E83" s="292">
        <f t="shared" si="13"/>
        <v>-18516.797845333334</v>
      </c>
      <c r="F83" s="292">
        <f t="shared" si="13"/>
        <v>-17681.454912000001</v>
      </c>
      <c r="G83" s="292">
        <f t="shared" si="13"/>
        <v>-16846.111978666668</v>
      </c>
      <c r="H83" s="292">
        <f t="shared" si="13"/>
        <v>-17149.874709333337</v>
      </c>
      <c r="I83" s="292">
        <f t="shared" si="13"/>
        <v>-15175.426112000001</v>
      </c>
      <c r="J83" s="292">
        <f t="shared" si="13"/>
        <v>19833.086741333311</v>
      </c>
      <c r="K83" s="292">
        <f t="shared" si="13"/>
        <v>-13504.740245333334</v>
      </c>
      <c r="L83" s="292">
        <f t="shared" si="13"/>
        <v>-12669.397312000001</v>
      </c>
      <c r="M83" s="292">
        <f t="shared" si="13"/>
        <v>-29933.153301333325</v>
      </c>
      <c r="N83" s="292">
        <f t="shared" si="13"/>
        <v>-12137.817109333315</v>
      </c>
      <c r="O83" s="292">
        <f t="shared" si="13"/>
        <v>-10163.368512000008</v>
      </c>
      <c r="P83" s="292">
        <f t="shared" si="13"/>
        <v>-9328.0255786666748</v>
      </c>
      <c r="Q83" s="292">
        <f t="shared" si="13"/>
        <v>-8492.6826453333415</v>
      </c>
      <c r="R83" s="292">
        <f t="shared" si="13"/>
        <v>26515.830208000003</v>
      </c>
      <c r="S83" s="292">
        <f t="shared" si="13"/>
        <v>-6821.9967786666748</v>
      </c>
      <c r="T83" s="292">
        <f t="shared" si="13"/>
        <v>-7125.7595093333803</v>
      </c>
      <c r="U83" s="292">
        <f t="shared" si="13"/>
        <v>-5151.3109120000081</v>
      </c>
      <c r="V83" s="292">
        <f t="shared" si="13"/>
        <v>-4315.967978666682</v>
      </c>
      <c r="W83" s="292">
        <f t="shared" si="13"/>
        <v>-3480.6250453333487</v>
      </c>
      <c r="X83" s="292">
        <f t="shared" si="13"/>
        <v>-2645.2821120000153</v>
      </c>
      <c r="Y83" s="292">
        <f t="shared" si="13"/>
        <v>-1809.939178666682</v>
      </c>
      <c r="Z83" s="292">
        <f t="shared" si="13"/>
        <v>32059.468010666689</v>
      </c>
      <c r="AA83" s="292">
        <f t="shared" si="13"/>
        <v>-139.25331200001528</v>
      </c>
      <c r="AB83" s="292">
        <f t="shared" si="13"/>
        <v>696.08962133331806</v>
      </c>
      <c r="AC83" s="292">
        <f t="shared" si="13"/>
        <v>1531.4325546666514</v>
      </c>
      <c r="AD83" s="292">
        <f t="shared" si="13"/>
        <v>2366.7754879999848</v>
      </c>
      <c r="AE83" s="292">
        <f t="shared" si="13"/>
        <v>3202.1184213333181</v>
      </c>
    </row>
    <row r="84" spans="1:31" x14ac:dyDescent="0.2">
      <c r="A84" s="291" t="s">
        <v>586</v>
      </c>
      <c r="B84" s="292">
        <f>SUM($B$83:B83)</f>
        <v>-1366924.8</v>
      </c>
      <c r="C84" s="292">
        <f>SUM($B$83:C83)</f>
        <v>-1387112.2837120001</v>
      </c>
      <c r="D84" s="292">
        <f>SUM($B$83:D83)</f>
        <v>-1406464.4244906667</v>
      </c>
      <c r="E84" s="292">
        <f>SUM($B$83:E83)</f>
        <v>-1424981.2223360001</v>
      </c>
      <c r="F84" s="292">
        <f>SUM($B$83:F83)</f>
        <v>-1442662.6772480002</v>
      </c>
      <c r="G84" s="292">
        <f>SUM($B$83:G83)</f>
        <v>-1459508.7892266668</v>
      </c>
      <c r="H84" s="292">
        <f>SUM($B$83:H83)</f>
        <v>-1476658.6639360001</v>
      </c>
      <c r="I84" s="292">
        <f>SUM($B$83:I83)</f>
        <v>-1491834.090048</v>
      </c>
      <c r="J84" s="292">
        <f>SUM($B$83:J83)</f>
        <v>-1472001.0033066666</v>
      </c>
      <c r="K84" s="292">
        <f>SUM($B$83:K83)</f>
        <v>-1485505.743552</v>
      </c>
      <c r="L84" s="292">
        <f>SUM($B$83:L83)</f>
        <v>-1498175.140864</v>
      </c>
      <c r="M84" s="292">
        <f>SUM($B$83:M83)</f>
        <v>-1528108.2941653333</v>
      </c>
      <c r="N84" s="292">
        <f>SUM($B$83:N83)</f>
        <v>-1540246.1112746666</v>
      </c>
      <c r="O84" s="292">
        <f>SUM($B$83:O83)</f>
        <v>-1550409.4797866666</v>
      </c>
      <c r="P84" s="292">
        <f>SUM($B$83:P83)</f>
        <v>-1559737.5053653333</v>
      </c>
      <c r="Q84" s="292">
        <f>SUM($B$83:Q83)</f>
        <v>-1568230.1880106665</v>
      </c>
      <c r="R84" s="292">
        <f>SUM($B$83:R83)</f>
        <v>-1541714.3578026665</v>
      </c>
      <c r="S84" s="292">
        <f>SUM($B$83:S83)</f>
        <v>-1548536.3545813332</v>
      </c>
      <c r="T84" s="292">
        <f>SUM($B$83:T83)</f>
        <v>-1555662.1140906666</v>
      </c>
      <c r="U84" s="292">
        <f>SUM($B$83:U83)</f>
        <v>-1560813.4250026667</v>
      </c>
      <c r="V84" s="292">
        <f>SUM($B$83:V83)</f>
        <v>-1565129.3929813334</v>
      </c>
      <c r="W84" s="292">
        <f>SUM($B$83:W83)</f>
        <v>-1568610.0180266667</v>
      </c>
      <c r="X84" s="292">
        <f>SUM($B$83:X83)</f>
        <v>-1571255.3001386668</v>
      </c>
      <c r="Y84" s="292">
        <f>SUM($B$83:Y83)</f>
        <v>-1573065.2393173333</v>
      </c>
      <c r="Z84" s="292">
        <f>SUM($B$83:Z83)</f>
        <v>-1541005.7713066665</v>
      </c>
      <c r="AA84" s="292">
        <f>SUM($B$83:AA83)</f>
        <v>-1541145.0246186666</v>
      </c>
      <c r="AB84" s="292">
        <f>SUM($B$83:AB83)</f>
        <v>-1540448.9349973332</v>
      </c>
      <c r="AC84" s="292">
        <f>SUM($B$83:AC83)</f>
        <v>-1538917.5024426666</v>
      </c>
      <c r="AD84" s="292">
        <f>SUM($B$83:AD83)</f>
        <v>-1536550.7269546667</v>
      </c>
      <c r="AE84" s="292">
        <f>SUM($B$83:AE83)</f>
        <v>-1533348.6085333333</v>
      </c>
    </row>
    <row r="85" spans="1:31" x14ac:dyDescent="0.2">
      <c r="A85" s="300" t="s">
        <v>466</v>
      </c>
      <c r="B85" s="301">
        <f t="shared" ref="B85:AE85" si="14">1/POWER((1+$B$43),B73)</f>
        <v>0.95402649883562884</v>
      </c>
      <c r="C85" s="301">
        <f t="shared" si="14"/>
        <v>0.86832301705254278</v>
      </c>
      <c r="D85" s="301">
        <f t="shared" si="14"/>
        <v>0.79031857381682236</v>
      </c>
      <c r="E85" s="301">
        <f t="shared" si="14"/>
        <v>0.71932153801476506</v>
      </c>
      <c r="F85" s="301">
        <f t="shared" si="14"/>
        <v>0.65470241013449082</v>
      </c>
      <c r="G85" s="301">
        <f t="shared" si="14"/>
        <v>0.59588824077044755</v>
      </c>
      <c r="H85" s="301">
        <f t="shared" si="14"/>
        <v>0.54235755053285484</v>
      </c>
      <c r="I85" s="301">
        <f t="shared" si="14"/>
        <v>0.49363570631915432</v>
      </c>
      <c r="J85" s="301">
        <f t="shared" si="14"/>
        <v>0.44929071295090039</v>
      </c>
      <c r="K85" s="301">
        <f t="shared" si="14"/>
        <v>0.40892938286238317</v>
      </c>
      <c r="L85" s="301">
        <f t="shared" si="14"/>
        <v>0.37219384987929666</v>
      </c>
      <c r="M85" s="301">
        <f t="shared" si="14"/>
        <v>0.3387583961766602</v>
      </c>
      <c r="N85" s="301">
        <f t="shared" si="14"/>
        <v>0.30832656428202437</v>
      </c>
      <c r="O85" s="301">
        <f t="shared" si="14"/>
        <v>0.28062852851736092</v>
      </c>
      <c r="P85" s="301">
        <f t="shared" si="14"/>
        <v>0.25541870257336935</v>
      </c>
      <c r="Q85" s="301">
        <f t="shared" si="14"/>
        <v>0.23247356200361272</v>
      </c>
      <c r="R85" s="301">
        <f t="shared" si="14"/>
        <v>0.21158966233149432</v>
      </c>
      <c r="S85" s="301">
        <f t="shared" si="14"/>
        <v>0.19258183519750091</v>
      </c>
      <c r="T85" s="301">
        <f t="shared" si="14"/>
        <v>0.17528154655274497</v>
      </c>
      <c r="U85" s="301">
        <f t="shared" si="14"/>
        <v>0.15953540234162647</v>
      </c>
      <c r="V85" s="301">
        <f t="shared" si="14"/>
        <v>0.14520378842416171</v>
      </c>
      <c r="W85" s="301">
        <f t="shared" si="14"/>
        <v>0.13215963267876735</v>
      </c>
      <c r="X85" s="301">
        <f t="shared" si="14"/>
        <v>0.12028727830960895</v>
      </c>
      <c r="Y85" s="301">
        <f t="shared" si="14"/>
        <v>0.10948145836862559</v>
      </c>
      <c r="Z85" s="301">
        <f t="shared" si="14"/>
        <v>9.9646362399768443E-2</v>
      </c>
      <c r="AA85" s="301">
        <f t="shared" si="14"/>
        <v>9.0694786929797461E-2</v>
      </c>
      <c r="AB85" s="301">
        <f t="shared" si="14"/>
        <v>8.2547362273411681E-2</v>
      </c>
      <c r="AC85" s="301">
        <f t="shared" si="14"/>
        <v>7.5131848797134526E-2</v>
      </c>
      <c r="AD85" s="301">
        <f t="shared" si="14"/>
        <v>6.8382496402234039E-2</v>
      </c>
      <c r="AE85" s="301">
        <f t="shared" si="14"/>
        <v>6.2239461547496142E-2</v>
      </c>
    </row>
    <row r="86" spans="1:31" x14ac:dyDescent="0.2">
      <c r="A86" s="298" t="s">
        <v>587</v>
      </c>
      <c r="B86" s="292">
        <f t="shared" ref="B86:AE86" si="15">B83*B85</f>
        <v>-1304082.4811155922</v>
      </c>
      <c r="C86" s="292">
        <f t="shared" si="15"/>
        <v>-17529.256763502901</v>
      </c>
      <c r="D86" s="292">
        <f t="shared" si="15"/>
        <v>-15294.356300498212</v>
      </c>
      <c r="E86" s="292">
        <f t="shared" si="15"/>
        <v>-13319.531505213661</v>
      </c>
      <c r="F86" s="292">
        <f t="shared" si="15"/>
        <v>-11576.091145570732</v>
      </c>
      <c r="G86" s="292">
        <f t="shared" si="15"/>
        <v>-10038.400030789644</v>
      </c>
      <c r="H86" s="292">
        <f t="shared" si="15"/>
        <v>-9301.3640392993839</v>
      </c>
      <c r="I86" s="292">
        <f t="shared" si="15"/>
        <v>-7491.1321874912583</v>
      </c>
      <c r="J86" s="292">
        <f t="shared" si="15"/>
        <v>8910.8216820306934</v>
      </c>
      <c r="K86" s="292">
        <f t="shared" si="15"/>
        <v>-5522.4850942409494</v>
      </c>
      <c r="L86" s="292">
        <f t="shared" si="15"/>
        <v>-4715.4717612036929</v>
      </c>
      <c r="M86" s="292">
        <f t="shared" si="15"/>
        <v>-10140.107004869778</v>
      </c>
      <c r="N86" s="292">
        <f t="shared" si="15"/>
        <v>-3742.4114472043134</v>
      </c>
      <c r="O86" s="292">
        <f t="shared" si="15"/>
        <v>-2852.1311503022425</v>
      </c>
      <c r="P86" s="292">
        <f t="shared" si="15"/>
        <v>-2382.5521908742448</v>
      </c>
      <c r="Q86" s="292">
        <f t="shared" si="15"/>
        <v>-1974.3241855269061</v>
      </c>
      <c r="R86" s="292">
        <f t="shared" si="15"/>
        <v>5610.4755601499573</v>
      </c>
      <c r="S86" s="292">
        <f t="shared" si="15"/>
        <v>-1313.7926593470677</v>
      </c>
      <c r="T86" s="292">
        <f t="shared" si="15"/>
        <v>-1249.014147158884</v>
      </c>
      <c r="U86" s="292">
        <f t="shared" si="15"/>
        <v>-821.81645893273208</v>
      </c>
      <c r="V86" s="292">
        <f t="shared" si="15"/>
        <v>-626.69490121977378</v>
      </c>
      <c r="W86" s="292">
        <f t="shared" si="15"/>
        <v>-459.99812748377332</v>
      </c>
      <c r="X86" s="292">
        <f t="shared" si="15"/>
        <v>-318.19378561357598</v>
      </c>
      <c r="Y86" s="292">
        <f t="shared" si="15"/>
        <v>-198.15478083894075</v>
      </c>
      <c r="Z86" s="292">
        <f t="shared" si="15"/>
        <v>3194.6093677346762</v>
      </c>
      <c r="AA86" s="292">
        <f t="shared" si="15"/>
        <v>-12.629549461109994</v>
      </c>
      <c r="AB86" s="292">
        <f t="shared" si="15"/>
        <v>57.460362146963362</v>
      </c>
      <c r="AC86" s="292">
        <f t="shared" si="15"/>
        <v>115.0593591402243</v>
      </c>
      <c r="AD86" s="292">
        <f t="shared" si="15"/>
        <v>161.84601629305467</v>
      </c>
      <c r="AE86" s="292">
        <f t="shared" si="15"/>
        <v>199.2981263551041</v>
      </c>
    </row>
    <row r="87" spans="1:31" x14ac:dyDescent="0.2">
      <c r="A87" s="298" t="s">
        <v>588</v>
      </c>
      <c r="B87" s="292">
        <f>SUM($B$86:B86)</f>
        <v>-1304082.4811155922</v>
      </c>
      <c r="C87" s="292">
        <f>SUM($B$86:C86)</f>
        <v>-1321611.7378790951</v>
      </c>
      <c r="D87" s="292">
        <f>SUM($B$86:D86)</f>
        <v>-1336906.0941795933</v>
      </c>
      <c r="E87" s="292">
        <f>SUM($B$86:E86)</f>
        <v>-1350225.6256848068</v>
      </c>
      <c r="F87" s="292">
        <f>SUM($B$86:F86)</f>
        <v>-1361801.7168303775</v>
      </c>
      <c r="G87" s="292">
        <f>SUM($B$86:G86)</f>
        <v>-1371840.1168611671</v>
      </c>
      <c r="H87" s="292">
        <f>SUM($B$86:H86)</f>
        <v>-1381141.4809004664</v>
      </c>
      <c r="I87" s="292">
        <f>SUM($B$86:I86)</f>
        <v>-1388632.6130879577</v>
      </c>
      <c r="J87" s="292">
        <f>SUM($B$86:J86)</f>
        <v>-1379721.7914059269</v>
      </c>
      <c r="K87" s="292">
        <f>SUM($B$86:K86)</f>
        <v>-1385244.2765001678</v>
      </c>
      <c r="L87" s="292">
        <f>SUM($B$86:L86)</f>
        <v>-1389959.7482613714</v>
      </c>
      <c r="M87" s="292">
        <f>SUM($B$86:M86)</f>
        <v>-1400099.8552662411</v>
      </c>
      <c r="N87" s="292">
        <f>SUM($B$86:N86)</f>
        <v>-1403842.2667134455</v>
      </c>
      <c r="O87" s="292">
        <f>SUM($B$86:O86)</f>
        <v>-1406694.3978637478</v>
      </c>
      <c r="P87" s="292">
        <f>SUM($B$86:P86)</f>
        <v>-1409076.950054622</v>
      </c>
      <c r="Q87" s="292">
        <f>SUM($B$86:Q86)</f>
        <v>-1411051.274240149</v>
      </c>
      <c r="R87" s="292">
        <f>SUM($B$86:R86)</f>
        <v>-1405440.7986799991</v>
      </c>
      <c r="S87" s="292">
        <f>SUM($B$86:S86)</f>
        <v>-1406754.5913393463</v>
      </c>
      <c r="T87" s="292">
        <f>SUM($B$86:T86)</f>
        <v>-1408003.6054865052</v>
      </c>
      <c r="U87" s="292">
        <f>SUM($B$86:U86)</f>
        <v>-1408825.421945438</v>
      </c>
      <c r="V87" s="292">
        <f>SUM($B$86:V86)</f>
        <v>-1409452.1168466578</v>
      </c>
      <c r="W87" s="292">
        <f>SUM($B$86:W86)</f>
        <v>-1409912.1149741416</v>
      </c>
      <c r="X87" s="292">
        <f>SUM($B$86:X86)</f>
        <v>-1410230.3087597552</v>
      </c>
      <c r="Y87" s="292">
        <f>SUM($B$86:Y86)</f>
        <v>-1410428.4635405941</v>
      </c>
      <c r="Z87" s="292">
        <f>SUM($B$86:Z86)</f>
        <v>-1407233.8541728593</v>
      </c>
      <c r="AA87" s="292">
        <f>SUM($B$86:AA86)</f>
        <v>-1407246.4837223205</v>
      </c>
      <c r="AB87" s="292">
        <f>SUM($B$86:AB86)</f>
        <v>-1407189.0233601735</v>
      </c>
      <c r="AC87" s="292">
        <f>SUM($B$86:AC86)</f>
        <v>-1407073.9640010332</v>
      </c>
      <c r="AD87" s="292">
        <f>SUM($B$86:AD86)</f>
        <v>-1406912.1179847401</v>
      </c>
      <c r="AE87" s="292">
        <f>SUM($B$86:AE86)</f>
        <v>-1406712.819858385</v>
      </c>
    </row>
    <row r="88" spans="1:31" x14ac:dyDescent="0.2">
      <c r="A88" s="298" t="s">
        <v>589</v>
      </c>
      <c r="B88" s="302">
        <f>IF((ISERR(IRR($B$83:B83))),0,IF(IRR($B$83:B83)&lt;0,0,IRR($B$83:B83)))</f>
        <v>0</v>
      </c>
      <c r="C88" s="302">
        <f>IF((ISERR(IRR($B$83:C83))),0,IF(IRR($B$83:C83)&lt;0,0,IRR($B$83:C83)))</f>
        <v>0</v>
      </c>
      <c r="D88" s="302">
        <f>IF((ISERR(IRR($B$83:D83))),0,IF(IRR($B$83:D83)&lt;0,0,IRR($B$83:D83)))</f>
        <v>0</v>
      </c>
      <c r="E88" s="302">
        <f>IF((ISERR(IRR($B$83:E83))),0,IF(IRR($B$83:E83)&lt;0,0,IRR($B$83:E83)))</f>
        <v>0</v>
      </c>
      <c r="F88" s="302">
        <f>IF((ISERR(IRR($B$83:F83))),0,IF(IRR($B$83:F83)&lt;0,0,IRR($B$83:F83)))</f>
        <v>0</v>
      </c>
      <c r="G88" s="302">
        <f>IF((ISERR(IRR($B$83:G83))),0,IF(IRR($B$83:G83)&lt;0,0,IRR($B$83:G83)))</f>
        <v>0</v>
      </c>
      <c r="H88" s="302">
        <f>IF((ISERR(IRR($B$83:H83))),0,IF(IRR($B$83:H83)&lt;0,0,IRR($B$83:H83)))</f>
        <v>0</v>
      </c>
      <c r="I88" s="302">
        <f>IF((ISERR(IRR($B$83:I83))),0,IF(IRR($B$83:I83)&lt;0,0,IRR($B$83:I83)))</f>
        <v>0</v>
      </c>
      <c r="J88" s="302">
        <f>IF((ISERR(IRR($B$83:J83))),0,IF(IRR($B$83:J83)&lt;0,0,IRR($B$83:J83)))</f>
        <v>0</v>
      </c>
      <c r="K88" s="302">
        <f>IF((ISERR(IRR($B$83:K83))),0,IF(IRR($B$83:K83)&lt;0,0,IRR($B$83:K83)))</f>
        <v>0</v>
      </c>
      <c r="L88" s="302">
        <f>IF((ISERR(IRR($B$83:L83))),0,IF(IRR($B$83:L83)&lt;0,0,IRR($B$83:L83)))</f>
        <v>0</v>
      </c>
      <c r="M88" s="302">
        <f>IF((ISERR(IRR($B$83:M83))),0,IF(IRR($B$83:M83)&lt;0,0,IRR($B$83:M83)))</f>
        <v>0</v>
      </c>
      <c r="N88" s="302">
        <f>IF((ISERR(IRR($B$83:N83))),0,IF(IRR($B$83:N83)&lt;0,0,IRR($B$83:N83)))</f>
        <v>0</v>
      </c>
      <c r="O88" s="302">
        <f>IF((ISERR(IRR($B$83:O83))),0,IF(IRR($B$83:O83)&lt;0,0,IRR($B$83:O83)))</f>
        <v>0</v>
      </c>
      <c r="P88" s="302">
        <f>IF((ISERR(IRR($B$83:P83))),0,IF(IRR($B$83:P83)&lt;0,0,IRR($B$83:P83)))</f>
        <v>0</v>
      </c>
      <c r="Q88" s="302">
        <f>IF((ISERR(IRR($B$83:Q83))),0,IF(IRR($B$83:Q83)&lt;0,0,IRR($B$83:Q83)))</f>
        <v>0</v>
      </c>
      <c r="R88" s="302">
        <f>IF((ISERR(IRR($B$83:R83))),0,IF(IRR($B$83:R83)&lt;0,0,IRR($B$83:R83)))</f>
        <v>0</v>
      </c>
      <c r="S88" s="302">
        <f>IF((ISERR(IRR($B$83:S83))),0,IF(IRR($B$83:S83)&lt;0,0,IRR($B$83:S83)))</f>
        <v>0</v>
      </c>
      <c r="T88" s="302">
        <f>IF((ISERR(IRR($B$83:T83))),0,IF(IRR($B$83:T83)&lt;0,0,IRR($B$83:T83)))</f>
        <v>0</v>
      </c>
      <c r="U88" s="302">
        <f>IF((ISERR(IRR($B$83:U83))),0,IF(IRR($B$83:U83)&lt;0,0,IRR($B$83:U83)))</f>
        <v>0</v>
      </c>
      <c r="V88" s="302">
        <f>IF((ISERR(IRR($B$83:V83))),0,IF(IRR($B$83:V83)&lt;0,0,IRR($B$83:V83)))</f>
        <v>0</v>
      </c>
      <c r="W88" s="302">
        <f>IF((ISERR(IRR($B$83:W83))),0,IF(IRR($B$83:W83)&lt;0,0,IRR($B$83:W83)))</f>
        <v>0</v>
      </c>
      <c r="X88" s="302">
        <f>IF((ISERR(IRR($B$83:X83))),0,IF(IRR($B$83:X83)&lt;0,0,IRR($B$83:X83)))</f>
        <v>0</v>
      </c>
      <c r="Y88" s="302">
        <f>IF((ISERR(IRR($B$83:Y83))),0,IF(IRR($B$83:Y83)&lt;0,0,IRR($B$83:Y83)))</f>
        <v>0</v>
      </c>
      <c r="Z88" s="302">
        <f>IF((ISERR(IRR($B$83:Z83))),0,IF(IRR($B$83:Z83)&lt;0,0,IRR($B$83:Z83)))</f>
        <v>0</v>
      </c>
      <c r="AA88" s="302">
        <f>IF((ISERR(IRR($B$83:AA83))),0,IF(IRR($B$83:AA83)&lt;0,0,IRR($B$83:AA83)))</f>
        <v>0</v>
      </c>
      <c r="AB88" s="302">
        <f>IF((ISERR(IRR($B$83:AB83))),0,IF(IRR($B$83:AB83)&lt;0,0,IRR($B$83:AB83)))</f>
        <v>0</v>
      </c>
      <c r="AC88" s="302">
        <f>IF((ISERR(IRR($B$83:AC83))),0,IF(IRR($B$83:AC83)&lt;0,0,IRR($B$83:AC83)))</f>
        <v>0</v>
      </c>
      <c r="AD88" s="302">
        <f>IF((ISERR(IRR($B$83:AD83))),0,IF(IRR($B$83:AD83)&lt;0,0,IRR($B$83:AD83)))</f>
        <v>0</v>
      </c>
      <c r="AE88" s="302">
        <f>IF((ISERR(IRR($B$83:AE83))),0,IF(IRR($B$83:AE83)&lt;0,0,IRR($B$83:AE83)))</f>
        <v>0</v>
      </c>
    </row>
    <row r="89" spans="1:31" x14ac:dyDescent="0.2">
      <c r="A89" s="298" t="s">
        <v>590</v>
      </c>
      <c r="B89" s="303">
        <f t="shared" ref="B89:AE89" si="16">IF(AND(B84&gt;0,A84&lt;0),(B74-(B84/(B84-A84))),0)</f>
        <v>0</v>
      </c>
      <c r="C89" s="303">
        <f t="shared" si="16"/>
        <v>0</v>
      </c>
      <c r="D89" s="303">
        <f t="shared" si="16"/>
        <v>0</v>
      </c>
      <c r="E89" s="303">
        <f t="shared" si="16"/>
        <v>0</v>
      </c>
      <c r="F89" s="303">
        <f t="shared" si="16"/>
        <v>0</v>
      </c>
      <c r="G89" s="303">
        <f t="shared" si="16"/>
        <v>0</v>
      </c>
      <c r="H89" s="303">
        <f t="shared" si="16"/>
        <v>0</v>
      </c>
      <c r="I89" s="303">
        <f t="shared" si="16"/>
        <v>0</v>
      </c>
      <c r="J89" s="303">
        <f t="shared" si="16"/>
        <v>0</v>
      </c>
      <c r="K89" s="303">
        <f t="shared" si="16"/>
        <v>0</v>
      </c>
      <c r="L89" s="303">
        <f t="shared" si="16"/>
        <v>0</v>
      </c>
      <c r="M89" s="303">
        <f t="shared" si="16"/>
        <v>0</v>
      </c>
      <c r="N89" s="303">
        <f t="shared" si="16"/>
        <v>0</v>
      </c>
      <c r="O89" s="303">
        <f t="shared" si="16"/>
        <v>0</v>
      </c>
      <c r="P89" s="303">
        <f t="shared" si="16"/>
        <v>0</v>
      </c>
      <c r="Q89" s="303">
        <f t="shared" si="16"/>
        <v>0</v>
      </c>
      <c r="R89" s="303">
        <f t="shared" si="16"/>
        <v>0</v>
      </c>
      <c r="S89" s="303">
        <f t="shared" si="16"/>
        <v>0</v>
      </c>
      <c r="T89" s="303">
        <f t="shared" si="16"/>
        <v>0</v>
      </c>
      <c r="U89" s="303">
        <f t="shared" si="16"/>
        <v>0</v>
      </c>
      <c r="V89" s="303">
        <f t="shared" si="16"/>
        <v>0</v>
      </c>
      <c r="W89" s="303">
        <f t="shared" si="16"/>
        <v>0</v>
      </c>
      <c r="X89" s="303">
        <f t="shared" si="16"/>
        <v>0</v>
      </c>
      <c r="Y89" s="303">
        <f t="shared" si="16"/>
        <v>0</v>
      </c>
      <c r="Z89" s="303">
        <f t="shared" si="16"/>
        <v>0</v>
      </c>
      <c r="AA89" s="303">
        <f t="shared" si="16"/>
        <v>0</v>
      </c>
      <c r="AB89" s="303">
        <f t="shared" si="16"/>
        <v>0</v>
      </c>
      <c r="AC89" s="303">
        <f t="shared" si="16"/>
        <v>0</v>
      </c>
      <c r="AD89" s="303">
        <f t="shared" si="16"/>
        <v>0</v>
      </c>
      <c r="AE89" s="303">
        <f t="shared" si="16"/>
        <v>0</v>
      </c>
    </row>
    <row r="90" spans="1:31" ht="13.5" thickBot="1" x14ac:dyDescent="0.25">
      <c r="A90" s="304" t="s">
        <v>591</v>
      </c>
      <c r="B90" s="305">
        <f t="shared" ref="B90:AE90" si="17">IF(AND(B87&gt;0,A87&lt;0),(B74-(B87/(B87-A87))),0)</f>
        <v>0</v>
      </c>
      <c r="C90" s="305">
        <f t="shared" si="17"/>
        <v>0</v>
      </c>
      <c r="D90" s="305">
        <f t="shared" si="17"/>
        <v>0</v>
      </c>
      <c r="E90" s="305">
        <f t="shared" si="17"/>
        <v>0</v>
      </c>
      <c r="F90" s="305">
        <f t="shared" si="17"/>
        <v>0</v>
      </c>
      <c r="G90" s="305">
        <f t="shared" si="17"/>
        <v>0</v>
      </c>
      <c r="H90" s="305">
        <f t="shared" si="17"/>
        <v>0</v>
      </c>
      <c r="I90" s="305">
        <f t="shared" si="17"/>
        <v>0</v>
      </c>
      <c r="J90" s="305">
        <f t="shared" si="17"/>
        <v>0</v>
      </c>
      <c r="K90" s="305">
        <f t="shared" si="17"/>
        <v>0</v>
      </c>
      <c r="L90" s="305">
        <f t="shared" si="17"/>
        <v>0</v>
      </c>
      <c r="M90" s="305">
        <f t="shared" si="17"/>
        <v>0</v>
      </c>
      <c r="N90" s="305">
        <f t="shared" si="17"/>
        <v>0</v>
      </c>
      <c r="O90" s="305">
        <f t="shared" si="17"/>
        <v>0</v>
      </c>
      <c r="P90" s="305">
        <f t="shared" si="17"/>
        <v>0</v>
      </c>
      <c r="Q90" s="305">
        <f t="shared" si="17"/>
        <v>0</v>
      </c>
      <c r="R90" s="305">
        <f t="shared" si="17"/>
        <v>0</v>
      </c>
      <c r="S90" s="305">
        <f t="shared" si="17"/>
        <v>0</v>
      </c>
      <c r="T90" s="305">
        <f t="shared" si="17"/>
        <v>0</v>
      </c>
      <c r="U90" s="305">
        <f t="shared" si="17"/>
        <v>0</v>
      </c>
      <c r="V90" s="305">
        <f t="shared" si="17"/>
        <v>0</v>
      </c>
      <c r="W90" s="305">
        <f t="shared" si="17"/>
        <v>0</v>
      </c>
      <c r="X90" s="305">
        <f t="shared" si="17"/>
        <v>0</v>
      </c>
      <c r="Y90" s="305">
        <f t="shared" si="17"/>
        <v>0</v>
      </c>
      <c r="Z90" s="305">
        <f t="shared" si="17"/>
        <v>0</v>
      </c>
      <c r="AA90" s="305">
        <f t="shared" si="17"/>
        <v>0</v>
      </c>
      <c r="AB90" s="305">
        <f t="shared" si="17"/>
        <v>0</v>
      </c>
      <c r="AC90" s="305">
        <f t="shared" si="17"/>
        <v>0</v>
      </c>
      <c r="AD90" s="305">
        <f t="shared" si="17"/>
        <v>0</v>
      </c>
      <c r="AE90" s="305">
        <f t="shared" si="17"/>
        <v>0</v>
      </c>
    </row>
    <row r="91" spans="1:31" x14ac:dyDescent="0.2">
      <c r="A91" s="306"/>
      <c r="B91" s="306">
        <v>2022</v>
      </c>
      <c r="C91" s="306">
        <f t="shared" ref="C91:R92" si="18">B91+1</f>
        <v>2023</v>
      </c>
      <c r="D91" s="306">
        <f t="shared" si="18"/>
        <v>2024</v>
      </c>
      <c r="E91" s="306">
        <f t="shared" si="18"/>
        <v>2025</v>
      </c>
      <c r="F91" s="306">
        <f t="shared" si="18"/>
        <v>2026</v>
      </c>
      <c r="G91" s="306">
        <f t="shared" si="18"/>
        <v>2027</v>
      </c>
      <c r="H91" s="306">
        <f t="shared" si="18"/>
        <v>2028</v>
      </c>
      <c r="I91" s="306">
        <f t="shared" si="18"/>
        <v>2029</v>
      </c>
      <c r="J91" s="306">
        <f t="shared" si="18"/>
        <v>2030</v>
      </c>
      <c r="K91" s="306">
        <f t="shared" si="18"/>
        <v>2031</v>
      </c>
      <c r="L91" s="306">
        <f t="shared" si="18"/>
        <v>2032</v>
      </c>
      <c r="M91" s="306">
        <f t="shared" si="18"/>
        <v>2033</v>
      </c>
      <c r="N91" s="306">
        <f t="shared" si="18"/>
        <v>2034</v>
      </c>
      <c r="O91" s="306">
        <f t="shared" si="18"/>
        <v>2035</v>
      </c>
      <c r="P91" s="306">
        <f t="shared" si="18"/>
        <v>2036</v>
      </c>
      <c r="Q91" s="306">
        <f t="shared" si="18"/>
        <v>2037</v>
      </c>
      <c r="R91" s="306">
        <f t="shared" si="18"/>
        <v>2038</v>
      </c>
      <c r="S91" s="306">
        <f t="shared" ref="S91:AE92" si="19">R91+1</f>
        <v>2039</v>
      </c>
      <c r="T91" s="306">
        <f t="shared" si="19"/>
        <v>2040</v>
      </c>
      <c r="U91" s="306">
        <f t="shared" si="19"/>
        <v>2041</v>
      </c>
      <c r="V91" s="306">
        <f t="shared" si="19"/>
        <v>2042</v>
      </c>
      <c r="W91" s="306">
        <f t="shared" si="19"/>
        <v>2043</v>
      </c>
      <c r="X91" s="306">
        <f t="shared" si="19"/>
        <v>2044</v>
      </c>
      <c r="Y91" s="306">
        <f t="shared" si="19"/>
        <v>2045</v>
      </c>
      <c r="Z91" s="306">
        <f t="shared" si="19"/>
        <v>2046</v>
      </c>
      <c r="AA91" s="306">
        <f t="shared" si="19"/>
        <v>2047</v>
      </c>
      <c r="AB91" s="306">
        <f t="shared" si="19"/>
        <v>2048</v>
      </c>
      <c r="AC91" s="306">
        <f t="shared" si="19"/>
        <v>2049</v>
      </c>
      <c r="AD91" s="306">
        <f t="shared" si="19"/>
        <v>2050</v>
      </c>
      <c r="AE91" s="306">
        <f t="shared" si="19"/>
        <v>2051</v>
      </c>
    </row>
    <row r="92" spans="1:31" x14ac:dyDescent="0.2">
      <c r="B92" s="236">
        <v>1</v>
      </c>
      <c r="C92" s="236">
        <f>B92+1</f>
        <v>2</v>
      </c>
      <c r="D92" s="236">
        <f t="shared" si="18"/>
        <v>3</v>
      </c>
      <c r="E92" s="236">
        <f t="shared" si="18"/>
        <v>4</v>
      </c>
      <c r="F92" s="236">
        <f t="shared" si="18"/>
        <v>5</v>
      </c>
      <c r="G92" s="236">
        <f t="shared" si="18"/>
        <v>6</v>
      </c>
      <c r="H92" s="236">
        <f t="shared" si="18"/>
        <v>7</v>
      </c>
      <c r="I92" s="236">
        <f t="shared" si="18"/>
        <v>8</v>
      </c>
      <c r="J92" s="236">
        <f t="shared" si="18"/>
        <v>9</v>
      </c>
      <c r="K92" s="236">
        <f t="shared" si="18"/>
        <v>10</v>
      </c>
      <c r="L92" s="236">
        <f t="shared" si="18"/>
        <v>11</v>
      </c>
      <c r="M92" s="236">
        <f t="shared" si="18"/>
        <v>12</v>
      </c>
      <c r="N92" s="236">
        <f t="shared" si="18"/>
        <v>13</v>
      </c>
      <c r="O92" s="236">
        <f t="shared" si="18"/>
        <v>14</v>
      </c>
      <c r="P92" s="236">
        <f t="shared" si="18"/>
        <v>15</v>
      </c>
      <c r="Q92" s="236">
        <f t="shared" si="18"/>
        <v>16</v>
      </c>
      <c r="R92" s="236">
        <f t="shared" si="18"/>
        <v>17</v>
      </c>
      <c r="S92" s="236">
        <f t="shared" si="19"/>
        <v>18</v>
      </c>
      <c r="T92" s="236">
        <f t="shared" si="19"/>
        <v>19</v>
      </c>
      <c r="U92" s="236">
        <f t="shared" si="19"/>
        <v>20</v>
      </c>
      <c r="V92" s="236">
        <f t="shared" si="19"/>
        <v>21</v>
      </c>
      <c r="W92" s="236">
        <f t="shared" si="19"/>
        <v>22</v>
      </c>
      <c r="X92" s="236">
        <f t="shared" si="19"/>
        <v>23</v>
      </c>
      <c r="Y92" s="236">
        <f t="shared" si="19"/>
        <v>24</v>
      </c>
      <c r="Z92" s="236">
        <f t="shared" si="19"/>
        <v>25</v>
      </c>
      <c r="AA92" s="236">
        <f t="shared" si="19"/>
        <v>26</v>
      </c>
      <c r="AB92" s="236">
        <f t="shared" si="19"/>
        <v>27</v>
      </c>
      <c r="AC92" s="236">
        <f t="shared" si="19"/>
        <v>28</v>
      </c>
      <c r="AD92" s="236">
        <f t="shared" si="19"/>
        <v>29</v>
      </c>
      <c r="AE92" s="236">
        <f t="shared" si="19"/>
        <v>30</v>
      </c>
    </row>
    <row r="93" spans="1:31" x14ac:dyDescent="0.2">
      <c r="A93" s="374" t="s">
        <v>592</v>
      </c>
      <c r="B93" s="374"/>
      <c r="C93" s="374"/>
      <c r="D93" s="374"/>
      <c r="E93" s="374"/>
      <c r="F93" s="374"/>
      <c r="G93" s="374"/>
      <c r="H93" s="374"/>
      <c r="I93" s="374"/>
      <c r="J93" s="374"/>
      <c r="K93" s="374"/>
      <c r="L93" s="374"/>
      <c r="M93" s="374"/>
      <c r="N93" s="374"/>
      <c r="O93" s="374"/>
      <c r="P93" s="374"/>
      <c r="Q93" s="374"/>
      <c r="R93" s="374"/>
      <c r="S93" s="374"/>
      <c r="T93" s="374"/>
      <c r="U93" s="374"/>
      <c r="V93" s="374"/>
      <c r="W93" s="374"/>
      <c r="X93" s="374"/>
      <c r="Y93" s="374"/>
      <c r="Z93" s="374"/>
      <c r="AA93" s="374"/>
      <c r="AB93" s="374"/>
      <c r="AC93" s="374"/>
    </row>
    <row r="94" spans="1:31" x14ac:dyDescent="0.2">
      <c r="A94" s="374" t="s">
        <v>593</v>
      </c>
      <c r="B94" s="374"/>
      <c r="C94" s="374"/>
      <c r="D94" s="374"/>
      <c r="E94" s="374"/>
      <c r="F94" s="374"/>
      <c r="G94" s="374"/>
      <c r="H94" s="374"/>
      <c r="I94" s="374"/>
      <c r="N94" s="236"/>
    </row>
    <row r="95" spans="1:31" x14ac:dyDescent="0.2">
      <c r="C95" s="307"/>
      <c r="N95" s="236"/>
    </row>
    <row r="96" spans="1:31" x14ac:dyDescent="0.2">
      <c r="N96" s="236"/>
    </row>
    <row r="97" spans="14:14" s="226" customFormat="1" x14ac:dyDescent="0.2">
      <c r="N97" s="236"/>
    </row>
    <row r="98" spans="14:14" s="226" customFormat="1" x14ac:dyDescent="0.2">
      <c r="N98" s="236"/>
    </row>
    <row r="99" spans="14:14" s="226" customFormat="1" x14ac:dyDescent="0.2">
      <c r="N99" s="236"/>
    </row>
    <row r="100" spans="14:14" s="226" customFormat="1" x14ac:dyDescent="0.2">
      <c r="N100" s="236"/>
    </row>
    <row r="101" spans="14:14" s="226" customFormat="1" x14ac:dyDescent="0.2">
      <c r="N101" s="236"/>
    </row>
    <row r="102" spans="14:14" s="226" customFormat="1" x14ac:dyDescent="0.2">
      <c r="N102" s="236"/>
    </row>
    <row r="103" spans="14:14" s="226" customFormat="1" x14ac:dyDescent="0.2">
      <c r="N103" s="236"/>
    </row>
    <row r="104" spans="14:14" s="226" customFormat="1" x14ac:dyDescent="0.2">
      <c r="N104" s="236"/>
    </row>
    <row r="105" spans="14:14" s="226" customFormat="1" x14ac:dyDescent="0.2">
      <c r="N105" s="236"/>
    </row>
    <row r="106" spans="14:14" s="226" customFormat="1" x14ac:dyDescent="0.2">
      <c r="N106" s="236"/>
    </row>
    <row r="107" spans="14:14" s="226" customFormat="1" x14ac:dyDescent="0.2">
      <c r="N107" s="236"/>
    </row>
    <row r="108" spans="14:14" s="226" customFormat="1" x14ac:dyDescent="0.2">
      <c r="N108" s="236"/>
    </row>
    <row r="109" spans="14:14" s="226" customFormat="1" x14ac:dyDescent="0.2">
      <c r="N109" s="236"/>
    </row>
    <row r="110" spans="14:14" s="226" customFormat="1" x14ac:dyDescent="0.2">
      <c r="N110" s="236"/>
    </row>
    <row r="111" spans="14:14" s="226" customFormat="1" x14ac:dyDescent="0.2">
      <c r="N111" s="236"/>
    </row>
    <row r="112" spans="14:14" s="226" customFormat="1" x14ac:dyDescent="0.2">
      <c r="N112" s="236"/>
    </row>
    <row r="113" spans="14:14" s="226" customFormat="1" x14ac:dyDescent="0.2">
      <c r="N113" s="236"/>
    </row>
    <row r="114" spans="14:14" s="226" customFormat="1" x14ac:dyDescent="0.2">
      <c r="N114" s="236"/>
    </row>
    <row r="115" spans="14:14" s="226" customFormat="1" x14ac:dyDescent="0.2">
      <c r="N115" s="236"/>
    </row>
    <row r="116" spans="14:14" s="226" customFormat="1" x14ac:dyDescent="0.2">
      <c r="N116" s="236"/>
    </row>
    <row r="117" spans="14:14" s="226" customFormat="1" x14ac:dyDescent="0.2">
      <c r="N117" s="236"/>
    </row>
    <row r="118" spans="14:14" s="226" customFormat="1" x14ac:dyDescent="0.2">
      <c r="N118" s="236"/>
    </row>
    <row r="119" spans="14:14" s="226" customFormat="1" x14ac:dyDescent="0.2">
      <c r="N119" s="236"/>
    </row>
    <row r="120" spans="14:14" s="226" customFormat="1" x14ac:dyDescent="0.2">
      <c r="N120" s="236"/>
    </row>
    <row r="121" spans="14:14" s="226" customFormat="1" x14ac:dyDescent="0.2">
      <c r="N121" s="236"/>
    </row>
    <row r="122" spans="14:14" s="226" customFormat="1" x14ac:dyDescent="0.2">
      <c r="N122" s="236"/>
    </row>
    <row r="123" spans="14:14" s="226" customFormat="1" x14ac:dyDescent="0.2">
      <c r="N123" s="236"/>
    </row>
    <row r="124" spans="14:14" s="226" customFormat="1" x14ac:dyDescent="0.2">
      <c r="N124" s="236"/>
    </row>
    <row r="125" spans="14:14" s="226" customFormat="1" x14ac:dyDescent="0.2">
      <c r="N125" s="236"/>
    </row>
    <row r="126" spans="14:14" s="226" customFormat="1" x14ac:dyDescent="0.2">
      <c r="N126" s="236"/>
    </row>
    <row r="127" spans="14:14" s="226" customFormat="1" x14ac:dyDescent="0.2">
      <c r="N127" s="236"/>
    </row>
    <row r="128" spans="14:14" s="226" customFormat="1" x14ac:dyDescent="0.2">
      <c r="N128" s="236"/>
    </row>
    <row r="129" spans="14:14" s="226" customFormat="1" x14ac:dyDescent="0.2">
      <c r="N129" s="236"/>
    </row>
    <row r="130" spans="14:14" s="226" customFormat="1" x14ac:dyDescent="0.2">
      <c r="N130" s="236"/>
    </row>
    <row r="131" spans="14:14" s="226" customFormat="1" x14ac:dyDescent="0.2">
      <c r="N131" s="236"/>
    </row>
    <row r="132" spans="14:14" s="226" customFormat="1" x14ac:dyDescent="0.2">
      <c r="N132" s="236"/>
    </row>
    <row r="133" spans="14:14" s="226" customFormat="1" x14ac:dyDescent="0.2">
      <c r="N133" s="236"/>
    </row>
    <row r="134" spans="14:14" s="226" customFormat="1" x14ac:dyDescent="0.2">
      <c r="N134" s="236"/>
    </row>
    <row r="135" spans="14:14" s="226" customFormat="1" x14ac:dyDescent="0.2">
      <c r="N135" s="236"/>
    </row>
    <row r="136" spans="14:14" s="226" customFormat="1" x14ac:dyDescent="0.2">
      <c r="N136" s="236"/>
    </row>
    <row r="137" spans="14:14" s="226" customFormat="1" x14ac:dyDescent="0.2">
      <c r="N137" s="236"/>
    </row>
    <row r="138" spans="14:14" s="226" customFormat="1" x14ac:dyDescent="0.2">
      <c r="N138" s="236"/>
    </row>
    <row r="139" spans="14:14" s="226" customFormat="1" x14ac:dyDescent="0.2">
      <c r="N139" s="236"/>
    </row>
    <row r="140" spans="14:14" s="226" customFormat="1" x14ac:dyDescent="0.2">
      <c r="N140" s="236"/>
    </row>
    <row r="141" spans="14:14" s="226" customFormat="1" x14ac:dyDescent="0.2">
      <c r="N141" s="236"/>
    </row>
    <row r="142" spans="14:14" s="226" customFormat="1" x14ac:dyDescent="0.2">
      <c r="N142" s="236"/>
    </row>
    <row r="143" spans="14:14" s="226" customFormat="1" x14ac:dyDescent="0.2">
      <c r="N143" s="236"/>
    </row>
    <row r="144" spans="14:14" s="226" customFormat="1" x14ac:dyDescent="0.2">
      <c r="N144" s="236"/>
    </row>
    <row r="145" spans="14:14" s="226" customFormat="1" x14ac:dyDescent="0.2">
      <c r="N145" s="236"/>
    </row>
    <row r="146" spans="14:14" s="226" customFormat="1" x14ac:dyDescent="0.2">
      <c r="N146" s="236"/>
    </row>
    <row r="147" spans="14:14" s="226" customFormat="1" x14ac:dyDescent="0.2">
      <c r="N147" s="236"/>
    </row>
    <row r="148" spans="14:14" s="226" customFormat="1" x14ac:dyDescent="0.2">
      <c r="N148" s="236"/>
    </row>
    <row r="149" spans="14:14" s="226" customFormat="1" x14ac:dyDescent="0.2">
      <c r="N149" s="236"/>
    </row>
    <row r="150" spans="14:14" s="226" customFormat="1" x14ac:dyDescent="0.2">
      <c r="N150" s="236"/>
    </row>
    <row r="151" spans="14:14" s="226" customFormat="1" x14ac:dyDescent="0.2">
      <c r="N151" s="236"/>
    </row>
    <row r="152" spans="14:14" s="226" customFormat="1" x14ac:dyDescent="0.2">
      <c r="N152" s="236"/>
    </row>
    <row r="153" spans="14:14" s="226" customFormat="1" x14ac:dyDescent="0.2">
      <c r="N153" s="236"/>
    </row>
    <row r="154" spans="14:14" s="226" customFormat="1" x14ac:dyDescent="0.2">
      <c r="N154" s="236"/>
    </row>
    <row r="155" spans="14:14" s="226" customFormat="1" x14ac:dyDescent="0.2">
      <c r="N155" s="236"/>
    </row>
    <row r="156" spans="14:14" s="226" customFormat="1" x14ac:dyDescent="0.2">
      <c r="N156" s="236"/>
    </row>
    <row r="157" spans="14:14" s="226" customFormat="1" x14ac:dyDescent="0.2">
      <c r="N157" s="236"/>
    </row>
    <row r="158" spans="14:14" s="226" customFormat="1" x14ac:dyDescent="0.2">
      <c r="N158" s="236"/>
    </row>
    <row r="159" spans="14:14" s="226" customFormat="1" x14ac:dyDescent="0.2">
      <c r="N159" s="236"/>
    </row>
    <row r="160" spans="14:14" s="226" customFormat="1" x14ac:dyDescent="0.2">
      <c r="N160" s="236"/>
    </row>
    <row r="161" spans="14:14" s="226" customFormat="1" x14ac:dyDescent="0.2">
      <c r="N161" s="236"/>
    </row>
    <row r="162" spans="14:14" s="226" customFormat="1" x14ac:dyDescent="0.2">
      <c r="N162" s="236"/>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80" zoomScaleSheetLayoutView="80" workbookViewId="0">
      <selection activeCell="G53" sqref="G53:H54"/>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8" t="str">
        <f>'2. паспорт  ТП'!A4:S4</f>
        <v>Год раскрытия информации: 2023 год</v>
      </c>
      <c r="B5" s="318"/>
      <c r="C5" s="318"/>
      <c r="D5" s="318"/>
      <c r="E5" s="318"/>
      <c r="F5" s="318"/>
      <c r="G5" s="318"/>
      <c r="H5" s="318"/>
      <c r="I5" s="318"/>
      <c r="J5" s="318"/>
      <c r="K5" s="318"/>
      <c r="L5" s="318"/>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row>
    <row r="6" spans="1:44" ht="18.75" x14ac:dyDescent="0.3">
      <c r="K6" s="12"/>
    </row>
    <row r="7" spans="1:44" ht="18.75" x14ac:dyDescent="0.25">
      <c r="A7" s="322" t="s">
        <v>6</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19" t="s">
        <v>5</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9" t="str">
        <f>'1. паспорт местоположение'!A12:C12</f>
        <v>M 22-02</v>
      </c>
      <c r="B12" s="329"/>
      <c r="C12" s="329"/>
      <c r="D12" s="329"/>
      <c r="E12" s="329"/>
      <c r="F12" s="329"/>
      <c r="G12" s="329"/>
      <c r="H12" s="329"/>
      <c r="I12" s="329"/>
      <c r="J12" s="329"/>
      <c r="K12" s="329"/>
      <c r="L12" s="329"/>
    </row>
    <row r="13" spans="1:44" x14ac:dyDescent="0.25">
      <c r="A13" s="319" t="s">
        <v>4</v>
      </c>
      <c r="B13" s="319"/>
      <c r="C13" s="319"/>
      <c r="D13" s="319"/>
      <c r="E13" s="319"/>
      <c r="F13" s="319"/>
      <c r="G13" s="319"/>
      <c r="H13" s="319"/>
      <c r="I13" s="319"/>
      <c r="J13" s="319"/>
      <c r="K13" s="319"/>
      <c r="L13" s="319"/>
    </row>
    <row r="14" spans="1:44" ht="18.75" x14ac:dyDescent="0.25">
      <c r="A14" s="333"/>
      <c r="B14" s="333"/>
      <c r="C14" s="333"/>
      <c r="D14" s="333"/>
      <c r="E14" s="333"/>
      <c r="F14" s="333"/>
      <c r="G14" s="333"/>
      <c r="H14" s="333"/>
      <c r="I14" s="333"/>
      <c r="J14" s="333"/>
      <c r="K14" s="333"/>
      <c r="L14" s="333"/>
    </row>
    <row r="15" spans="1:44" x14ac:dyDescent="0.25">
      <c r="A15" s="329" t="str">
        <f>'1. паспорт местоположение'!A15</f>
        <v xml:space="preserve">«Реконструкция трансформаторной подстанции ТП-7 с монтажом трансформатора 15 кВ  мощностью 630 кВА  в г. Пионерске Калининградской области»
</v>
      </c>
      <c r="B15" s="329"/>
      <c r="C15" s="329"/>
      <c r="D15" s="329"/>
      <c r="E15" s="329"/>
      <c r="F15" s="329"/>
      <c r="G15" s="329"/>
      <c r="H15" s="329"/>
      <c r="I15" s="329"/>
      <c r="J15" s="329"/>
      <c r="K15" s="329"/>
      <c r="L15" s="329"/>
    </row>
    <row r="16" spans="1:44" x14ac:dyDescent="0.25">
      <c r="A16" s="319" t="s">
        <v>3</v>
      </c>
      <c r="B16" s="319"/>
      <c r="C16" s="319"/>
      <c r="D16" s="319"/>
      <c r="E16" s="319"/>
      <c r="F16" s="319"/>
      <c r="G16" s="319"/>
      <c r="H16" s="319"/>
      <c r="I16" s="319"/>
      <c r="J16" s="319"/>
      <c r="K16" s="319"/>
      <c r="L16" s="319"/>
    </row>
    <row r="17" spans="1:12" ht="15.75" customHeight="1" x14ac:dyDescent="0.25">
      <c r="L17" s="75"/>
    </row>
    <row r="18" spans="1:12" x14ac:dyDescent="0.25">
      <c r="K18" s="32"/>
    </row>
    <row r="19" spans="1:12" ht="15.75" customHeight="1" x14ac:dyDescent="0.25">
      <c r="A19" s="388" t="s">
        <v>422</v>
      </c>
      <c r="B19" s="388"/>
      <c r="C19" s="388"/>
      <c r="D19" s="388"/>
      <c r="E19" s="388"/>
      <c r="F19" s="388"/>
      <c r="G19" s="388"/>
      <c r="H19" s="388"/>
      <c r="I19" s="388"/>
      <c r="J19" s="388"/>
      <c r="K19" s="388"/>
      <c r="L19" s="388"/>
    </row>
    <row r="20" spans="1:12" x14ac:dyDescent="0.25">
      <c r="A20" s="49"/>
      <c r="B20" s="49"/>
    </row>
    <row r="21" spans="1:12" ht="28.5" customHeight="1" x14ac:dyDescent="0.25">
      <c r="A21" s="381" t="s">
        <v>217</v>
      </c>
      <c r="B21" s="381" t="s">
        <v>216</v>
      </c>
      <c r="C21" s="386" t="s">
        <v>354</v>
      </c>
      <c r="D21" s="386"/>
      <c r="E21" s="386"/>
      <c r="F21" s="386"/>
      <c r="G21" s="386"/>
      <c r="H21" s="386"/>
      <c r="I21" s="381" t="s">
        <v>215</v>
      </c>
      <c r="J21" s="383" t="s">
        <v>356</v>
      </c>
      <c r="K21" s="381" t="s">
        <v>214</v>
      </c>
      <c r="L21" s="382" t="s">
        <v>355</v>
      </c>
    </row>
    <row r="22" spans="1:12" ht="58.5" customHeight="1" x14ac:dyDescent="0.25">
      <c r="A22" s="381"/>
      <c r="B22" s="381"/>
      <c r="C22" s="387" t="s">
        <v>562</v>
      </c>
      <c r="D22" s="387"/>
      <c r="E22" s="387" t="s">
        <v>8</v>
      </c>
      <c r="F22" s="387"/>
      <c r="G22" s="387" t="s">
        <v>8</v>
      </c>
      <c r="H22" s="387"/>
      <c r="I22" s="381"/>
      <c r="J22" s="384"/>
      <c r="K22" s="381"/>
      <c r="L22" s="382"/>
    </row>
    <row r="23" spans="1:12" ht="31.5" x14ac:dyDescent="0.25">
      <c r="A23" s="381"/>
      <c r="B23" s="381"/>
      <c r="C23" s="67" t="s">
        <v>213</v>
      </c>
      <c r="D23" s="67" t="s">
        <v>212</v>
      </c>
      <c r="E23" s="67" t="s">
        <v>213</v>
      </c>
      <c r="F23" s="67" t="s">
        <v>212</v>
      </c>
      <c r="G23" s="67" t="s">
        <v>213</v>
      </c>
      <c r="H23" s="67" t="s">
        <v>212</v>
      </c>
      <c r="I23" s="381"/>
      <c r="J23" s="385"/>
      <c r="K23" s="381"/>
      <c r="L23" s="382"/>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6"/>
      <c r="D25" s="216"/>
      <c r="E25" s="73"/>
      <c r="F25" s="73"/>
      <c r="G25" s="216"/>
      <c r="H25" s="216"/>
      <c r="I25" s="73"/>
      <c r="J25" s="73"/>
      <c r="K25" s="65"/>
      <c r="L25" s="77"/>
    </row>
    <row r="26" spans="1:12" ht="21.75" customHeight="1" x14ac:dyDescent="0.25">
      <c r="A26" s="67" t="s">
        <v>210</v>
      </c>
      <c r="B26" s="74" t="s">
        <v>361</v>
      </c>
      <c r="C26" s="217"/>
      <c r="D26" s="217"/>
      <c r="E26" s="73"/>
      <c r="F26" s="73"/>
      <c r="G26" s="217"/>
      <c r="H26" s="217"/>
      <c r="I26" s="153"/>
      <c r="J26" s="73"/>
      <c r="K26" s="65"/>
      <c r="L26" s="65"/>
    </row>
    <row r="27" spans="1:12" ht="39" customHeight="1" x14ac:dyDescent="0.25">
      <c r="A27" s="67" t="s">
        <v>209</v>
      </c>
      <c r="B27" s="74" t="s">
        <v>363</v>
      </c>
      <c r="C27" s="218" t="s">
        <v>457</v>
      </c>
      <c r="D27" s="218" t="s">
        <v>457</v>
      </c>
      <c r="E27" s="73"/>
      <c r="F27" s="73"/>
      <c r="G27" s="218" t="s">
        <v>457</v>
      </c>
      <c r="H27" s="218" t="s">
        <v>457</v>
      </c>
      <c r="I27" s="153"/>
      <c r="J27" s="73"/>
      <c r="K27" s="65"/>
      <c r="L27" s="65"/>
    </row>
    <row r="28" spans="1:12" ht="70.5" customHeight="1" x14ac:dyDescent="0.25">
      <c r="A28" s="67" t="s">
        <v>362</v>
      </c>
      <c r="B28" s="74" t="s">
        <v>367</v>
      </c>
      <c r="C28" s="218" t="s">
        <v>457</v>
      </c>
      <c r="D28" s="218" t="s">
        <v>457</v>
      </c>
      <c r="E28" s="73"/>
      <c r="F28" s="73"/>
      <c r="G28" s="218" t="s">
        <v>457</v>
      </c>
      <c r="H28" s="218" t="s">
        <v>457</v>
      </c>
      <c r="I28" s="153"/>
      <c r="J28" s="73"/>
      <c r="K28" s="65"/>
      <c r="L28" s="65"/>
    </row>
    <row r="29" spans="1:12" ht="54" customHeight="1" x14ac:dyDescent="0.25">
      <c r="A29" s="67" t="s">
        <v>208</v>
      </c>
      <c r="B29" s="74" t="s">
        <v>366</v>
      </c>
      <c r="C29" s="218" t="s">
        <v>457</v>
      </c>
      <c r="D29" s="218" t="s">
        <v>457</v>
      </c>
      <c r="E29" s="73"/>
      <c r="F29" s="73"/>
      <c r="G29" s="218" t="s">
        <v>457</v>
      </c>
      <c r="H29" s="218" t="s">
        <v>457</v>
      </c>
      <c r="I29" s="153"/>
      <c r="J29" s="73"/>
      <c r="K29" s="65"/>
      <c r="L29" s="65"/>
    </row>
    <row r="30" spans="1:12" ht="42" customHeight="1" x14ac:dyDescent="0.25">
      <c r="A30" s="67" t="s">
        <v>207</v>
      </c>
      <c r="B30" s="74" t="s">
        <v>368</v>
      </c>
      <c r="C30" s="218" t="s">
        <v>457</v>
      </c>
      <c r="D30" s="218" t="s">
        <v>457</v>
      </c>
      <c r="E30" s="73"/>
      <c r="F30" s="73"/>
      <c r="G30" s="218" t="s">
        <v>457</v>
      </c>
      <c r="H30" s="218" t="s">
        <v>457</v>
      </c>
      <c r="I30" s="153"/>
      <c r="J30" s="73"/>
      <c r="K30" s="65"/>
      <c r="L30" s="65"/>
    </row>
    <row r="31" spans="1:12" ht="37.5" customHeight="1" x14ac:dyDescent="0.25">
      <c r="A31" s="67" t="s">
        <v>206</v>
      </c>
      <c r="B31" s="66" t="s">
        <v>364</v>
      </c>
      <c r="C31" s="217">
        <v>44571</v>
      </c>
      <c r="D31" s="217">
        <v>44576</v>
      </c>
      <c r="E31" s="73"/>
      <c r="F31" s="73"/>
      <c r="G31" s="217">
        <v>44571</v>
      </c>
      <c r="H31" s="217">
        <v>44576</v>
      </c>
      <c r="I31" s="151"/>
      <c r="J31" s="73"/>
      <c r="K31" s="65"/>
      <c r="L31" s="65"/>
    </row>
    <row r="32" spans="1:12" ht="31.5" x14ac:dyDescent="0.25">
      <c r="A32" s="67" t="s">
        <v>204</v>
      </c>
      <c r="B32" s="66" t="s">
        <v>369</v>
      </c>
      <c r="C32" s="217">
        <v>44635</v>
      </c>
      <c r="D32" s="217">
        <v>44641</v>
      </c>
      <c r="E32" s="73"/>
      <c r="F32" s="73"/>
      <c r="G32" s="217">
        <v>44635</v>
      </c>
      <c r="H32" s="217">
        <v>44641</v>
      </c>
      <c r="I32" s="151"/>
      <c r="J32" s="73"/>
      <c r="K32" s="65"/>
      <c r="L32" s="65"/>
    </row>
    <row r="33" spans="1:12" ht="37.5" customHeight="1" x14ac:dyDescent="0.25">
      <c r="A33" s="67" t="s">
        <v>380</v>
      </c>
      <c r="B33" s="66" t="s">
        <v>296</v>
      </c>
      <c r="C33" s="218" t="s">
        <v>457</v>
      </c>
      <c r="D33" s="218" t="s">
        <v>457</v>
      </c>
      <c r="E33" s="73"/>
      <c r="F33" s="73"/>
      <c r="G33" s="218" t="s">
        <v>457</v>
      </c>
      <c r="H33" s="218" t="s">
        <v>457</v>
      </c>
      <c r="I33" s="153"/>
      <c r="J33" s="73"/>
      <c r="K33" s="65"/>
      <c r="L33" s="65"/>
    </row>
    <row r="34" spans="1:12" ht="47.25" customHeight="1" x14ac:dyDescent="0.25">
      <c r="A34" s="67" t="s">
        <v>381</v>
      </c>
      <c r="B34" s="66" t="s">
        <v>373</v>
      </c>
      <c r="C34" s="218" t="s">
        <v>457</v>
      </c>
      <c r="D34" s="218" t="s">
        <v>457</v>
      </c>
      <c r="E34" s="72"/>
      <c r="F34" s="72"/>
      <c r="G34" s="218" t="s">
        <v>457</v>
      </c>
      <c r="H34" s="218" t="s">
        <v>457</v>
      </c>
      <c r="I34" s="153"/>
      <c r="J34" s="72"/>
      <c r="K34" s="72"/>
      <c r="L34" s="65"/>
    </row>
    <row r="35" spans="1:12" ht="49.5" customHeight="1" x14ac:dyDescent="0.25">
      <c r="A35" s="67" t="s">
        <v>382</v>
      </c>
      <c r="B35" s="66" t="s">
        <v>205</v>
      </c>
      <c r="C35" s="217">
        <v>44641</v>
      </c>
      <c r="D35" s="217">
        <v>44645</v>
      </c>
      <c r="E35" s="72"/>
      <c r="F35" s="72"/>
      <c r="G35" s="217">
        <v>44641</v>
      </c>
      <c r="H35" s="217">
        <v>44645</v>
      </c>
      <c r="I35" s="151"/>
      <c r="J35" s="72"/>
      <c r="K35" s="72"/>
      <c r="L35" s="65"/>
    </row>
    <row r="36" spans="1:12" ht="37.5" customHeight="1" x14ac:dyDescent="0.25">
      <c r="A36" s="67" t="s">
        <v>383</v>
      </c>
      <c r="B36" s="66" t="s">
        <v>365</v>
      </c>
      <c r="C36" s="218" t="s">
        <v>457</v>
      </c>
      <c r="D36" s="218" t="s">
        <v>457</v>
      </c>
      <c r="E36" s="71"/>
      <c r="F36" s="70"/>
      <c r="G36" s="218" t="s">
        <v>457</v>
      </c>
      <c r="H36" s="218" t="s">
        <v>457</v>
      </c>
      <c r="I36" s="153"/>
      <c r="J36" s="69"/>
      <c r="K36" s="65"/>
      <c r="L36" s="65"/>
    </row>
    <row r="37" spans="1:12" x14ac:dyDescent="0.25">
      <c r="A37" s="67" t="s">
        <v>384</v>
      </c>
      <c r="B37" s="66" t="s">
        <v>203</v>
      </c>
      <c r="C37" s="217">
        <v>44641</v>
      </c>
      <c r="D37" s="217">
        <v>44645</v>
      </c>
      <c r="E37" s="71"/>
      <c r="F37" s="70"/>
      <c r="G37" s="217">
        <v>44641</v>
      </c>
      <c r="H37" s="217">
        <v>44645</v>
      </c>
      <c r="I37" s="153"/>
      <c r="J37" s="69"/>
      <c r="K37" s="65"/>
      <c r="L37" s="65"/>
    </row>
    <row r="38" spans="1:12" x14ac:dyDescent="0.25">
      <c r="A38" s="67" t="s">
        <v>385</v>
      </c>
      <c r="B38" s="68" t="s">
        <v>202</v>
      </c>
      <c r="C38" s="218"/>
      <c r="D38" s="218"/>
      <c r="E38" s="65"/>
      <c r="F38" s="65"/>
      <c r="G38" s="220"/>
      <c r="H38" s="220"/>
      <c r="I38" s="152"/>
      <c r="J38" s="65"/>
      <c r="K38" s="65"/>
      <c r="L38" s="65"/>
    </row>
    <row r="39" spans="1:12" ht="63" x14ac:dyDescent="0.25">
      <c r="A39" s="67">
        <v>2</v>
      </c>
      <c r="B39" s="66" t="s">
        <v>370</v>
      </c>
      <c r="C39" s="217">
        <v>44682</v>
      </c>
      <c r="D39" s="217">
        <v>44695</v>
      </c>
      <c r="E39" s="65"/>
      <c r="F39" s="65"/>
      <c r="G39" s="219">
        <v>44682</v>
      </c>
      <c r="H39" s="219">
        <v>44695</v>
      </c>
      <c r="I39" s="152"/>
      <c r="J39" s="65"/>
      <c r="K39" s="65"/>
      <c r="L39" s="65"/>
    </row>
    <row r="40" spans="1:12" ht="33.75" customHeight="1" x14ac:dyDescent="0.25">
      <c r="A40" s="67" t="s">
        <v>201</v>
      </c>
      <c r="B40" s="66" t="s">
        <v>372</v>
      </c>
      <c r="C40" s="217">
        <v>44696</v>
      </c>
      <c r="D40" s="217">
        <v>44727</v>
      </c>
      <c r="E40" s="65"/>
      <c r="F40" s="65"/>
      <c r="G40" s="219">
        <v>44696</v>
      </c>
      <c r="H40" s="217">
        <v>44727</v>
      </c>
      <c r="I40" s="152"/>
      <c r="J40" s="65"/>
      <c r="K40" s="65"/>
      <c r="L40" s="65"/>
    </row>
    <row r="41" spans="1:12" ht="63" customHeight="1" x14ac:dyDescent="0.25">
      <c r="A41" s="67" t="s">
        <v>200</v>
      </c>
      <c r="B41" s="68" t="s">
        <v>453</v>
      </c>
      <c r="C41" s="217"/>
      <c r="D41" s="217"/>
      <c r="E41" s="65"/>
      <c r="F41" s="65"/>
      <c r="G41" s="220"/>
      <c r="H41" s="220"/>
      <c r="I41" s="152"/>
      <c r="J41" s="65"/>
      <c r="K41" s="65"/>
      <c r="L41" s="65"/>
    </row>
    <row r="42" spans="1:12" ht="58.5" customHeight="1" x14ac:dyDescent="0.25">
      <c r="A42" s="67">
        <v>3</v>
      </c>
      <c r="B42" s="66" t="s">
        <v>371</v>
      </c>
      <c r="C42" s="217">
        <v>44696</v>
      </c>
      <c r="D42" s="217">
        <v>44727</v>
      </c>
      <c r="E42" s="65"/>
      <c r="F42" s="65"/>
      <c r="G42" s="217">
        <v>44696</v>
      </c>
      <c r="H42" s="217">
        <v>44727</v>
      </c>
      <c r="I42" s="153"/>
      <c r="J42" s="65"/>
      <c r="K42" s="65"/>
      <c r="L42" s="65"/>
    </row>
    <row r="43" spans="1:12" ht="34.5" customHeight="1" x14ac:dyDescent="0.25">
      <c r="A43" s="67" t="s">
        <v>199</v>
      </c>
      <c r="B43" s="66" t="s">
        <v>197</v>
      </c>
      <c r="C43" s="217">
        <v>44727</v>
      </c>
      <c r="D43" s="217">
        <v>44732</v>
      </c>
      <c r="E43" s="65"/>
      <c r="F43" s="65"/>
      <c r="G43" s="217">
        <v>44727</v>
      </c>
      <c r="H43" s="217">
        <v>44732</v>
      </c>
      <c r="I43" s="153"/>
      <c r="J43" s="65"/>
      <c r="K43" s="65"/>
      <c r="L43" s="65"/>
    </row>
    <row r="44" spans="1:12" ht="24.75" customHeight="1" x14ac:dyDescent="0.25">
      <c r="A44" s="67" t="s">
        <v>198</v>
      </c>
      <c r="B44" s="66" t="s">
        <v>195</v>
      </c>
      <c r="C44" s="217">
        <v>44732</v>
      </c>
      <c r="D44" s="217">
        <v>44834</v>
      </c>
      <c r="E44" s="65"/>
      <c r="F44" s="65"/>
      <c r="G44" s="217">
        <v>44732</v>
      </c>
      <c r="H44" s="217">
        <v>44767</v>
      </c>
      <c r="I44" s="153"/>
      <c r="J44" s="65"/>
      <c r="K44" s="65"/>
      <c r="L44" s="65"/>
    </row>
    <row r="45" spans="1:12" ht="90.75" customHeight="1" x14ac:dyDescent="0.25">
      <c r="A45" s="67" t="s">
        <v>196</v>
      </c>
      <c r="B45" s="66" t="s">
        <v>376</v>
      </c>
      <c r="C45" s="217" t="s">
        <v>457</v>
      </c>
      <c r="D45" s="217" t="s">
        <v>457</v>
      </c>
      <c r="E45" s="65"/>
      <c r="F45" s="65"/>
      <c r="G45" s="218" t="s">
        <v>457</v>
      </c>
      <c r="H45" s="218" t="s">
        <v>457</v>
      </c>
      <c r="I45" s="152"/>
      <c r="J45" s="65"/>
      <c r="K45" s="65"/>
      <c r="L45" s="65"/>
    </row>
    <row r="46" spans="1:12" ht="167.25" customHeight="1" x14ac:dyDescent="0.25">
      <c r="A46" s="67" t="s">
        <v>194</v>
      </c>
      <c r="B46" s="66" t="s">
        <v>374</v>
      </c>
      <c r="C46" s="217" t="s">
        <v>457</v>
      </c>
      <c r="D46" s="217" t="s">
        <v>457</v>
      </c>
      <c r="E46" s="65"/>
      <c r="F46" s="65"/>
      <c r="G46" s="218" t="s">
        <v>457</v>
      </c>
      <c r="H46" s="218" t="s">
        <v>457</v>
      </c>
      <c r="I46" s="152"/>
      <c r="J46" s="65"/>
      <c r="K46" s="65"/>
      <c r="L46" s="65"/>
    </row>
    <row r="47" spans="1:12" ht="30.75" customHeight="1" x14ac:dyDescent="0.25">
      <c r="A47" s="67" t="s">
        <v>192</v>
      </c>
      <c r="B47" s="66" t="s">
        <v>193</v>
      </c>
      <c r="C47" s="217"/>
      <c r="D47" s="217"/>
      <c r="E47" s="65"/>
      <c r="F47" s="65"/>
      <c r="G47" s="217"/>
      <c r="H47" s="217"/>
      <c r="I47" s="153"/>
      <c r="J47" s="65"/>
      <c r="K47" s="65"/>
      <c r="L47" s="65"/>
    </row>
    <row r="48" spans="1:12" ht="37.5" customHeight="1" x14ac:dyDescent="0.25">
      <c r="A48" s="67" t="s">
        <v>386</v>
      </c>
      <c r="B48" s="68" t="s">
        <v>191</v>
      </c>
      <c r="C48" s="217"/>
      <c r="D48" s="217"/>
      <c r="E48" s="65"/>
      <c r="F48" s="65"/>
      <c r="G48" s="220"/>
      <c r="H48" s="220"/>
      <c r="I48" s="153"/>
      <c r="J48" s="65"/>
      <c r="K48" s="65"/>
      <c r="L48" s="65"/>
    </row>
    <row r="49" spans="1:12" ht="35.25" customHeight="1" x14ac:dyDescent="0.25">
      <c r="A49" s="67">
        <v>4</v>
      </c>
      <c r="B49" s="66" t="s">
        <v>189</v>
      </c>
      <c r="C49" s="217">
        <v>44834</v>
      </c>
      <c r="D49" s="217">
        <v>44836</v>
      </c>
      <c r="E49" s="65"/>
      <c r="F49" s="65"/>
      <c r="G49" s="217">
        <v>44762</v>
      </c>
      <c r="H49" s="219">
        <v>44767</v>
      </c>
      <c r="I49" s="153"/>
      <c r="J49" s="65"/>
      <c r="K49" s="65"/>
      <c r="L49" s="65"/>
    </row>
    <row r="50" spans="1:12" ht="86.25" customHeight="1" x14ac:dyDescent="0.25">
      <c r="A50" s="67" t="s">
        <v>190</v>
      </c>
      <c r="B50" s="66" t="s">
        <v>375</v>
      </c>
      <c r="C50" s="217">
        <v>44834</v>
      </c>
      <c r="D50" s="217">
        <v>44849</v>
      </c>
      <c r="E50" s="65"/>
      <c r="F50" s="65"/>
      <c r="G50" s="217">
        <v>44762</v>
      </c>
      <c r="H50" s="219">
        <v>44767</v>
      </c>
      <c r="I50" s="152"/>
      <c r="J50" s="65"/>
      <c r="K50" s="65"/>
      <c r="L50" s="65"/>
    </row>
    <row r="51" spans="1:12" ht="77.25" customHeight="1" x14ac:dyDescent="0.25">
      <c r="A51" s="67" t="s">
        <v>188</v>
      </c>
      <c r="B51" s="66" t="s">
        <v>377</v>
      </c>
      <c r="C51" s="217" t="s">
        <v>457</v>
      </c>
      <c r="D51" s="217" t="s">
        <v>457</v>
      </c>
      <c r="E51" s="65"/>
      <c r="F51" s="65"/>
      <c r="G51" s="218" t="s">
        <v>457</v>
      </c>
      <c r="H51" s="218" t="s">
        <v>457</v>
      </c>
      <c r="I51" s="152"/>
      <c r="J51" s="65"/>
      <c r="K51" s="65"/>
      <c r="L51" s="65"/>
    </row>
    <row r="52" spans="1:12" ht="71.25" customHeight="1" x14ac:dyDescent="0.25">
      <c r="A52" s="67" t="s">
        <v>186</v>
      </c>
      <c r="B52" s="66" t="s">
        <v>187</v>
      </c>
      <c r="C52" s="217" t="s">
        <v>457</v>
      </c>
      <c r="D52" s="217" t="s">
        <v>457</v>
      </c>
      <c r="E52" s="65"/>
      <c r="F52" s="65"/>
      <c r="G52" s="218" t="s">
        <v>457</v>
      </c>
      <c r="H52" s="218" t="s">
        <v>457</v>
      </c>
      <c r="I52" s="153"/>
      <c r="J52" s="65"/>
      <c r="K52" s="65"/>
      <c r="L52" s="65"/>
    </row>
    <row r="53" spans="1:12" ht="48" customHeight="1" x14ac:dyDescent="0.25">
      <c r="A53" s="67" t="s">
        <v>184</v>
      </c>
      <c r="B53" s="116" t="s">
        <v>378</v>
      </c>
      <c r="C53" s="217">
        <v>44834</v>
      </c>
      <c r="D53" s="217">
        <v>44834</v>
      </c>
      <c r="E53" s="65"/>
      <c r="F53" s="65"/>
      <c r="G53" s="219">
        <v>44762</v>
      </c>
      <c r="H53" s="219">
        <v>44767</v>
      </c>
      <c r="I53" s="152"/>
      <c r="J53" s="65"/>
      <c r="K53" s="65"/>
      <c r="L53" s="65"/>
    </row>
    <row r="54" spans="1:12" ht="46.5" customHeight="1" x14ac:dyDescent="0.25">
      <c r="A54" s="67" t="s">
        <v>379</v>
      </c>
      <c r="B54" s="66" t="s">
        <v>185</v>
      </c>
      <c r="C54" s="217">
        <v>44834</v>
      </c>
      <c r="D54" s="217">
        <v>44834</v>
      </c>
      <c r="E54" s="65"/>
      <c r="F54" s="65"/>
      <c r="G54" s="219">
        <v>44762</v>
      </c>
      <c r="H54" s="219">
        <v>44767</v>
      </c>
      <c r="I54" s="152"/>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2023-02-24T15:43:25Z</dcterms:modified>
</cp:coreProperties>
</file>