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15\L 21-15_паспорт_карта\"/>
    </mc:Choice>
  </mc:AlternateContent>
  <xr:revisionPtr revIDLastSave="0" documentId="13_ncr:1_{AD984DD8-E1FE-4F65-9841-078A847F8F76}" xr6:coauthVersionLast="47" xr6:coauthVersionMax="47" xr10:uidLastSave="{00000000-0000-0000-0000-000000000000}"/>
  <bookViews>
    <workbookView xWindow="780"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ПС'!$A$2:$T$57</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50" i="30" l="1"/>
  <c r="J22" i="12"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56" i="29"/>
  <c r="N49"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67" i="30" s="1"/>
  <c r="C81" i="30"/>
  <c r="A12" i="26"/>
  <c r="D67" i="30" l="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H60" i="30"/>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AM86" i="30" l="1"/>
  <c r="AM83" i="30"/>
  <c r="AM79" i="30"/>
  <c r="D89" i="30"/>
  <c r="D84" i="30"/>
  <c r="AA90" i="30"/>
  <c r="AA87" i="30"/>
  <c r="AM90" i="30"/>
  <c r="AM87" i="30"/>
  <c r="AN86" i="30"/>
  <c r="AN83" i="30"/>
  <c r="AN79" i="30"/>
  <c r="X90" i="30"/>
  <c r="X87" i="30"/>
  <c r="AJ90" i="30"/>
  <c r="AJ87" i="30"/>
  <c r="H89" i="30"/>
  <c r="H84" i="30"/>
  <c r="L89" i="30"/>
  <c r="L84" i="30"/>
  <c r="W86" i="30"/>
  <c r="W83" i="30"/>
  <c r="W79" i="30"/>
  <c r="L86" i="30"/>
  <c r="L83" i="30"/>
  <c r="L79" i="30"/>
  <c r="R89" i="30"/>
  <c r="R84" i="30"/>
  <c r="AN90" i="30"/>
  <c r="AN87" i="30"/>
  <c r="D86" i="30"/>
  <c r="D83" i="30"/>
  <c r="D79" i="30"/>
  <c r="S90" i="30"/>
  <c r="S87" i="30"/>
  <c r="AI90" i="30"/>
  <c r="AI87" i="30"/>
  <c r="AC90" i="30"/>
  <c r="AC87" i="30"/>
  <c r="AF89" i="30"/>
  <c r="AF84" i="30"/>
  <c r="AI86" i="30"/>
  <c r="AI83" i="30"/>
  <c r="AI79" i="30"/>
  <c r="AA89" i="30"/>
  <c r="AA84" i="30"/>
  <c r="AF86" i="30"/>
  <c r="AF83" i="30"/>
  <c r="AF79" i="30"/>
  <c r="AE86" i="30"/>
  <c r="AE83" i="30"/>
  <c r="AE79" i="30"/>
  <c r="AJ89" i="30"/>
  <c r="AJ84" i="30"/>
  <c r="H86" i="30"/>
  <c r="H83" i="30"/>
  <c r="H79" i="30"/>
  <c r="AC89" i="30"/>
  <c r="AC84" i="30"/>
  <c r="K89" i="30"/>
  <c r="K84" i="30"/>
  <c r="I86" i="30"/>
  <c r="I83" i="30"/>
  <c r="I79" i="30"/>
  <c r="Y89" i="30"/>
  <c r="Y84" i="30"/>
  <c r="M89" i="30"/>
  <c r="M84" i="30"/>
  <c r="Y90" i="30"/>
  <c r="Y87" i="30"/>
  <c r="AE89" i="30"/>
  <c r="AE84" i="30"/>
  <c r="AH90" i="30"/>
  <c r="AH87" i="30"/>
  <c r="AG89" i="30"/>
  <c r="AG84" i="30"/>
  <c r="G90" i="30"/>
  <c r="G87" i="30"/>
  <c r="B105" i="30"/>
  <c r="L88" i="30"/>
  <c r="K90" i="30"/>
  <c r="K87" i="30"/>
  <c r="L90" i="30"/>
  <c r="J79" i="30"/>
  <c r="J83" i="30"/>
  <c r="J86" i="30"/>
  <c r="F79" i="30"/>
  <c r="F83" i="30"/>
  <c r="F86" i="30"/>
  <c r="AI89" i="30"/>
  <c r="AI84" i="30"/>
  <c r="N79" i="30"/>
  <c r="N83" i="30"/>
  <c r="N86" i="30"/>
  <c r="AL90" i="30"/>
  <c r="AL87" i="30"/>
  <c r="P89" i="30"/>
  <c r="P84" i="30"/>
  <c r="AD90" i="30"/>
  <c r="AD87" i="30"/>
  <c r="B84" i="30"/>
  <c r="B89" i="30"/>
  <c r="G28" i="30"/>
  <c r="C105" i="30"/>
  <c r="L87" i="30"/>
  <c r="G30" i="30"/>
  <c r="A105" i="30"/>
  <c r="O79" i="30"/>
  <c r="O83" i="30"/>
  <c r="O86" i="30"/>
  <c r="B87" i="30"/>
  <c r="B90" i="30"/>
  <c r="G29" i="30"/>
  <c r="D105" i="30"/>
  <c r="M79" i="30"/>
  <c r="M83" i="30"/>
  <c r="M86" i="30"/>
  <c r="AB89" i="30"/>
  <c r="AB84" i="30"/>
  <c r="H90" i="30"/>
  <c r="H87" i="30"/>
  <c r="N89" i="30"/>
  <c r="N84" i="30"/>
  <c r="E79" i="30"/>
  <c r="E83" i="30"/>
  <c r="E86" i="30"/>
  <c r="P90" i="30"/>
  <c r="P87" i="30"/>
  <c r="X79" i="30"/>
  <c r="X83" i="30"/>
  <c r="X86" i="30"/>
  <c r="AL89" i="30"/>
  <c r="AL84" i="30"/>
  <c r="T79" i="30"/>
  <c r="T83" i="30"/>
  <c r="T86" i="30"/>
  <c r="R90" i="30"/>
  <c r="R87" i="30"/>
  <c r="AO90" i="30"/>
  <c r="AO87" i="30"/>
  <c r="V90" i="30"/>
  <c r="V87" i="30"/>
  <c r="U86" i="30"/>
  <c r="U83" i="30"/>
  <c r="U79" i="30"/>
  <c r="AA86" i="30"/>
  <c r="AA83" i="30"/>
  <c r="AA79" i="30"/>
  <c r="AG90" i="30"/>
  <c r="AG87" i="30"/>
  <c r="V86" i="30"/>
  <c r="V83" i="30"/>
  <c r="V79" i="30"/>
  <c r="T89" i="30"/>
  <c r="T84" i="30"/>
  <c r="AL79" i="30"/>
  <c r="AL83" i="30"/>
  <c r="AL86" i="30"/>
  <c r="I89" i="30"/>
  <c r="I84" i="30"/>
  <c r="W90" i="30"/>
  <c r="W87" i="30"/>
  <c r="Y79" i="30"/>
  <c r="Y83" i="30"/>
  <c r="Y86" i="30"/>
  <c r="C79" i="30"/>
  <c r="C83" i="30"/>
  <c r="C86" i="30"/>
  <c r="AH86" i="30"/>
  <c r="AH83" i="30"/>
  <c r="AH79" i="30"/>
  <c r="I90" i="30"/>
  <c r="I87" i="30"/>
  <c r="AB79" i="30"/>
  <c r="AB83" i="30"/>
  <c r="AB86" i="30"/>
  <c r="B102" i="30"/>
  <c r="A101" i="30"/>
  <c r="O90" i="30"/>
  <c r="O87" i="30"/>
  <c r="AK90" i="30"/>
  <c r="AK87" i="30"/>
  <c r="X89" i="30"/>
  <c r="X84" i="30"/>
  <c r="S79" i="30"/>
  <c r="S83" i="30"/>
  <c r="S86" i="30"/>
  <c r="K79" i="30"/>
  <c r="K83" i="30"/>
  <c r="K86" i="30"/>
  <c r="Z89" i="30"/>
  <c r="Z84" i="30"/>
  <c r="R79" i="30"/>
  <c r="R83" i="30"/>
  <c r="R86" i="30"/>
  <c r="U89" i="30"/>
  <c r="U84" i="30"/>
  <c r="AP79" i="30"/>
  <c r="AP83" i="30"/>
  <c r="AP86" i="30"/>
  <c r="N90" i="30"/>
  <c r="N87" i="30"/>
  <c r="D90" i="30"/>
  <c r="D87" i="30"/>
  <c r="Z90" i="30"/>
  <c r="Z87" i="30"/>
  <c r="E89" i="30"/>
  <c r="E84" i="30"/>
  <c r="Q90" i="30"/>
  <c r="Q87" i="30"/>
  <c r="AG79" i="30"/>
  <c r="AG83" i="30"/>
  <c r="AG86" i="30"/>
  <c r="AP89" i="30"/>
  <c r="AP84" i="30"/>
  <c r="AO79" i="30"/>
  <c r="AO83" i="30"/>
  <c r="AO86" i="30"/>
  <c r="M90" i="30"/>
  <c r="M87" i="30"/>
  <c r="O89" i="30"/>
  <c r="O84" i="30"/>
  <c r="G79" i="30"/>
  <c r="G83" i="30"/>
  <c r="G86" i="30"/>
  <c r="AB90" i="30"/>
  <c r="AB87" i="30"/>
  <c r="V89" i="30"/>
  <c r="V84" i="30"/>
  <c r="C90" i="30"/>
  <c r="C87" i="30"/>
  <c r="AE90" i="30"/>
  <c r="AE87" i="30"/>
  <c r="AJ79" i="30"/>
  <c r="AJ83" i="30"/>
  <c r="AJ86" i="30"/>
  <c r="G89" i="30"/>
  <c r="G84" i="30"/>
  <c r="AO89" i="30"/>
  <c r="AO84" i="30"/>
  <c r="Z79" i="30"/>
  <c r="Z83" i="30"/>
  <c r="Z86" i="30"/>
  <c r="C89" i="30"/>
  <c r="C84" i="30"/>
  <c r="F89" i="30"/>
  <c r="F84" i="30"/>
  <c r="AD89" i="30"/>
  <c r="AD84" i="30"/>
  <c r="AD79" i="30"/>
  <c r="AD83" i="30"/>
  <c r="AD86" i="30"/>
  <c r="Q79" i="30"/>
  <c r="Q83" i="30"/>
  <c r="Q86" i="30"/>
  <c r="Q89" i="30"/>
  <c r="Q84" i="30"/>
  <c r="J90" i="30"/>
  <c r="J87" i="30"/>
  <c r="AC79" i="30"/>
  <c r="AC83" i="30"/>
  <c r="AC86" i="30"/>
  <c r="AH89" i="30"/>
  <c r="AH84" i="30"/>
  <c r="AP87" i="30"/>
  <c r="AP90" i="30"/>
  <c r="P79" i="30"/>
  <c r="P83" i="30"/>
  <c r="P86" i="30"/>
  <c r="U90" i="30"/>
  <c r="U87" i="30"/>
  <c r="S89" i="30"/>
  <c r="S84" i="30"/>
  <c r="F90" i="30"/>
  <c r="F87" i="30"/>
  <c r="J89" i="30"/>
  <c r="J84" i="30"/>
  <c r="E90" i="30"/>
  <c r="E87" i="30"/>
  <c r="AN89" i="30"/>
  <c r="AN84" i="30"/>
  <c r="AF90" i="30"/>
  <c r="AF87" i="30"/>
  <c r="W89" i="30"/>
  <c r="W84" i="30"/>
  <c r="AK79" i="30"/>
  <c r="AK83" i="30"/>
  <c r="AK86" i="30"/>
  <c r="B86" i="30"/>
  <c r="T87" i="30"/>
  <c r="T90" i="30"/>
  <c r="AK89" i="30"/>
  <c r="AK84" i="30"/>
  <c r="AM89" i="30"/>
  <c r="AM84" i="30"/>
  <c r="M88" i="30"/>
  <c r="AA88" i="30"/>
  <c r="AI88" i="30"/>
  <c r="P88" i="30"/>
  <c r="V88" i="30"/>
  <c r="D88" i="30"/>
  <c r="AB88" i="30"/>
  <c r="AF88" i="30"/>
  <c r="W88" i="30"/>
  <c r="AP88" i="30"/>
  <c r="G88" i="30"/>
  <c r="I88" i="30"/>
  <c r="AN88" i="30"/>
  <c r="B88" i="30"/>
  <c r="U88" i="30"/>
  <c r="E88" i="30"/>
  <c r="T88" i="30"/>
  <c r="O88" i="30"/>
  <c r="AG88" i="30"/>
  <c r="Q88" i="30"/>
  <c r="N88" i="30"/>
  <c r="R88" i="30"/>
  <c r="AO88" i="30"/>
  <c r="K88" i="30"/>
  <c r="AC88" i="30"/>
  <c r="Z88" i="30"/>
  <c r="X88" i="30"/>
  <c r="C88" i="30"/>
  <c r="AK88" i="30"/>
  <c r="AJ88" i="30"/>
  <c r="AE88" i="30"/>
  <c r="AH88" i="30"/>
  <c r="J88" i="30"/>
  <c r="AM88" i="30"/>
  <c r="H88" i="30"/>
  <c r="AD88" i="30"/>
  <c r="S88" i="30"/>
  <c r="F88" i="30"/>
  <c r="AL88" i="30"/>
  <c r="B79" i="30"/>
  <c r="B83" i="30"/>
  <c r="Y88" i="30"/>
</calcChain>
</file>

<file path=xl/sharedStrings.xml><?xml version="1.0" encoding="utf-8"?>
<sst xmlns="http://schemas.openxmlformats.org/spreadsheetml/2006/main" count="1285" uniqueCount="658">
  <si>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</si>
  <si>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</si>
  <si>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</si>
  <si>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</si>
  <si>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</si>
  <si>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</si>
  <si>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</si>
  <si>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</si>
  <si>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</si>
  <si>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</si>
  <si>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</si>
  <si>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</si>
  <si>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</si>
  <si>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</si>
  <si>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</si>
  <si>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</si>
  <si>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</si>
  <si>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</si>
  <si>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</si>
  <si>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</si>
  <si>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</si>
  <si>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</si>
  <si>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</si>
  <si>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</si>
  <si>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</si>
  <si>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</si>
  <si>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</si>
  <si>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</si>
  <si>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</si>
  <si>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</si>
  <si>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</si>
  <si>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</si>
  <si>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</si>
  <si>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</si>
  <si>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</si>
  <si>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</si>
  <si>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</si>
  <si>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</si>
  <si>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</si>
  <si>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</si>
  <si>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</si>
  <si>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</si>
  <si>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</si>
  <si>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</si>
  <si>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</si>
  <si>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</si>
  <si>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</si>
  <si>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</si>
  <si>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</si>
  <si>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</si>
  <si>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</si>
  <si>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</si>
  <si>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</si>
  <si>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</si>
  <si>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</si>
  <si>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</si>
  <si>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</si>
  <si>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</si>
  <si>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</si>
  <si>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</si>
  <si>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</si>
  <si>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</si>
  <si>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</si>
  <si>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</si>
  <si>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</si>
  <si>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</si>
  <si>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</si>
  <si>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</si>
  <si>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</si>
  <si>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</si>
  <si>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</si>
  <si>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</si>
  <si>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</si>
  <si>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</si>
  <si>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</si>
  <si>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</si>
  <si>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</si>
  <si>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</si>
  <si>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</si>
  <si>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</si>
  <si>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</si>
  <si>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</si>
  <si>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</si>
  <si>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</si>
  <si>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</si>
  <si>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</si>
  <si>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</si>
  <si>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</si>
  <si>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</si>
  <si>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</si>
  <si>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</si>
  <si>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</si>
  <si>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</si>
  <si>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</si>
  <si>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</si>
  <si>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</si>
  <si>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</si>
  <si>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</si>
  <si>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</si>
  <si>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</si>
  <si>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</si>
  <si>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</si>
  <si>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</si>
  <si>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</si>
  <si>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</si>
  <si>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</si>
  <si>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</si>
  <si>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</si>
  <si>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</si>
  <si>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</si>
  <si>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</si>
  <si>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</si>
  <si>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</si>
  <si>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</si>
  <si>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</si>
  <si>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</si>
  <si>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</si>
  <si>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</si>
  <si>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</si>
  <si>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</si>
  <si>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</si>
  <si>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</si>
  <si>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</si>
  <si>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</si>
  <si>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</si>
  <si>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</si>
  <si>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</si>
  <si>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</si>
  <si>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</si>
  <si>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</si>
  <si>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</si>
  <si>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</si>
  <si>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</si>
  <si>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</si>
  <si>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</si>
  <si>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</si>
  <si>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</si>
  <si>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</si>
  <si>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</si>
  <si>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</si>
  <si>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</si>
  <si>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</si>
  <si>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</si>
  <si>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</si>
  <si>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</si>
  <si>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</si>
  <si>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</si>
  <si>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</si>
  <si>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</si>
  <si>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</si>
  <si>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</si>
  <si>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</si>
  <si>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</si>
  <si>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</si>
  <si>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</si>
  <si>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</si>
  <si>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</si>
  <si>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</si>
  <si>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</si>
  <si>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</si>
  <si>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</si>
  <si>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</si>
  <si>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</si>
  <si>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</si>
  <si>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</si>
  <si>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</si>
  <si>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</si>
  <si>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</si>
  <si>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</si>
  <si>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</si>
  <si>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</si>
  <si>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</si>
  <si>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</si>
  <si>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</si>
  <si>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</si>
  <si>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</si>
  <si>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</si>
  <si>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</si>
  <si>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</si>
  <si>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</si>
  <si>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</si>
  <si>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</si>
  <si>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</si>
  <si>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</si>
  <si>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</si>
  <si>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</si>
  <si>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</si>
  <si>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</si>
  <si>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</si>
  <si>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</si>
  <si>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</si>
  <si>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</si>
  <si>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</si>
  <si>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</si>
  <si>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</si>
  <si>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</si>
  <si>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</si>
  <si>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</si>
  <si>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</si>
  <si>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</si>
  <si>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</si>
  <si>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</si>
  <si>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</si>
  <si>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</si>
  <si>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</si>
  <si>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</si>
  <si>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</si>
  <si>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</si>
  <si>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</si>
  <si>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</si>
  <si>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</si>
  <si>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</si>
  <si>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</si>
  <si>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</si>
  <si>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</si>
  <si>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</si>
  <si>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</si>
  <si>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</si>
  <si>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</si>
  <si>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</si>
  <si>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</si>
  <si>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</si>
  <si>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</si>
  <si>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</si>
  <si>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</si>
  <si>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</si>
  <si>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</si>
  <si>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</si>
  <si>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</si>
  <si>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</si>
  <si>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</si>
  <si>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</si>
  <si>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</si>
  <si>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</si>
  <si>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</si>
  <si>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</si>
  <si>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</si>
  <si>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</si>
  <si>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</si>
  <si>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</si>
  <si>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</si>
  <si>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</si>
  <si>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</si>
  <si>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</si>
  <si>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</si>
  <si>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</si>
  <si>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</si>
  <si>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</si>
  <si>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</si>
  <si>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</si>
  <si>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</si>
  <si>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</si>
  <si>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</si>
  <si>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</si>
  <si>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</si>
  <si>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</si>
  <si>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</si>
  <si>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</si>
  <si>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</si>
  <si>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</si>
  <si>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</si>
  <si>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</si>
  <si>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</si>
  <si>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</si>
  <si>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</si>
  <si>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</si>
  <si>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</si>
  <si>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</si>
  <si>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</si>
  <si>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</si>
  <si>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</si>
  <si>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</si>
  <si>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</si>
  <si>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</si>
  <si>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</si>
  <si>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</si>
  <si>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</si>
  <si>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</si>
  <si>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</si>
  <si>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</si>
  <si>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</si>
  <si>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</si>
  <si>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</si>
  <si>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</si>
  <si>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</si>
  <si>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</si>
  <si>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</si>
  <si>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</si>
  <si>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</si>
  <si>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</si>
  <si>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</si>
  <si>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</si>
  <si>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</si>
  <si>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</si>
  <si>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</si>
  <si>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</si>
  <si>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</si>
  <si>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</si>
  <si>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</si>
  <si>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</si>
  <si>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</si>
  <si>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</si>
  <si>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</si>
  <si>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</si>
  <si>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</si>
  <si>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</si>
  <si>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</si>
  <si>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</si>
  <si>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</si>
  <si>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</si>
  <si>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</si>
  <si>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</si>
  <si>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</si>
  <si>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</si>
  <si>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</si>
  <si>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</si>
  <si>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</si>
  <si>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</si>
  <si>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</si>
  <si>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</si>
  <si>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</si>
  <si>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</si>
  <si>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</si>
  <si>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</si>
  <si>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</si>
  <si>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</si>
  <si>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</si>
  <si>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</si>
  <si>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</si>
  <si>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</si>
  <si>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</si>
  <si>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</si>
  <si>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</si>
  <si>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</si>
  <si>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</si>
  <si>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</si>
  <si>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</si>
  <si>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</si>
  <si>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</si>
  <si>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</si>
  <si>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</si>
  <si>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</si>
  <si>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</si>
  <si>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</si>
  <si>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</si>
  <si>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</si>
  <si>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</si>
  <si>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</si>
  <si>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</si>
  <si>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</si>
  <si>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</si>
  <si>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</si>
  <si>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</si>
  <si>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</si>
  <si>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</si>
  <si>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</si>
  <si>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</si>
  <si>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</si>
  <si>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</si>
  <si>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</si>
  <si>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</si>
  <si>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</si>
  <si>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</si>
  <si>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</si>
  <si>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</si>
  <si>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</si>
  <si>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</si>
  <si>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</si>
  <si>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</si>
  <si>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</si>
  <si>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</si>
  <si>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</si>
  <si>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</si>
  <si>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</si>
  <si>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</si>
  <si>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</si>
  <si>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</si>
  <si>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</si>
  <si>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</si>
  <si>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</si>
  <si>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</si>
  <si>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</si>
  <si>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</si>
  <si>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</si>
  <si>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</si>
  <si>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</si>
  <si>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</si>
  <si>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</si>
  <si>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</si>
  <si>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</si>
  <si>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</si>
  <si>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</si>
  <si>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</si>
  <si>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</si>
  <si>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</si>
  <si>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</si>
  <si>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</si>
  <si>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</si>
  <si>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</si>
  <si>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</si>
  <si>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</si>
  <si>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</si>
  <si>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</si>
  <si>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</si>
  <si>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</si>
  <si>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</si>
  <si>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</si>
  <si>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</si>
  <si>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</si>
  <si>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</si>
  <si>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</si>
  <si>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</si>
  <si>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</si>
  <si>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</si>
  <si>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</si>
  <si>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</si>
  <si>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</si>
  <si>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</si>
  <si>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</si>
  <si>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</si>
  <si>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</si>
  <si>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</si>
  <si>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</si>
  <si>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</si>
  <si>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</si>
  <si>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</si>
  <si>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</si>
  <si>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</si>
  <si>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</si>
  <si>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</si>
  <si>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</si>
  <si>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</si>
  <si>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</si>
  <si>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</si>
  <si>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</si>
  <si>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</si>
  <si>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</si>
  <si>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</si>
  <si>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</si>
  <si>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</si>
  <si>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</si>
  <si>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</si>
  <si>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</si>
  <si>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</si>
  <si>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</si>
  <si>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</si>
  <si>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</si>
  <si>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</si>
  <si>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</si>
  <si>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</si>
  <si>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</si>
  <si>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</si>
  <si>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</si>
  <si>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</si>
  <si>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</si>
  <si>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</si>
  <si>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</si>
  <si>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</si>
  <si>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</si>
  <si>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</si>
  <si>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</si>
  <si>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</si>
  <si>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</si>
  <si>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</si>
  <si>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</si>
  <si>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</si>
  <si>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</si>
  <si>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</si>
  <si>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</si>
  <si>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</si>
  <si>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</si>
  <si>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</si>
  <si>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</si>
  <si>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</si>
  <si>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</si>
  <si>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</si>
  <si>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</si>
  <si>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</si>
  <si>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</si>
  <si>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</si>
  <si>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</si>
  <si>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</si>
  <si>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</si>
  <si>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</si>
  <si>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</si>
  <si>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</si>
  <si>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</si>
  <si>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</si>
  <si>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</si>
  <si>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</si>
  <si>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</si>
  <si>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</si>
  <si>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</si>
  <si>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</si>
  <si>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</si>
  <si>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</si>
  <si>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</si>
  <si>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</si>
  <si>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</si>
  <si>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</si>
  <si>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</si>
  <si>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</si>
  <si>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</si>
  <si>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</si>
  <si>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</si>
  <si>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</si>
  <si>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</si>
  <si>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</si>
  <si>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</si>
  <si>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</si>
  <si>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</si>
  <si>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</si>
  <si>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</si>
  <si>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</si>
  <si>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</si>
  <si>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</si>
  <si>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</si>
  <si>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</si>
  <si>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</si>
  <si>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</si>
  <si>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</si>
  <si>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</si>
  <si>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</si>
  <si>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</si>
  <si>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</si>
  <si>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</si>
  <si>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</si>
  <si>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</si>
  <si>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</si>
  <si>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</si>
  <si>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</si>
  <si>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</si>
  <si>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</si>
  <si>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</si>
  <si>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</si>
  <si>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</si>
  <si>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</si>
  <si>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</si>
  <si>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</si>
  <si>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</si>
  <si>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</si>
  <si>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</si>
  <si>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</si>
  <si>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</si>
  <si>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</si>
  <si>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</si>
  <si>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</si>
  <si>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</si>
  <si>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</si>
  <si>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</si>
  <si>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</si>
  <si>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</si>
  <si>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</si>
  <si>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</si>
  <si>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</si>
  <si>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</si>
  <si>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</si>
  <si>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</si>
  <si>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</si>
  <si>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</si>
  <si>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</si>
  <si>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</si>
  <si>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</si>
  <si>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</si>
  <si>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</si>
  <si>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</si>
  <si>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</si>
  <si>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</si>
  <si>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</si>
  <si>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</si>
  <si>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</si>
  <si>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</si>
  <si>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</si>
  <si>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</si>
  <si>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</si>
  <si>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</si>
  <si>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</si>
  <si>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</si>
  <si>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</si>
  <si>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</si>
  <si>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</si>
  <si>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</si>
  <si>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</si>
  <si>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</si>
  <si>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</si>
  <si>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</si>
  <si>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</si>
  <si>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</si>
  <si>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</si>
  <si>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</si>
  <si>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</si>
  <si>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</si>
  <si>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</si>
  <si>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</si>
  <si>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</si>
  <si>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</si>
  <si>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</si>
  <si>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</si>
  <si>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</si>
  <si>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</si>
  <si>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</si>
  <si>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</si>
  <si>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</si>
  <si>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</si>
  <si>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</si>
  <si>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</si>
  <si>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</si>
  <si>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</si>
  <si>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</si>
  <si>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</si>
  <si>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</si>
  <si>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</si>
  <si>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</si>
  <si>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</si>
  <si>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</si>
  <si>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</si>
  <si>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</si>
  <si>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</si>
  <si>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</si>
  <si>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</si>
  <si>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</si>
  <si>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</si>
  <si>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</si>
  <si>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</si>
  <si>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2. </t>
  </si>
  <si>
    <t>КЛ2</t>
  </si>
  <si>
    <t xml:space="preserve"> техприсоединение</t>
  </si>
  <si>
    <t xml:space="preserve">Калининград </t>
  </si>
  <si>
    <t>Строительство сетей электроснабжения , создание 2-й категории надёжности электроснабжения.</t>
  </si>
  <si>
    <t xml:space="preserve">Строительство </t>
  </si>
  <si>
    <t>П</t>
  </si>
  <si>
    <t>УНЦ</t>
  </si>
  <si>
    <t>3х240</t>
  </si>
  <si>
    <t>L_21-15</t>
  </si>
  <si>
    <t>Строительство сетей электроснабжения жд г. Пионерский (Нивелир)</t>
  </si>
  <si>
    <t>г. Пионерский</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</si>
  <si>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4  КЛ 15 кВ,  протяженностью 4х140м, строительство  КТП 15/0,4 кВ показатель увеличения трансформаторной мощности 1,26 МВА</t>
  </si>
  <si>
    <t xml:space="preserve">82-09/21тп </t>
  </si>
  <si>
    <t>ж/д Нивелир</t>
  </si>
  <si>
    <t>Строительство 4 КЛ 15 кВ сеч 3х1х240 мм2 протяженностью 4х0,14 км, КТП 15/0,4 кВ</t>
  </si>
  <si>
    <t xml:space="preserve">КТП 15 /0,4кВ </t>
  </si>
  <si>
    <t>ячейки с элегазовыми выключателями нагрузки</t>
  </si>
  <si>
    <t>РУ-15кВ</t>
  </si>
  <si>
    <t xml:space="preserve">15  </t>
  </si>
  <si>
    <t>ячейки РУ-0,4кВ</t>
  </si>
  <si>
    <t>шкафы НКУ-0,4 с автоматическими выключателями и АВР</t>
  </si>
  <si>
    <t>РУ-0,4</t>
  </si>
  <si>
    <t>0,4</t>
  </si>
  <si>
    <t xml:space="preserve">Трансформатор  </t>
  </si>
  <si>
    <t>Т-1</t>
  </si>
  <si>
    <t>Т-2</t>
  </si>
  <si>
    <t>ТМГ-15/0,4кВ  630 кВА</t>
  </si>
  <si>
    <t>КЛ3</t>
  </si>
  <si>
    <t>КЛ4</t>
  </si>
  <si>
    <t>4КЛ 15 кВ сеч 3х240 мм2, протяженностью 4х0,14 км, КТП 15/0,4 кВ</t>
  </si>
  <si>
    <t>Строительство КТП15/0,4  кВ, 4-х КЛ 15 кВ , протяженностью 4х0,14 км</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</si>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</sst>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5" fontId="103" fillId="0" borderId="1" xfId="2" applyNumberFormat="1" applyFont="1" applyBorder="1" applyAlignment="1">
      <alignment horizontal="center" vertical="center" wrapText="1"/>
    </xf>
    <xf numFmtId="177" fontId="39" fillId="0" borderId="4" xfId="1"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3" sqref="A13:C1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6" t="s">
        <v>656</v>
      </c>
      <c r="B5" s="346"/>
      <c r="C5" s="346"/>
      <c r="D5" s="84"/>
      <c r="E5" s="84"/>
      <c r="F5" s="84"/>
      <c r="G5" s="84"/>
      <c r="H5" s="84"/>
      <c r="I5" s="84"/>
      <c r="J5" s="84"/>
    </row>
    <row r="6" spans="1:22" s="8" customFormat="1" ht="18.75" x14ac:dyDescent="0.3">
      <c r="A6" s="13"/>
      <c r="H6" s="12"/>
    </row>
    <row r="7" spans="1:22" s="8" customFormat="1" ht="18.75" x14ac:dyDescent="0.2">
      <c r="A7" s="350" t="s">
        <v>7</v>
      </c>
      <c r="B7" s="350"/>
      <c r="C7" s="35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1" t="s">
        <v>544</v>
      </c>
      <c r="B9" s="351"/>
      <c r="C9" s="351"/>
      <c r="D9" s="7"/>
      <c r="E9" s="7"/>
      <c r="F9" s="7"/>
      <c r="G9" s="7"/>
      <c r="H9" s="7"/>
      <c r="I9" s="10"/>
      <c r="J9" s="10"/>
      <c r="K9" s="10"/>
      <c r="L9" s="10"/>
      <c r="M9" s="10"/>
      <c r="N9" s="10"/>
      <c r="O9" s="10"/>
      <c r="P9" s="10"/>
      <c r="Q9" s="10"/>
      <c r="R9" s="10"/>
      <c r="S9" s="10"/>
      <c r="T9" s="10"/>
      <c r="U9" s="10"/>
      <c r="V9" s="10"/>
    </row>
    <row r="10" spans="1:22" s="8" customFormat="1" ht="18.75" x14ac:dyDescent="0.2">
      <c r="A10" s="347" t="s">
        <v>6</v>
      </c>
      <c r="B10" s="347"/>
      <c r="C10" s="34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1" t="s">
        <v>633</v>
      </c>
      <c r="B12" s="351"/>
      <c r="C12" s="351"/>
      <c r="D12" s="7"/>
      <c r="E12" s="7"/>
      <c r="F12" s="7"/>
      <c r="G12" s="7"/>
      <c r="H12" s="7"/>
      <c r="I12" s="10"/>
      <c r="J12" s="10"/>
      <c r="K12" s="10"/>
      <c r="L12" s="10"/>
      <c r="M12" s="10"/>
      <c r="N12" s="10"/>
      <c r="O12" s="10"/>
      <c r="P12" s="10"/>
      <c r="Q12" s="10"/>
      <c r="R12" s="10"/>
      <c r="S12" s="10"/>
      <c r="T12" s="10"/>
      <c r="U12" s="10"/>
      <c r="V12" s="10"/>
    </row>
    <row r="13" spans="1:22" s="8" customFormat="1" ht="18.75" x14ac:dyDescent="0.2">
      <c r="A13" s="347" t="s">
        <v>5</v>
      </c>
      <c r="B13" s="347"/>
      <c r="C13" s="34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48" t="s">
        <v>634</v>
      </c>
      <c r="B15" s="348"/>
      <c r="C15" s="348"/>
      <c r="D15" s="7"/>
      <c r="E15" s="7"/>
      <c r="F15" s="7"/>
      <c r="G15" s="7"/>
      <c r="H15" s="7"/>
      <c r="I15" s="7"/>
      <c r="J15" s="7"/>
      <c r="K15" s="7"/>
      <c r="L15" s="7"/>
      <c r="M15" s="7"/>
      <c r="N15" s="7"/>
      <c r="O15" s="7"/>
      <c r="P15" s="7"/>
      <c r="Q15" s="7"/>
      <c r="R15" s="7"/>
      <c r="S15" s="7"/>
      <c r="T15" s="7"/>
      <c r="U15" s="7"/>
      <c r="V15" s="7"/>
    </row>
    <row r="16" spans="1:22" s="3" customFormat="1" ht="15" customHeight="1" x14ac:dyDescent="0.2">
      <c r="A16" s="347" t="s">
        <v>4</v>
      </c>
      <c r="B16" s="347"/>
      <c r="C16" s="34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8" t="s">
        <v>408</v>
      </c>
      <c r="B18" s="349"/>
      <c r="C18" s="34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618</v>
      </c>
      <c r="D22" s="5"/>
      <c r="E22" s="5"/>
      <c r="F22" s="5"/>
      <c r="G22" s="5"/>
      <c r="H22" s="5"/>
      <c r="I22" s="4"/>
      <c r="J22" s="4"/>
      <c r="K22" s="4"/>
      <c r="L22" s="4"/>
      <c r="M22" s="4"/>
      <c r="N22" s="4"/>
      <c r="O22" s="4"/>
      <c r="P22" s="4"/>
      <c r="Q22" s="4"/>
      <c r="R22" s="4"/>
      <c r="S22" s="4"/>
    </row>
    <row r="23" spans="1:22" s="3" customFormat="1" ht="31.5" x14ac:dyDescent="0.2">
      <c r="A23" s="15" t="s">
        <v>61</v>
      </c>
      <c r="B23" s="18" t="s">
        <v>533</v>
      </c>
      <c r="C23" s="327" t="s">
        <v>619</v>
      </c>
      <c r="D23" s="5"/>
      <c r="E23" s="5"/>
      <c r="F23" s="5"/>
      <c r="G23" s="5"/>
      <c r="H23" s="5"/>
      <c r="I23" s="4"/>
      <c r="J23" s="4"/>
      <c r="K23" s="4"/>
      <c r="L23" s="4"/>
      <c r="M23" s="4"/>
      <c r="N23" s="4"/>
      <c r="O23" s="4"/>
      <c r="P23" s="4"/>
      <c r="Q23" s="4"/>
      <c r="R23" s="4"/>
      <c r="S23" s="4"/>
    </row>
    <row r="24" spans="1:22" s="3" customFormat="1" ht="22.5" customHeight="1" x14ac:dyDescent="0.2">
      <c r="A24" s="343"/>
      <c r="B24" s="344"/>
      <c r="C24" s="345"/>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604</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635</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606</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607</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608</v>
      </c>
    </row>
    <row r="37" spans="1:18" ht="43.5" customHeight="1" x14ac:dyDescent="0.25">
      <c r="A37" s="15" t="s">
        <v>368</v>
      </c>
      <c r="B37" s="22" t="s">
        <v>366</v>
      </c>
      <c r="C37" s="16" t="s">
        <v>542</v>
      </c>
    </row>
    <row r="38" spans="1:18" ht="43.5" customHeight="1" x14ac:dyDescent="0.25">
      <c r="A38" s="15" t="s">
        <v>379</v>
      </c>
      <c r="B38" s="22" t="s">
        <v>209</v>
      </c>
      <c r="C38" s="16" t="s">
        <v>608</v>
      </c>
    </row>
    <row r="39" spans="1:18" ht="23.25" customHeight="1" x14ac:dyDescent="0.25">
      <c r="A39" s="343"/>
      <c r="B39" s="344"/>
      <c r="C39" s="345"/>
    </row>
    <row r="40" spans="1:18" ht="63" x14ac:dyDescent="0.25">
      <c r="A40" s="15" t="s">
        <v>369</v>
      </c>
      <c r="B40" s="22" t="s">
        <v>420</v>
      </c>
      <c r="C40" s="16" t="s">
        <v>636</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3"/>
      <c r="B47" s="344"/>
      <c r="C47" s="345"/>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5">
        <f>'6.2. Паспорт фин осв ввод'!D24</f>
        <v>2.5</v>
      </c>
      <c r="D50" s="1" t="s">
        <v>540</v>
      </c>
    </row>
    <row r="51" spans="1:4" ht="71.25" customHeight="1" x14ac:dyDescent="0.25">
      <c r="A51" s="15" t="s">
        <v>373</v>
      </c>
      <c r="B51" s="22" t="s">
        <v>419</v>
      </c>
      <c r="C51" s="335">
        <f>'6.2. Паспорт фин осв ввод'!D30</f>
        <v>2.5</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4" t="str">
        <f>'1. паспорт местоположение'!A5:C5</f>
        <v>Год раскрытия информации: 2023 год</v>
      </c>
      <c r="B4" s="424"/>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424"/>
      <c r="AC4" s="424"/>
    </row>
    <row r="5" spans="1:29" ht="18.75" x14ac:dyDescent="0.3">
      <c r="AC5" s="12"/>
    </row>
    <row r="6" spans="1:29"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5" t="str">
        <f>'1. паспорт местоположение'!A9:C9</f>
        <v xml:space="preserve">Акционерное общество "Западная энергетическая компания" </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row>
    <row r="9" spans="1:29" ht="18.75" customHeight="1" x14ac:dyDescent="0.25">
      <c r="A9" s="347" t="s">
        <v>6</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5" t="str">
        <f>'1. паспорт местоположение'!A12:C12</f>
        <v>L_21-15</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row>
    <row r="12" spans="1:29" x14ac:dyDescent="0.25">
      <c r="A12" s="347" t="s">
        <v>5</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6" t="str">
        <f>'1. паспорт местоположение'!A15:C15</f>
        <v>Строительство сетей электроснабжения жд г. Пионерский (Нивелир)</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347" t="s">
        <v>4</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row>
    <row r="16" spans="1:29"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row>
    <row r="18" spans="1:32" x14ac:dyDescent="0.25">
      <c r="A18" s="429" t="s">
        <v>393</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20" spans="1:32" ht="33" customHeight="1" x14ac:dyDescent="0.25">
      <c r="A20" s="418" t="s">
        <v>183</v>
      </c>
      <c r="B20" s="418" t="s">
        <v>182</v>
      </c>
      <c r="C20" s="414" t="s">
        <v>181</v>
      </c>
      <c r="D20" s="414"/>
      <c r="E20" s="428" t="s">
        <v>180</v>
      </c>
      <c r="F20" s="428"/>
      <c r="G20" s="418" t="s">
        <v>423</v>
      </c>
      <c r="H20" s="421" t="s">
        <v>424</v>
      </c>
      <c r="I20" s="422"/>
      <c r="J20" s="422"/>
      <c r="K20" s="422"/>
      <c r="L20" s="421" t="s">
        <v>425</v>
      </c>
      <c r="M20" s="422"/>
      <c r="N20" s="422"/>
      <c r="O20" s="422"/>
      <c r="P20" s="421" t="s">
        <v>426</v>
      </c>
      <c r="Q20" s="422"/>
      <c r="R20" s="422"/>
      <c r="S20" s="422"/>
      <c r="T20" s="421" t="s">
        <v>438</v>
      </c>
      <c r="U20" s="422"/>
      <c r="V20" s="422"/>
      <c r="W20" s="422"/>
      <c r="X20" s="421" t="s">
        <v>439</v>
      </c>
      <c r="Y20" s="422"/>
      <c r="Z20" s="422"/>
      <c r="AA20" s="422"/>
      <c r="AB20" s="430" t="s">
        <v>179</v>
      </c>
      <c r="AC20" s="430"/>
      <c r="AD20" s="49"/>
      <c r="AE20" s="49"/>
      <c r="AF20" s="49"/>
    </row>
    <row r="21" spans="1:32" ht="99.75" customHeight="1" x14ac:dyDescent="0.25">
      <c r="A21" s="419"/>
      <c r="B21" s="419"/>
      <c r="C21" s="414"/>
      <c r="D21" s="414"/>
      <c r="E21" s="428"/>
      <c r="F21" s="428"/>
      <c r="G21" s="419"/>
      <c r="H21" s="414" t="s">
        <v>2</v>
      </c>
      <c r="I21" s="414"/>
      <c r="J21" s="414" t="s">
        <v>9</v>
      </c>
      <c r="K21" s="414"/>
      <c r="L21" s="414" t="s">
        <v>2</v>
      </c>
      <c r="M21" s="414"/>
      <c r="N21" s="414" t="s">
        <v>9</v>
      </c>
      <c r="O21" s="414"/>
      <c r="P21" s="414" t="s">
        <v>2</v>
      </c>
      <c r="Q21" s="414"/>
      <c r="R21" s="414" t="s">
        <v>178</v>
      </c>
      <c r="S21" s="414"/>
      <c r="T21" s="414" t="s">
        <v>2</v>
      </c>
      <c r="U21" s="414"/>
      <c r="V21" s="414" t="s">
        <v>178</v>
      </c>
      <c r="W21" s="414"/>
      <c r="X21" s="414" t="s">
        <v>2</v>
      </c>
      <c r="Y21" s="414"/>
      <c r="Z21" s="414" t="s">
        <v>178</v>
      </c>
      <c r="AA21" s="414"/>
      <c r="AB21" s="430"/>
      <c r="AC21" s="430"/>
    </row>
    <row r="22" spans="1:32" ht="89.25" customHeight="1" x14ac:dyDescent="0.25">
      <c r="A22" s="420"/>
      <c r="B22" s="420"/>
      <c r="C22" s="46" t="s">
        <v>2</v>
      </c>
      <c r="D22" s="46" t="s">
        <v>178</v>
      </c>
      <c r="E22" s="48" t="s">
        <v>437</v>
      </c>
      <c r="F22" s="48" t="s">
        <v>482</v>
      </c>
      <c r="G22" s="420"/>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17"/>
      <c r="C66" s="417"/>
      <c r="D66" s="417"/>
      <c r="E66" s="417"/>
      <c r="F66" s="417"/>
      <c r="G66" s="417"/>
      <c r="H66" s="417"/>
      <c r="I66" s="41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7"/>
      <c r="C68" s="417"/>
      <c r="D68" s="417"/>
      <c r="E68" s="417"/>
      <c r="F68" s="417"/>
      <c r="G68" s="417"/>
      <c r="H68" s="417"/>
      <c r="I68" s="417"/>
      <c r="J68" s="35"/>
      <c r="K68" s="35"/>
    </row>
    <row r="70" spans="1:28" ht="36.75" customHeight="1" x14ac:dyDescent="0.25">
      <c r="B70" s="417"/>
      <c r="C70" s="417"/>
      <c r="D70" s="417"/>
      <c r="E70" s="417"/>
      <c r="F70" s="417"/>
      <c r="G70" s="417"/>
      <c r="H70" s="417"/>
      <c r="I70" s="417"/>
      <c r="J70" s="35"/>
      <c r="K70" s="35"/>
    </row>
    <row r="71" spans="1:28" x14ac:dyDescent="0.25">
      <c r="N71" s="36"/>
      <c r="V71" s="36"/>
    </row>
    <row r="72" spans="1:28" ht="51" customHeight="1" x14ac:dyDescent="0.25">
      <c r="B72" s="417"/>
      <c r="C72" s="417"/>
      <c r="D72" s="417"/>
      <c r="E72" s="417"/>
      <c r="F72" s="417"/>
      <c r="G72" s="417"/>
      <c r="H72" s="417"/>
      <c r="I72" s="417"/>
      <c r="J72" s="35"/>
      <c r="K72" s="35"/>
      <c r="N72" s="36"/>
      <c r="V72" s="36"/>
    </row>
    <row r="73" spans="1:28" ht="32.25" customHeight="1" x14ac:dyDescent="0.25">
      <c r="B73" s="417"/>
      <c r="C73" s="417"/>
      <c r="D73" s="417"/>
      <c r="E73" s="417"/>
      <c r="F73" s="417"/>
      <c r="G73" s="417"/>
      <c r="H73" s="417"/>
      <c r="I73" s="417"/>
      <c r="J73" s="35"/>
      <c r="K73" s="35"/>
    </row>
    <row r="74" spans="1:28" ht="51.75" customHeight="1" x14ac:dyDescent="0.25">
      <c r="B74" s="417"/>
      <c r="C74" s="417"/>
      <c r="D74" s="417"/>
      <c r="E74" s="417"/>
      <c r="F74" s="417"/>
      <c r="G74" s="417"/>
      <c r="H74" s="417"/>
      <c r="I74" s="417"/>
      <c r="J74" s="35"/>
      <c r="K74" s="35"/>
    </row>
    <row r="75" spans="1:28" ht="21.75" customHeight="1" x14ac:dyDescent="0.25">
      <c r="B75" s="423"/>
      <c r="C75" s="423"/>
      <c r="D75" s="423"/>
      <c r="E75" s="423"/>
      <c r="F75" s="423"/>
      <c r="G75" s="423"/>
      <c r="H75" s="423"/>
      <c r="I75" s="423"/>
      <c r="J75" s="34"/>
      <c r="K75" s="34"/>
    </row>
    <row r="76" spans="1:28" ht="23.25" customHeight="1" x14ac:dyDescent="0.25"/>
    <row r="77" spans="1:28" ht="18.75" customHeight="1" x14ac:dyDescent="0.25">
      <c r="B77" s="416"/>
      <c r="C77" s="416"/>
      <c r="D77" s="416"/>
      <c r="E77" s="416"/>
      <c r="F77" s="416"/>
      <c r="G77" s="416"/>
      <c r="H77" s="416"/>
      <c r="I77" s="41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3" zoomScale="70" zoomScaleNormal="70" zoomScaleSheetLayoutView="70" workbookViewId="0">
      <selection activeCell="AB24" sqref="AB24:AB6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6" t="str">
        <f>'6.1. Паспорт сетевой график'!A5:K5</f>
        <v>Год раскрытия информации: 2023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row>
    <row r="5" spans="1:29" ht="18.75" x14ac:dyDescent="0.3">
      <c r="AC5" s="12"/>
    </row>
    <row r="6" spans="1:29" ht="18.75" x14ac:dyDescent="0.25">
      <c r="A6" s="353" t="s">
        <v>7</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1" t="str">
        <f>'6.1. Паспорт сетевой график'!A9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1" t="str">
        <f>'6.1. Паспорт сетевой график'!A12</f>
        <v>L_21-15</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78" t="str">
        <f>'6.1. Паспорт сетевой график'!A15</f>
        <v>Строительство сетей электроснабжения жд г. Пионерский (Нивелир)</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row>
    <row r="15" spans="1:29" ht="15.75" customHeight="1"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row>
    <row r="17" spans="1:32" ht="18.75" x14ac:dyDescent="0.3">
      <c r="U17" s="50"/>
      <c r="V17" s="50"/>
      <c r="W17" s="50"/>
      <c r="X17" s="50"/>
      <c r="Y17" s="167"/>
      <c r="Z17" s="167"/>
      <c r="AA17" s="167"/>
      <c r="AB17" s="167"/>
      <c r="AC17" s="167"/>
      <c r="AF17" s="167"/>
    </row>
    <row r="18" spans="1:32" x14ac:dyDescent="0.25">
      <c r="A18" s="429" t="s">
        <v>393</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ht="49.5" hidden="1" customHeight="1" x14ac:dyDescent="0.25">
      <c r="E19" s="48" t="s">
        <v>597</v>
      </c>
      <c r="F19" s="48" t="s">
        <v>598</v>
      </c>
      <c r="G19" s="48" t="s">
        <v>599</v>
      </c>
      <c r="H19" s="32" t="s">
        <v>600</v>
      </c>
      <c r="L19" s="32" t="s">
        <v>601</v>
      </c>
      <c r="P19" s="32" t="s">
        <v>602</v>
      </c>
    </row>
    <row r="20" spans="1:32" ht="33" customHeight="1" x14ac:dyDescent="0.25">
      <c r="A20" s="418" t="s">
        <v>183</v>
      </c>
      <c r="B20" s="418" t="s">
        <v>182</v>
      </c>
      <c r="C20" s="414" t="s">
        <v>181</v>
      </c>
      <c r="D20" s="414"/>
      <c r="E20" s="428" t="s">
        <v>180</v>
      </c>
      <c r="F20" s="428"/>
      <c r="G20" s="418" t="s">
        <v>613</v>
      </c>
      <c r="H20" s="421">
        <v>2020</v>
      </c>
      <c r="I20" s="422"/>
      <c r="J20" s="422"/>
      <c r="K20" s="431"/>
      <c r="L20" s="421">
        <v>2021</v>
      </c>
      <c r="M20" s="422"/>
      <c r="N20" s="422"/>
      <c r="O20" s="431"/>
      <c r="P20" s="421">
        <v>2022</v>
      </c>
      <c r="Q20" s="422"/>
      <c r="R20" s="422"/>
      <c r="S20" s="431"/>
      <c r="T20" s="421">
        <v>2023</v>
      </c>
      <c r="U20" s="422"/>
      <c r="V20" s="422"/>
      <c r="W20" s="431"/>
      <c r="X20" s="421">
        <v>2024</v>
      </c>
      <c r="Y20" s="422"/>
      <c r="Z20" s="422"/>
      <c r="AA20" s="422"/>
      <c r="AB20" s="430" t="s">
        <v>179</v>
      </c>
      <c r="AC20" s="430"/>
      <c r="AD20" s="49"/>
      <c r="AE20" s="49"/>
      <c r="AF20" s="49"/>
    </row>
    <row r="21" spans="1:32" ht="99.75" customHeight="1" x14ac:dyDescent="0.25">
      <c r="A21" s="419"/>
      <c r="B21" s="419"/>
      <c r="C21" s="414"/>
      <c r="D21" s="414"/>
      <c r="E21" s="428"/>
      <c r="F21" s="428"/>
      <c r="G21" s="419"/>
      <c r="H21" s="414" t="s">
        <v>2</v>
      </c>
      <c r="I21" s="414"/>
      <c r="J21" s="414" t="s">
        <v>617</v>
      </c>
      <c r="K21" s="414"/>
      <c r="L21" s="414" t="s">
        <v>2</v>
      </c>
      <c r="M21" s="414"/>
      <c r="N21" s="414" t="s">
        <v>617</v>
      </c>
      <c r="O21" s="414"/>
      <c r="P21" s="414" t="s">
        <v>2</v>
      </c>
      <c r="Q21" s="414"/>
      <c r="R21" s="414" t="s">
        <v>178</v>
      </c>
      <c r="S21" s="414"/>
      <c r="T21" s="414" t="s">
        <v>2</v>
      </c>
      <c r="U21" s="414"/>
      <c r="V21" s="414" t="s">
        <v>178</v>
      </c>
      <c r="W21" s="414"/>
      <c r="X21" s="414" t="s">
        <v>2</v>
      </c>
      <c r="Y21" s="414"/>
      <c r="Z21" s="414" t="s">
        <v>178</v>
      </c>
      <c r="AA21" s="414"/>
      <c r="AB21" s="430"/>
      <c r="AC21" s="430"/>
    </row>
    <row r="22" spans="1:32" ht="89.25" customHeight="1" x14ac:dyDescent="0.25">
      <c r="A22" s="420"/>
      <c r="B22" s="420"/>
      <c r="C22" s="46" t="s">
        <v>2</v>
      </c>
      <c r="D22" s="46" t="s">
        <v>178</v>
      </c>
      <c r="E22" s="48" t="s">
        <v>545</v>
      </c>
      <c r="F22" s="48" t="s">
        <v>657</v>
      </c>
      <c r="G22" s="420"/>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609</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v>2.5</v>
      </c>
      <c r="D24" s="96">
        <v>2.5</v>
      </c>
      <c r="E24" s="96">
        <f>D24</f>
        <v>2.5</v>
      </c>
      <c r="F24" s="98">
        <f>D24-G24-J24-N24</f>
        <v>0</v>
      </c>
      <c r="G24" s="98">
        <v>0</v>
      </c>
      <c r="H24" s="96" t="s">
        <v>537</v>
      </c>
      <c r="I24" s="96">
        <f>SUM(I25:I29)</f>
        <v>0</v>
      </c>
      <c r="J24" s="98">
        <v>0</v>
      </c>
      <c r="K24" s="96">
        <f>SUM(K25:K29)</f>
        <v>0</v>
      </c>
      <c r="L24" s="96">
        <v>2.5</v>
      </c>
      <c r="M24" s="96">
        <f t="shared" ref="M24:Y24" si="0">SUM(M25:M29)</f>
        <v>0</v>
      </c>
      <c r="N24" s="96">
        <f>N25+N26+N27+N28+N29</f>
        <v>2.5</v>
      </c>
      <c r="O24" s="96">
        <f t="shared" ref="O24" si="1">SUM(O25:O29)</f>
        <v>0</v>
      </c>
      <c r="P24" s="98">
        <v>0</v>
      </c>
      <c r="Q24" s="96">
        <f t="shared" si="0"/>
        <v>0</v>
      </c>
      <c r="R24" s="96">
        <v>0</v>
      </c>
      <c r="S24" s="96">
        <v>0</v>
      </c>
      <c r="T24" s="98">
        <v>0</v>
      </c>
      <c r="U24" s="96">
        <f t="shared" si="0"/>
        <v>0</v>
      </c>
      <c r="V24" s="96">
        <v>0</v>
      </c>
      <c r="W24" s="96">
        <f t="shared" ref="W24" si="2">SUM(W25:W29)</f>
        <v>0</v>
      </c>
      <c r="X24" s="98">
        <v>0</v>
      </c>
      <c r="Y24" s="96">
        <f t="shared" si="0"/>
        <v>0</v>
      </c>
      <c r="Z24" s="96">
        <v>0</v>
      </c>
      <c r="AA24" s="96">
        <f t="shared" ref="AA24" si="3">SUM(AA25:AA29)</f>
        <v>0</v>
      </c>
      <c r="AB24" s="96">
        <v>2.5</v>
      </c>
      <c r="AC24" s="96">
        <f>SUM(J24,N24,R24,V24,Z24)</f>
        <v>2.5</v>
      </c>
    </row>
    <row r="25" spans="1:32" ht="24" customHeight="1" x14ac:dyDescent="0.25">
      <c r="A25" s="41" t="s">
        <v>176</v>
      </c>
      <c r="B25" s="25" t="s">
        <v>175</v>
      </c>
      <c r="C25" s="96">
        <v>0</v>
      </c>
      <c r="D25" s="96">
        <v>0</v>
      </c>
      <c r="E25" s="96">
        <f t="shared" ref="E25:E64" si="4">D25</f>
        <v>0</v>
      </c>
      <c r="F25" s="98">
        <f t="shared" ref="F25:F64" si="5">D25-G25-J25-N25</f>
        <v>0</v>
      </c>
      <c r="G25" s="98">
        <v>0</v>
      </c>
      <c r="H25" s="96" t="s">
        <v>537</v>
      </c>
      <c r="I25" s="98">
        <v>0</v>
      </c>
      <c r="J25" s="98">
        <v>0</v>
      </c>
      <c r="K25" s="98">
        <v>0</v>
      </c>
      <c r="L25" s="96">
        <v>0</v>
      </c>
      <c r="M25" s="98">
        <v>0</v>
      </c>
      <c r="N25" s="96">
        <f t="shared" ref="N25:N63" si="6">D25</f>
        <v>0</v>
      </c>
      <c r="O25" s="98">
        <v>0</v>
      </c>
      <c r="P25" s="98">
        <v>0</v>
      </c>
      <c r="Q25" s="98">
        <v>0</v>
      </c>
      <c r="R25" s="96">
        <f t="shared" ref="R25:R33" si="7">F25</f>
        <v>0</v>
      </c>
      <c r="S25" s="98">
        <v>0</v>
      </c>
      <c r="T25" s="98">
        <v>0</v>
      </c>
      <c r="U25" s="98">
        <v>0</v>
      </c>
      <c r="V25" s="98">
        <v>0</v>
      </c>
      <c r="W25" s="98">
        <v>0</v>
      </c>
      <c r="X25" s="98">
        <v>0</v>
      </c>
      <c r="Y25" s="98">
        <v>0</v>
      </c>
      <c r="Z25" s="98">
        <v>0</v>
      </c>
      <c r="AA25" s="98">
        <v>0</v>
      </c>
      <c r="AB25" s="96">
        <v>0</v>
      </c>
      <c r="AC25" s="96">
        <f t="shared" ref="AC25:AC64" si="8">SUM(J25,N25,R25,V25,Z25)</f>
        <v>0</v>
      </c>
    </row>
    <row r="26" spans="1:32" x14ac:dyDescent="0.25">
      <c r="A26" s="41" t="s">
        <v>174</v>
      </c>
      <c r="B26" s="25" t="s">
        <v>173</v>
      </c>
      <c r="C26" s="96">
        <v>0</v>
      </c>
      <c r="D26" s="96">
        <v>0</v>
      </c>
      <c r="E26" s="96">
        <f t="shared" si="4"/>
        <v>0</v>
      </c>
      <c r="F26" s="98">
        <f t="shared" si="5"/>
        <v>0</v>
      </c>
      <c r="G26" s="98">
        <v>0</v>
      </c>
      <c r="H26" s="96" t="s">
        <v>537</v>
      </c>
      <c r="I26" s="98">
        <v>0</v>
      </c>
      <c r="J26" s="98">
        <v>0</v>
      </c>
      <c r="K26" s="98">
        <v>0</v>
      </c>
      <c r="L26" s="96">
        <v>0</v>
      </c>
      <c r="M26" s="98">
        <v>0</v>
      </c>
      <c r="N26" s="96">
        <f t="shared" si="6"/>
        <v>0</v>
      </c>
      <c r="O26" s="98">
        <v>0</v>
      </c>
      <c r="P26" s="98">
        <v>0</v>
      </c>
      <c r="Q26" s="98">
        <v>0</v>
      </c>
      <c r="R26" s="96">
        <f t="shared" si="7"/>
        <v>0</v>
      </c>
      <c r="S26" s="98">
        <v>0</v>
      </c>
      <c r="T26" s="98">
        <v>0</v>
      </c>
      <c r="U26" s="98">
        <v>0</v>
      </c>
      <c r="V26" s="98">
        <v>0</v>
      </c>
      <c r="W26" s="98">
        <v>0</v>
      </c>
      <c r="X26" s="98">
        <v>0</v>
      </c>
      <c r="Y26" s="98">
        <v>0</v>
      </c>
      <c r="Z26" s="98">
        <v>0</v>
      </c>
      <c r="AA26" s="98">
        <v>0</v>
      </c>
      <c r="AB26" s="96">
        <v>0</v>
      </c>
      <c r="AC26" s="96">
        <f t="shared" si="8"/>
        <v>0</v>
      </c>
    </row>
    <row r="27" spans="1:32" ht="31.5" x14ac:dyDescent="0.25">
      <c r="A27" s="41" t="s">
        <v>172</v>
      </c>
      <c r="B27" s="25" t="s">
        <v>356</v>
      </c>
      <c r="C27" s="96">
        <v>0</v>
      </c>
      <c r="D27" s="96">
        <v>0</v>
      </c>
      <c r="E27" s="96">
        <f t="shared" si="4"/>
        <v>0</v>
      </c>
      <c r="F27" s="98">
        <f t="shared" si="5"/>
        <v>0</v>
      </c>
      <c r="G27" s="98">
        <v>0</v>
      </c>
      <c r="H27" s="96" t="s">
        <v>537</v>
      </c>
      <c r="I27" s="98">
        <v>0</v>
      </c>
      <c r="J27" s="98">
        <v>0</v>
      </c>
      <c r="K27" s="98">
        <v>0</v>
      </c>
      <c r="L27" s="96">
        <v>0</v>
      </c>
      <c r="M27" s="98">
        <v>0</v>
      </c>
      <c r="N27" s="96">
        <v>0</v>
      </c>
      <c r="O27" s="98">
        <v>0</v>
      </c>
      <c r="P27" s="98">
        <v>0</v>
      </c>
      <c r="Q27" s="98">
        <v>0</v>
      </c>
      <c r="R27" s="96">
        <f t="shared" si="7"/>
        <v>0</v>
      </c>
      <c r="S27" s="98">
        <v>0</v>
      </c>
      <c r="T27" s="98">
        <v>0</v>
      </c>
      <c r="U27" s="98">
        <v>0</v>
      </c>
      <c r="V27" s="98">
        <f>V24</f>
        <v>0</v>
      </c>
      <c r="W27" s="98">
        <v>0</v>
      </c>
      <c r="X27" s="98">
        <v>0</v>
      </c>
      <c r="Y27" s="98">
        <v>0</v>
      </c>
      <c r="Z27" s="98">
        <f>Z24</f>
        <v>0</v>
      </c>
      <c r="AA27" s="98">
        <v>0</v>
      </c>
      <c r="AB27" s="96">
        <v>0</v>
      </c>
      <c r="AC27" s="96">
        <f t="shared" si="8"/>
        <v>0</v>
      </c>
    </row>
    <row r="28" spans="1:32" x14ac:dyDescent="0.25">
      <c r="A28" s="41" t="s">
        <v>171</v>
      </c>
      <c r="B28" s="25" t="s">
        <v>538</v>
      </c>
      <c r="C28" s="96">
        <v>2.5</v>
      </c>
      <c r="D28" s="96">
        <v>2.5</v>
      </c>
      <c r="E28" s="96">
        <f t="shared" si="4"/>
        <v>2.5</v>
      </c>
      <c r="F28" s="98">
        <f t="shared" si="5"/>
        <v>0</v>
      </c>
      <c r="G28" s="98">
        <v>0</v>
      </c>
      <c r="H28" s="96" t="s">
        <v>537</v>
      </c>
      <c r="I28" s="98">
        <v>0</v>
      </c>
      <c r="J28" s="98">
        <v>0</v>
      </c>
      <c r="K28" s="98">
        <v>0</v>
      </c>
      <c r="L28" s="96">
        <v>2.5</v>
      </c>
      <c r="M28" s="98">
        <v>0</v>
      </c>
      <c r="N28" s="341">
        <v>2.5</v>
      </c>
      <c r="O28" s="98">
        <v>0</v>
      </c>
      <c r="P28" s="98">
        <v>0</v>
      </c>
      <c r="Q28" s="98">
        <v>0</v>
      </c>
      <c r="R28" s="96">
        <v>0</v>
      </c>
      <c r="S28" s="98">
        <v>0</v>
      </c>
      <c r="T28" s="98">
        <v>0</v>
      </c>
      <c r="U28" s="98">
        <v>0</v>
      </c>
      <c r="V28" s="98">
        <v>0</v>
      </c>
      <c r="W28" s="98">
        <v>0</v>
      </c>
      <c r="X28" s="98">
        <v>0</v>
      </c>
      <c r="Y28" s="98">
        <v>0</v>
      </c>
      <c r="Z28" s="98">
        <v>0</v>
      </c>
      <c r="AA28" s="98">
        <v>0</v>
      </c>
      <c r="AB28" s="96">
        <v>2.5</v>
      </c>
      <c r="AC28" s="96">
        <f t="shared" si="8"/>
        <v>2.5</v>
      </c>
    </row>
    <row r="29" spans="1:32" x14ac:dyDescent="0.25">
      <c r="A29" s="41" t="s">
        <v>169</v>
      </c>
      <c r="B29" s="45" t="s">
        <v>168</v>
      </c>
      <c r="C29" s="96">
        <v>0</v>
      </c>
      <c r="D29" s="96">
        <v>0</v>
      </c>
      <c r="E29" s="96">
        <f t="shared" si="4"/>
        <v>0</v>
      </c>
      <c r="F29" s="98">
        <f t="shared" si="5"/>
        <v>0</v>
      </c>
      <c r="G29" s="98">
        <v>0</v>
      </c>
      <c r="H29" s="96" t="s">
        <v>537</v>
      </c>
      <c r="I29" s="98">
        <v>0</v>
      </c>
      <c r="J29" s="98">
        <v>0</v>
      </c>
      <c r="K29" s="98">
        <v>0</v>
      </c>
      <c r="L29" s="96">
        <v>0</v>
      </c>
      <c r="M29" s="98">
        <v>0</v>
      </c>
      <c r="N29" s="96">
        <f t="shared" si="6"/>
        <v>0</v>
      </c>
      <c r="O29" s="98">
        <v>0</v>
      </c>
      <c r="P29" s="98">
        <v>0</v>
      </c>
      <c r="Q29" s="98">
        <v>0</v>
      </c>
      <c r="R29" s="96">
        <f t="shared" si="7"/>
        <v>0</v>
      </c>
      <c r="S29" s="98">
        <v>0</v>
      </c>
      <c r="T29" s="98">
        <v>0</v>
      </c>
      <c r="U29" s="98">
        <v>0</v>
      </c>
      <c r="V29" s="98">
        <v>0</v>
      </c>
      <c r="W29" s="98">
        <v>0</v>
      </c>
      <c r="X29" s="98">
        <v>0</v>
      </c>
      <c r="Y29" s="98">
        <v>0</v>
      </c>
      <c r="Z29" s="98">
        <v>0</v>
      </c>
      <c r="AA29" s="98">
        <v>0</v>
      </c>
      <c r="AB29" s="96">
        <v>0</v>
      </c>
      <c r="AC29" s="96">
        <f t="shared" si="8"/>
        <v>0</v>
      </c>
    </row>
    <row r="30" spans="1:32" s="337" customFormat="1" ht="47.25" x14ac:dyDescent="0.25">
      <c r="A30" s="44" t="s">
        <v>61</v>
      </c>
      <c r="B30" s="43" t="s">
        <v>167</v>
      </c>
      <c r="C30" s="96">
        <v>2.5</v>
      </c>
      <c r="D30" s="96">
        <v>2.5</v>
      </c>
      <c r="E30" s="96">
        <f t="shared" si="4"/>
        <v>2.5</v>
      </c>
      <c r="F30" s="98">
        <f t="shared" si="5"/>
        <v>0</v>
      </c>
      <c r="G30" s="98">
        <v>0</v>
      </c>
      <c r="H30" s="96" t="s">
        <v>537</v>
      </c>
      <c r="I30" s="96">
        <v>0</v>
      </c>
      <c r="J30" s="98">
        <v>0</v>
      </c>
      <c r="K30" s="96">
        <v>0</v>
      </c>
      <c r="L30" s="96">
        <v>2.5</v>
      </c>
      <c r="M30" s="96">
        <v>0</v>
      </c>
      <c r="N30" s="96">
        <v>2.5</v>
      </c>
      <c r="O30" s="96">
        <v>0</v>
      </c>
      <c r="P30" s="98">
        <v>0</v>
      </c>
      <c r="Q30" s="96">
        <v>0</v>
      </c>
      <c r="R30" s="96">
        <v>0</v>
      </c>
      <c r="S30" s="96">
        <v>0</v>
      </c>
      <c r="T30" s="98">
        <v>0</v>
      </c>
      <c r="U30" s="96">
        <v>0</v>
      </c>
      <c r="V30" s="96">
        <v>0</v>
      </c>
      <c r="W30" s="96">
        <v>0</v>
      </c>
      <c r="X30" s="98">
        <v>0</v>
      </c>
      <c r="Y30" s="96">
        <v>0</v>
      </c>
      <c r="Z30" s="96">
        <v>0</v>
      </c>
      <c r="AA30" s="96">
        <v>0</v>
      </c>
      <c r="AB30" s="96">
        <v>2.5</v>
      </c>
      <c r="AC30" s="96">
        <f t="shared" si="8"/>
        <v>2.5</v>
      </c>
      <c r="AD30" s="32"/>
      <c r="AE30" s="32"/>
      <c r="AF30" s="32"/>
    </row>
    <row r="31" spans="1:32" x14ac:dyDescent="0.25">
      <c r="A31" s="44" t="s">
        <v>166</v>
      </c>
      <c r="B31" s="25" t="s">
        <v>165</v>
      </c>
      <c r="C31" s="96">
        <v>0</v>
      </c>
      <c r="D31" s="96">
        <v>0</v>
      </c>
      <c r="E31" s="96">
        <f t="shared" si="4"/>
        <v>0</v>
      </c>
      <c r="F31" s="98">
        <f t="shared" si="5"/>
        <v>0</v>
      </c>
      <c r="G31" s="98">
        <v>0</v>
      </c>
      <c r="H31" s="96" t="s">
        <v>537</v>
      </c>
      <c r="I31" s="98">
        <v>0</v>
      </c>
      <c r="J31" s="98">
        <v>0</v>
      </c>
      <c r="K31" s="98">
        <v>0</v>
      </c>
      <c r="L31" s="96">
        <v>0</v>
      </c>
      <c r="M31" s="98">
        <v>0</v>
      </c>
      <c r="N31" s="96">
        <v>0</v>
      </c>
      <c r="O31" s="98">
        <v>0</v>
      </c>
      <c r="P31" s="98">
        <v>0</v>
      </c>
      <c r="Q31" s="98">
        <v>0</v>
      </c>
      <c r="R31" s="96">
        <v>0</v>
      </c>
      <c r="S31" s="98">
        <v>0</v>
      </c>
      <c r="T31" s="98">
        <v>0</v>
      </c>
      <c r="U31" s="98">
        <v>0</v>
      </c>
      <c r="V31" s="98">
        <v>0</v>
      </c>
      <c r="W31" s="98">
        <v>0</v>
      </c>
      <c r="X31" s="98">
        <v>0</v>
      </c>
      <c r="Y31" s="98">
        <v>0</v>
      </c>
      <c r="Z31" s="98">
        <v>0</v>
      </c>
      <c r="AA31" s="98">
        <v>0</v>
      </c>
      <c r="AB31" s="96">
        <v>0</v>
      </c>
      <c r="AC31" s="96">
        <f t="shared" si="8"/>
        <v>0</v>
      </c>
    </row>
    <row r="32" spans="1:32" ht="31.5" x14ac:dyDescent="0.25">
      <c r="A32" s="44" t="s">
        <v>164</v>
      </c>
      <c r="B32" s="25" t="s">
        <v>163</v>
      </c>
      <c r="C32" s="96">
        <v>2.5</v>
      </c>
      <c r="D32" s="96">
        <v>2.5</v>
      </c>
      <c r="E32" s="96">
        <f t="shared" si="4"/>
        <v>2.5</v>
      </c>
      <c r="F32" s="98">
        <f t="shared" si="5"/>
        <v>0</v>
      </c>
      <c r="G32" s="98">
        <v>0</v>
      </c>
      <c r="H32" s="96" t="s">
        <v>537</v>
      </c>
      <c r="I32" s="98">
        <v>0</v>
      </c>
      <c r="J32" s="98">
        <v>0</v>
      </c>
      <c r="K32" s="98">
        <v>0</v>
      </c>
      <c r="L32" s="96">
        <v>2.5</v>
      </c>
      <c r="M32" s="98">
        <v>0</v>
      </c>
      <c r="N32" s="96">
        <v>2.5</v>
      </c>
      <c r="O32" s="98">
        <v>0</v>
      </c>
      <c r="P32" s="98">
        <v>0</v>
      </c>
      <c r="Q32" s="98">
        <v>0</v>
      </c>
      <c r="R32" s="96">
        <v>0</v>
      </c>
      <c r="S32" s="98">
        <v>0</v>
      </c>
      <c r="T32" s="98">
        <v>0</v>
      </c>
      <c r="U32" s="98">
        <v>0</v>
      </c>
      <c r="V32" s="98">
        <v>0</v>
      </c>
      <c r="W32" s="98">
        <v>0</v>
      </c>
      <c r="X32" s="98">
        <v>0</v>
      </c>
      <c r="Y32" s="98">
        <v>0</v>
      </c>
      <c r="Z32" s="98">
        <v>0</v>
      </c>
      <c r="AA32" s="98">
        <v>0</v>
      </c>
      <c r="AB32" s="96">
        <v>2.5</v>
      </c>
      <c r="AC32" s="96">
        <f t="shared" si="8"/>
        <v>2.5</v>
      </c>
    </row>
    <row r="33" spans="1:29" x14ac:dyDescent="0.25">
      <c r="A33" s="44" t="s">
        <v>162</v>
      </c>
      <c r="B33" s="25" t="s">
        <v>161</v>
      </c>
      <c r="C33" s="96">
        <v>0</v>
      </c>
      <c r="D33" s="96">
        <v>0</v>
      </c>
      <c r="E33" s="96">
        <f t="shared" si="4"/>
        <v>0</v>
      </c>
      <c r="F33" s="98">
        <f t="shared" si="5"/>
        <v>0</v>
      </c>
      <c r="G33" s="98">
        <v>0</v>
      </c>
      <c r="H33" s="96" t="s">
        <v>537</v>
      </c>
      <c r="I33" s="98">
        <v>0</v>
      </c>
      <c r="J33" s="98">
        <v>0</v>
      </c>
      <c r="K33" s="98">
        <v>0</v>
      </c>
      <c r="L33" s="96">
        <v>0</v>
      </c>
      <c r="M33" s="98">
        <v>0</v>
      </c>
      <c r="N33" s="96">
        <v>0</v>
      </c>
      <c r="O33" s="98">
        <v>0</v>
      </c>
      <c r="P33" s="98">
        <v>0</v>
      </c>
      <c r="Q33" s="98">
        <v>0</v>
      </c>
      <c r="R33" s="96">
        <f t="shared" si="7"/>
        <v>0</v>
      </c>
      <c r="S33" s="98">
        <v>0</v>
      </c>
      <c r="T33" s="98">
        <v>0</v>
      </c>
      <c r="U33" s="98">
        <v>0</v>
      </c>
      <c r="V33" s="98">
        <v>0</v>
      </c>
      <c r="W33" s="98">
        <v>0</v>
      </c>
      <c r="X33" s="98">
        <v>0</v>
      </c>
      <c r="Y33" s="98">
        <v>0</v>
      </c>
      <c r="Z33" s="98">
        <v>0</v>
      </c>
      <c r="AA33" s="98">
        <v>0</v>
      </c>
      <c r="AB33" s="96">
        <v>0</v>
      </c>
      <c r="AC33" s="96">
        <f t="shared" si="8"/>
        <v>0</v>
      </c>
    </row>
    <row r="34" spans="1:29" x14ac:dyDescent="0.25">
      <c r="A34" s="44" t="s">
        <v>160</v>
      </c>
      <c r="B34" s="25" t="s">
        <v>159</v>
      </c>
      <c r="C34" s="96">
        <v>0</v>
      </c>
      <c r="D34" s="96">
        <v>0</v>
      </c>
      <c r="E34" s="96">
        <f t="shared" si="4"/>
        <v>0</v>
      </c>
      <c r="F34" s="98">
        <f t="shared" si="5"/>
        <v>0</v>
      </c>
      <c r="G34" s="98">
        <v>0</v>
      </c>
      <c r="H34" s="96" t="s">
        <v>537</v>
      </c>
      <c r="I34" s="98">
        <v>0</v>
      </c>
      <c r="J34" s="98">
        <v>0</v>
      </c>
      <c r="K34" s="98">
        <v>0</v>
      </c>
      <c r="L34" s="96">
        <v>0</v>
      </c>
      <c r="M34" s="98">
        <v>0</v>
      </c>
      <c r="N34" s="96">
        <v>0</v>
      </c>
      <c r="O34" s="98">
        <v>0</v>
      </c>
      <c r="P34" s="98">
        <v>0</v>
      </c>
      <c r="Q34" s="98">
        <v>0</v>
      </c>
      <c r="R34" s="96">
        <v>0</v>
      </c>
      <c r="S34" s="98">
        <v>0</v>
      </c>
      <c r="T34" s="98">
        <v>0</v>
      </c>
      <c r="U34" s="98">
        <v>0</v>
      </c>
      <c r="V34" s="98">
        <v>0</v>
      </c>
      <c r="W34" s="98">
        <v>0</v>
      </c>
      <c r="X34" s="98">
        <v>0</v>
      </c>
      <c r="Y34" s="98">
        <v>0</v>
      </c>
      <c r="Z34" s="98">
        <v>0</v>
      </c>
      <c r="AA34" s="98">
        <v>0</v>
      </c>
      <c r="AB34" s="96">
        <v>0</v>
      </c>
      <c r="AC34" s="96">
        <f t="shared" si="8"/>
        <v>0</v>
      </c>
    </row>
    <row r="35" spans="1:29" s="337" customFormat="1" ht="31.5" x14ac:dyDescent="0.25">
      <c r="A35" s="44" t="s">
        <v>60</v>
      </c>
      <c r="B35" s="43" t="s">
        <v>158</v>
      </c>
      <c r="C35" s="96">
        <v>0</v>
      </c>
      <c r="D35" s="96">
        <v>0</v>
      </c>
      <c r="E35" s="96">
        <f t="shared" si="4"/>
        <v>0</v>
      </c>
      <c r="F35" s="98">
        <f t="shared" si="5"/>
        <v>0</v>
      </c>
      <c r="G35" s="98">
        <v>0</v>
      </c>
      <c r="H35" s="96" t="s">
        <v>537</v>
      </c>
      <c r="I35" s="96">
        <v>0</v>
      </c>
      <c r="J35" s="98">
        <v>0</v>
      </c>
      <c r="K35" s="96">
        <v>0</v>
      </c>
      <c r="L35" s="96">
        <v>0</v>
      </c>
      <c r="M35" s="96">
        <v>0</v>
      </c>
      <c r="N35" s="96">
        <f t="shared" si="6"/>
        <v>0</v>
      </c>
      <c r="O35" s="96">
        <v>0</v>
      </c>
      <c r="P35" s="98">
        <v>0</v>
      </c>
      <c r="Q35" s="96">
        <v>0</v>
      </c>
      <c r="R35" s="98">
        <v>0</v>
      </c>
      <c r="S35" s="96">
        <v>0</v>
      </c>
      <c r="T35" s="98">
        <v>0</v>
      </c>
      <c r="U35" s="96">
        <v>0</v>
      </c>
      <c r="V35" s="96">
        <v>0</v>
      </c>
      <c r="W35" s="96">
        <v>0</v>
      </c>
      <c r="X35" s="98">
        <v>0</v>
      </c>
      <c r="Y35" s="96">
        <v>0</v>
      </c>
      <c r="Z35" s="96">
        <v>0</v>
      </c>
      <c r="AA35" s="96">
        <v>0</v>
      </c>
      <c r="AB35" s="96">
        <v>0</v>
      </c>
      <c r="AC35" s="96">
        <f t="shared" si="8"/>
        <v>0</v>
      </c>
    </row>
    <row r="36" spans="1:29" ht="31.5" x14ac:dyDescent="0.25">
      <c r="A36" s="41" t="s">
        <v>157</v>
      </c>
      <c r="B36" s="168" t="s">
        <v>156</v>
      </c>
      <c r="C36" s="96">
        <v>0</v>
      </c>
      <c r="D36" s="96">
        <v>0</v>
      </c>
      <c r="E36" s="96">
        <f t="shared" si="4"/>
        <v>0</v>
      </c>
      <c r="F36" s="98">
        <f t="shared" si="5"/>
        <v>0</v>
      </c>
      <c r="G36" s="98">
        <v>0</v>
      </c>
      <c r="H36" s="96" t="s">
        <v>537</v>
      </c>
      <c r="I36" s="98">
        <v>0</v>
      </c>
      <c r="J36" s="98">
        <v>0</v>
      </c>
      <c r="K36" s="98">
        <v>0</v>
      </c>
      <c r="L36" s="96">
        <v>0</v>
      </c>
      <c r="M36" s="98">
        <v>0</v>
      </c>
      <c r="N36" s="96">
        <f t="shared" si="6"/>
        <v>0</v>
      </c>
      <c r="O36" s="98">
        <v>0</v>
      </c>
      <c r="P36" s="98">
        <v>0</v>
      </c>
      <c r="Q36" s="98">
        <v>0</v>
      </c>
      <c r="R36" s="98">
        <v>0</v>
      </c>
      <c r="S36" s="98">
        <v>0</v>
      </c>
      <c r="T36" s="98">
        <v>0</v>
      </c>
      <c r="U36" s="98">
        <v>0</v>
      </c>
      <c r="V36" s="98">
        <v>0</v>
      </c>
      <c r="W36" s="98">
        <v>0</v>
      </c>
      <c r="X36" s="98">
        <v>0</v>
      </c>
      <c r="Y36" s="98">
        <v>0</v>
      </c>
      <c r="Z36" s="98">
        <v>0</v>
      </c>
      <c r="AA36" s="98">
        <v>0</v>
      </c>
      <c r="AB36" s="96">
        <v>0</v>
      </c>
      <c r="AC36" s="96">
        <f t="shared" si="8"/>
        <v>0</v>
      </c>
    </row>
    <row r="37" spans="1:29" x14ac:dyDescent="0.25">
      <c r="A37" s="41" t="s">
        <v>155</v>
      </c>
      <c r="B37" s="168" t="s">
        <v>145</v>
      </c>
      <c r="C37" s="96">
        <v>0</v>
      </c>
      <c r="D37" s="96">
        <v>0</v>
      </c>
      <c r="E37" s="96">
        <f t="shared" si="4"/>
        <v>0</v>
      </c>
      <c r="F37" s="98">
        <f t="shared" si="5"/>
        <v>0</v>
      </c>
      <c r="G37" s="98">
        <v>0</v>
      </c>
      <c r="H37" s="96" t="s">
        <v>537</v>
      </c>
      <c r="I37" s="98">
        <v>0</v>
      </c>
      <c r="J37" s="98">
        <v>0</v>
      </c>
      <c r="K37" s="98">
        <v>0</v>
      </c>
      <c r="L37" s="96">
        <v>0</v>
      </c>
      <c r="M37" s="98">
        <v>0</v>
      </c>
      <c r="N37" s="96">
        <v>0</v>
      </c>
      <c r="O37" s="98">
        <v>0</v>
      </c>
      <c r="P37" s="98">
        <v>0</v>
      </c>
      <c r="Q37" s="98">
        <v>0</v>
      </c>
      <c r="R37" s="98">
        <v>0</v>
      </c>
      <c r="S37" s="98">
        <v>0</v>
      </c>
      <c r="T37" s="98">
        <v>0</v>
      </c>
      <c r="U37" s="98">
        <v>0</v>
      </c>
      <c r="V37" s="98">
        <v>0</v>
      </c>
      <c r="W37" s="98">
        <v>0</v>
      </c>
      <c r="X37" s="98">
        <v>0</v>
      </c>
      <c r="Y37" s="98">
        <v>0</v>
      </c>
      <c r="Z37" s="98">
        <v>0</v>
      </c>
      <c r="AA37" s="98">
        <v>0</v>
      </c>
      <c r="AB37" s="96">
        <v>0</v>
      </c>
      <c r="AC37" s="96">
        <f t="shared" si="8"/>
        <v>0</v>
      </c>
    </row>
    <row r="38" spans="1:29" x14ac:dyDescent="0.25">
      <c r="A38" s="41" t="s">
        <v>154</v>
      </c>
      <c r="B38" s="168" t="s">
        <v>143</v>
      </c>
      <c r="C38" s="96">
        <v>0</v>
      </c>
      <c r="D38" s="96">
        <v>0</v>
      </c>
      <c r="E38" s="96">
        <f t="shared" si="4"/>
        <v>0</v>
      </c>
      <c r="F38" s="98">
        <f t="shared" si="5"/>
        <v>0</v>
      </c>
      <c r="G38" s="98">
        <v>0</v>
      </c>
      <c r="H38" s="96" t="s">
        <v>537</v>
      </c>
      <c r="I38" s="98">
        <v>0</v>
      </c>
      <c r="J38" s="98">
        <v>0</v>
      </c>
      <c r="K38" s="98">
        <v>0</v>
      </c>
      <c r="L38" s="96">
        <v>0</v>
      </c>
      <c r="M38" s="98">
        <v>0</v>
      </c>
      <c r="N38" s="96">
        <f t="shared" si="6"/>
        <v>0</v>
      </c>
      <c r="O38" s="98">
        <v>0</v>
      </c>
      <c r="P38" s="98">
        <v>0</v>
      </c>
      <c r="Q38" s="98">
        <v>0</v>
      </c>
      <c r="R38" s="98">
        <v>0</v>
      </c>
      <c r="S38" s="98">
        <v>0</v>
      </c>
      <c r="T38" s="98">
        <v>0</v>
      </c>
      <c r="U38" s="98">
        <v>0</v>
      </c>
      <c r="V38" s="98">
        <v>0</v>
      </c>
      <c r="W38" s="98">
        <v>0</v>
      </c>
      <c r="X38" s="98">
        <v>0</v>
      </c>
      <c r="Y38" s="98">
        <v>0</v>
      </c>
      <c r="Z38" s="98">
        <v>0</v>
      </c>
      <c r="AA38" s="98">
        <v>0</v>
      </c>
      <c r="AB38" s="96">
        <v>0</v>
      </c>
      <c r="AC38" s="96">
        <f t="shared" si="8"/>
        <v>0</v>
      </c>
    </row>
    <row r="39" spans="1:29" ht="31.5" x14ac:dyDescent="0.25">
      <c r="A39" s="41" t="s">
        <v>153</v>
      </c>
      <c r="B39" s="25" t="s">
        <v>141</v>
      </c>
      <c r="C39" s="96">
        <v>0</v>
      </c>
      <c r="D39" s="96">
        <v>0</v>
      </c>
      <c r="E39" s="96">
        <f t="shared" si="4"/>
        <v>0</v>
      </c>
      <c r="F39" s="98">
        <f t="shared" si="5"/>
        <v>0</v>
      </c>
      <c r="G39" s="98">
        <v>0</v>
      </c>
      <c r="H39" s="96" t="s">
        <v>537</v>
      </c>
      <c r="I39" s="98">
        <v>0</v>
      </c>
      <c r="J39" s="98">
        <v>0</v>
      </c>
      <c r="K39" s="98">
        <v>0</v>
      </c>
      <c r="L39" s="96">
        <v>0</v>
      </c>
      <c r="M39" s="98">
        <v>0</v>
      </c>
      <c r="N39" s="96">
        <f t="shared" si="6"/>
        <v>0</v>
      </c>
      <c r="O39" s="98">
        <v>0</v>
      </c>
      <c r="P39" s="98">
        <v>0</v>
      </c>
      <c r="Q39" s="98">
        <v>0</v>
      </c>
      <c r="R39" s="98">
        <v>0</v>
      </c>
      <c r="S39" s="98">
        <v>0</v>
      </c>
      <c r="T39" s="98">
        <v>0</v>
      </c>
      <c r="U39" s="98">
        <v>0</v>
      </c>
      <c r="V39" s="98">
        <v>0</v>
      </c>
      <c r="W39" s="98">
        <v>0</v>
      </c>
      <c r="X39" s="98">
        <v>0</v>
      </c>
      <c r="Y39" s="98">
        <v>0</v>
      </c>
      <c r="Z39" s="98">
        <v>0</v>
      </c>
      <c r="AA39" s="98">
        <v>0</v>
      </c>
      <c r="AB39" s="96">
        <v>0</v>
      </c>
      <c r="AC39" s="96">
        <f t="shared" si="8"/>
        <v>0</v>
      </c>
    </row>
    <row r="40" spans="1:29" ht="31.5" x14ac:dyDescent="0.25">
      <c r="A40" s="41" t="s">
        <v>152</v>
      </c>
      <c r="B40" s="25" t="s">
        <v>139</v>
      </c>
      <c r="C40" s="96">
        <v>0</v>
      </c>
      <c r="D40" s="96">
        <v>0</v>
      </c>
      <c r="E40" s="96">
        <f t="shared" si="4"/>
        <v>0</v>
      </c>
      <c r="F40" s="98">
        <f t="shared" si="5"/>
        <v>0</v>
      </c>
      <c r="G40" s="98">
        <v>0</v>
      </c>
      <c r="H40" s="96" t="s">
        <v>537</v>
      </c>
      <c r="I40" s="98">
        <v>0</v>
      </c>
      <c r="J40" s="98">
        <v>0</v>
      </c>
      <c r="K40" s="98">
        <v>0</v>
      </c>
      <c r="L40" s="96">
        <v>0</v>
      </c>
      <c r="M40" s="98">
        <v>0</v>
      </c>
      <c r="N40" s="96">
        <f t="shared" si="6"/>
        <v>0</v>
      </c>
      <c r="O40" s="98">
        <v>0</v>
      </c>
      <c r="P40" s="98">
        <v>0</v>
      </c>
      <c r="Q40" s="98">
        <v>0</v>
      </c>
      <c r="R40" s="98">
        <v>0</v>
      </c>
      <c r="S40" s="98">
        <v>0</v>
      </c>
      <c r="T40" s="98">
        <v>0</v>
      </c>
      <c r="U40" s="98">
        <v>0</v>
      </c>
      <c r="V40" s="98">
        <v>0</v>
      </c>
      <c r="W40" s="98">
        <v>0</v>
      </c>
      <c r="X40" s="98">
        <v>0</v>
      </c>
      <c r="Y40" s="98">
        <v>0</v>
      </c>
      <c r="Z40" s="98">
        <v>0</v>
      </c>
      <c r="AA40" s="98">
        <v>0</v>
      </c>
      <c r="AB40" s="96">
        <v>0</v>
      </c>
      <c r="AC40" s="96">
        <f t="shared" si="8"/>
        <v>0</v>
      </c>
    </row>
    <row r="41" spans="1:29" x14ac:dyDescent="0.25">
      <c r="A41" s="41" t="s">
        <v>151</v>
      </c>
      <c r="B41" s="25" t="s">
        <v>137</v>
      </c>
      <c r="C41" s="96">
        <v>0</v>
      </c>
      <c r="D41" s="96">
        <v>0</v>
      </c>
      <c r="E41" s="96">
        <f t="shared" si="4"/>
        <v>0</v>
      </c>
      <c r="F41" s="98">
        <f t="shared" si="5"/>
        <v>0</v>
      </c>
      <c r="G41" s="98">
        <v>0</v>
      </c>
      <c r="H41" s="96" t="s">
        <v>537</v>
      </c>
      <c r="I41" s="98">
        <v>0</v>
      </c>
      <c r="J41" s="98">
        <v>0</v>
      </c>
      <c r="K41" s="98">
        <v>0</v>
      </c>
      <c r="L41" s="96">
        <v>0</v>
      </c>
      <c r="M41" s="98">
        <v>0</v>
      </c>
      <c r="N41" s="96">
        <v>0</v>
      </c>
      <c r="O41" s="98">
        <v>0</v>
      </c>
      <c r="P41" s="98">
        <v>0</v>
      </c>
      <c r="Q41" s="98">
        <v>0</v>
      </c>
      <c r="R41" s="98">
        <v>0</v>
      </c>
      <c r="S41" s="98">
        <v>0</v>
      </c>
      <c r="T41" s="98">
        <v>0</v>
      </c>
      <c r="U41" s="98">
        <v>0</v>
      </c>
      <c r="V41" s="98">
        <v>0</v>
      </c>
      <c r="W41" s="98">
        <v>0</v>
      </c>
      <c r="X41" s="98">
        <v>0</v>
      </c>
      <c r="Y41" s="98">
        <v>0</v>
      </c>
      <c r="Z41" s="98">
        <v>0</v>
      </c>
      <c r="AA41" s="98">
        <v>0</v>
      </c>
      <c r="AB41" s="96">
        <v>0</v>
      </c>
      <c r="AC41" s="96">
        <f t="shared" si="8"/>
        <v>0</v>
      </c>
    </row>
    <row r="42" spans="1:29" ht="18.75" x14ac:dyDescent="0.25">
      <c r="A42" s="41" t="s">
        <v>150</v>
      </c>
      <c r="B42" s="168" t="s">
        <v>543</v>
      </c>
      <c r="C42" s="96">
        <v>0</v>
      </c>
      <c r="D42" s="96">
        <v>0</v>
      </c>
      <c r="E42" s="96">
        <f t="shared" si="4"/>
        <v>0</v>
      </c>
      <c r="F42" s="98">
        <f t="shared" si="5"/>
        <v>0</v>
      </c>
      <c r="G42" s="98">
        <v>0</v>
      </c>
      <c r="H42" s="96" t="s">
        <v>537</v>
      </c>
      <c r="I42" s="98">
        <v>0</v>
      </c>
      <c r="J42" s="98">
        <v>0</v>
      </c>
      <c r="K42" s="98">
        <v>0</v>
      </c>
      <c r="L42" s="96">
        <v>0</v>
      </c>
      <c r="M42" s="98">
        <v>0</v>
      </c>
      <c r="N42" s="96">
        <v>0</v>
      </c>
      <c r="O42" s="98">
        <v>0</v>
      </c>
      <c r="P42" s="98">
        <v>0</v>
      </c>
      <c r="Q42" s="98">
        <v>0</v>
      </c>
      <c r="R42" s="98">
        <v>0</v>
      </c>
      <c r="S42" s="98">
        <v>0</v>
      </c>
      <c r="T42" s="98">
        <v>0</v>
      </c>
      <c r="U42" s="98">
        <v>0</v>
      </c>
      <c r="V42" s="98">
        <v>0</v>
      </c>
      <c r="W42" s="98">
        <v>0</v>
      </c>
      <c r="X42" s="98">
        <v>0</v>
      </c>
      <c r="Y42" s="98">
        <v>0</v>
      </c>
      <c r="Z42" s="98">
        <v>0</v>
      </c>
      <c r="AA42" s="98">
        <v>0</v>
      </c>
      <c r="AB42" s="96">
        <v>0</v>
      </c>
      <c r="AC42" s="96">
        <f t="shared" si="8"/>
        <v>0</v>
      </c>
    </row>
    <row r="43" spans="1:29" s="337" customFormat="1" x14ac:dyDescent="0.25">
      <c r="A43" s="44" t="s">
        <v>59</v>
      </c>
      <c r="B43" s="43" t="s">
        <v>149</v>
      </c>
      <c r="C43" s="96">
        <v>0</v>
      </c>
      <c r="D43" s="96">
        <v>0</v>
      </c>
      <c r="E43" s="96">
        <f t="shared" si="4"/>
        <v>0</v>
      </c>
      <c r="F43" s="98">
        <f>D43-G43-J43-N43</f>
        <v>0</v>
      </c>
      <c r="G43" s="98">
        <v>0</v>
      </c>
      <c r="H43" s="96" t="s">
        <v>537</v>
      </c>
      <c r="I43" s="96">
        <v>0</v>
      </c>
      <c r="J43" s="98">
        <v>0</v>
      </c>
      <c r="K43" s="96">
        <v>0</v>
      </c>
      <c r="L43" s="96">
        <v>0</v>
      </c>
      <c r="M43" s="96">
        <v>0</v>
      </c>
      <c r="N43" s="341">
        <v>0</v>
      </c>
      <c r="O43" s="96">
        <v>0</v>
      </c>
      <c r="P43" s="98">
        <v>0</v>
      </c>
      <c r="Q43" s="96">
        <v>0</v>
      </c>
      <c r="R43" s="98">
        <f>R30</f>
        <v>0</v>
      </c>
      <c r="S43" s="96">
        <v>0</v>
      </c>
      <c r="T43" s="98">
        <v>0</v>
      </c>
      <c r="U43" s="96">
        <v>0</v>
      </c>
      <c r="V43" s="96">
        <v>0</v>
      </c>
      <c r="W43" s="96">
        <v>0</v>
      </c>
      <c r="X43" s="98">
        <v>0</v>
      </c>
      <c r="Y43" s="96">
        <v>0</v>
      </c>
      <c r="Z43" s="96">
        <v>0</v>
      </c>
      <c r="AA43" s="96">
        <v>0</v>
      </c>
      <c r="AB43" s="96">
        <v>0</v>
      </c>
      <c r="AC43" s="96">
        <f t="shared" si="8"/>
        <v>0</v>
      </c>
    </row>
    <row r="44" spans="1:29" x14ac:dyDescent="0.25">
      <c r="A44" s="41" t="s">
        <v>148</v>
      </c>
      <c r="B44" s="25" t="s">
        <v>147</v>
      </c>
      <c r="C44" s="96">
        <v>0</v>
      </c>
      <c r="D44" s="96">
        <v>0</v>
      </c>
      <c r="E44" s="96">
        <f t="shared" si="4"/>
        <v>0</v>
      </c>
      <c r="F44" s="98">
        <f t="shared" si="5"/>
        <v>0</v>
      </c>
      <c r="G44" s="98">
        <v>0</v>
      </c>
      <c r="H44" s="96" t="s">
        <v>537</v>
      </c>
      <c r="I44" s="98">
        <v>0</v>
      </c>
      <c r="J44" s="98">
        <v>0</v>
      </c>
      <c r="K44" s="98">
        <v>0</v>
      </c>
      <c r="L44" s="96">
        <v>0</v>
      </c>
      <c r="M44" s="98">
        <v>0</v>
      </c>
      <c r="N44" s="96">
        <f t="shared" si="6"/>
        <v>0</v>
      </c>
      <c r="O44" s="98">
        <v>0</v>
      </c>
      <c r="P44" s="98">
        <v>0</v>
      </c>
      <c r="Q44" s="98">
        <v>0</v>
      </c>
      <c r="R44" s="98">
        <v>0</v>
      </c>
      <c r="S44" s="98">
        <v>0</v>
      </c>
      <c r="T44" s="98">
        <v>0</v>
      </c>
      <c r="U44" s="98">
        <v>0</v>
      </c>
      <c r="V44" s="98">
        <v>0</v>
      </c>
      <c r="W44" s="98">
        <v>0</v>
      </c>
      <c r="X44" s="98">
        <v>0</v>
      </c>
      <c r="Y44" s="98">
        <v>0</v>
      </c>
      <c r="Z44" s="98">
        <v>0</v>
      </c>
      <c r="AA44" s="98">
        <v>0</v>
      </c>
      <c r="AB44" s="96">
        <v>0</v>
      </c>
      <c r="AC44" s="96">
        <f t="shared" si="8"/>
        <v>0</v>
      </c>
    </row>
    <row r="45" spans="1:29" x14ac:dyDescent="0.25">
      <c r="A45" s="41" t="s">
        <v>146</v>
      </c>
      <c r="B45" s="25" t="s">
        <v>145</v>
      </c>
      <c r="C45" s="96">
        <v>0</v>
      </c>
      <c r="D45" s="96">
        <v>0</v>
      </c>
      <c r="E45" s="96">
        <f t="shared" si="4"/>
        <v>0</v>
      </c>
      <c r="F45" s="98">
        <f t="shared" si="5"/>
        <v>0</v>
      </c>
      <c r="G45" s="98">
        <v>0</v>
      </c>
      <c r="H45" s="96" t="s">
        <v>537</v>
      </c>
      <c r="I45" s="98">
        <v>0</v>
      </c>
      <c r="J45" s="98">
        <v>0</v>
      </c>
      <c r="K45" s="98">
        <v>0</v>
      </c>
      <c r="L45" s="96">
        <v>0</v>
      </c>
      <c r="M45" s="98">
        <v>0</v>
      </c>
      <c r="N45" s="96">
        <f>N37</f>
        <v>0</v>
      </c>
      <c r="O45" s="98">
        <v>0</v>
      </c>
      <c r="P45" s="98">
        <v>0</v>
      </c>
      <c r="Q45" s="98">
        <v>0</v>
      </c>
      <c r="R45" s="98">
        <v>0</v>
      </c>
      <c r="S45" s="98">
        <v>0</v>
      </c>
      <c r="T45" s="98">
        <v>0</v>
      </c>
      <c r="U45" s="98">
        <v>0</v>
      </c>
      <c r="V45" s="98">
        <v>0</v>
      </c>
      <c r="W45" s="98">
        <v>0</v>
      </c>
      <c r="X45" s="98">
        <v>0</v>
      </c>
      <c r="Y45" s="98">
        <v>0</v>
      </c>
      <c r="Z45" s="98">
        <v>0</v>
      </c>
      <c r="AA45" s="98">
        <v>0</v>
      </c>
      <c r="AB45" s="96">
        <v>0</v>
      </c>
      <c r="AC45" s="96">
        <f t="shared" si="8"/>
        <v>0</v>
      </c>
    </row>
    <row r="46" spans="1:29" x14ac:dyDescent="0.25">
      <c r="A46" s="41" t="s">
        <v>144</v>
      </c>
      <c r="B46" s="25" t="s">
        <v>143</v>
      </c>
      <c r="C46" s="96">
        <v>0</v>
      </c>
      <c r="D46" s="96">
        <v>0</v>
      </c>
      <c r="E46" s="96">
        <f t="shared" si="4"/>
        <v>0</v>
      </c>
      <c r="F46" s="98">
        <f t="shared" si="5"/>
        <v>0</v>
      </c>
      <c r="G46" s="98">
        <v>0</v>
      </c>
      <c r="H46" s="96" t="s">
        <v>537</v>
      </c>
      <c r="I46" s="98">
        <v>0</v>
      </c>
      <c r="J46" s="98">
        <v>0</v>
      </c>
      <c r="K46" s="98">
        <v>0</v>
      </c>
      <c r="L46" s="96">
        <v>0</v>
      </c>
      <c r="M46" s="98">
        <v>0</v>
      </c>
      <c r="N46" s="96">
        <f t="shared" si="6"/>
        <v>0</v>
      </c>
      <c r="O46" s="98">
        <v>0</v>
      </c>
      <c r="P46" s="98">
        <v>0</v>
      </c>
      <c r="Q46" s="98">
        <v>0</v>
      </c>
      <c r="R46" s="98">
        <v>0</v>
      </c>
      <c r="S46" s="98">
        <v>0</v>
      </c>
      <c r="T46" s="98">
        <v>0</v>
      </c>
      <c r="U46" s="98">
        <v>0</v>
      </c>
      <c r="V46" s="98">
        <v>0</v>
      </c>
      <c r="W46" s="98">
        <v>0</v>
      </c>
      <c r="X46" s="98">
        <v>0</v>
      </c>
      <c r="Y46" s="98">
        <v>0</v>
      </c>
      <c r="Z46" s="98">
        <v>0</v>
      </c>
      <c r="AA46" s="98">
        <v>0</v>
      </c>
      <c r="AB46" s="96">
        <v>0</v>
      </c>
      <c r="AC46" s="96">
        <f t="shared" si="8"/>
        <v>0</v>
      </c>
    </row>
    <row r="47" spans="1:29" ht="31.5" x14ac:dyDescent="0.25">
      <c r="A47" s="41" t="s">
        <v>142</v>
      </c>
      <c r="B47" s="25" t="s">
        <v>141</v>
      </c>
      <c r="C47" s="96">
        <v>0</v>
      </c>
      <c r="D47" s="96">
        <v>0</v>
      </c>
      <c r="E47" s="96">
        <f t="shared" si="4"/>
        <v>0</v>
      </c>
      <c r="F47" s="98">
        <f t="shared" si="5"/>
        <v>0</v>
      </c>
      <c r="G47" s="98">
        <v>0</v>
      </c>
      <c r="H47" s="96" t="s">
        <v>537</v>
      </c>
      <c r="I47" s="98">
        <v>0</v>
      </c>
      <c r="J47" s="98">
        <v>0</v>
      </c>
      <c r="K47" s="98">
        <v>0</v>
      </c>
      <c r="L47" s="96">
        <v>0</v>
      </c>
      <c r="M47" s="98">
        <v>0</v>
      </c>
      <c r="N47" s="96">
        <f t="shared" si="6"/>
        <v>0</v>
      </c>
      <c r="O47" s="98">
        <v>0</v>
      </c>
      <c r="P47" s="98">
        <v>0</v>
      </c>
      <c r="Q47" s="98">
        <v>0</v>
      </c>
      <c r="R47" s="98">
        <v>0</v>
      </c>
      <c r="S47" s="98">
        <v>0</v>
      </c>
      <c r="T47" s="98">
        <v>0</v>
      </c>
      <c r="U47" s="98">
        <v>0</v>
      </c>
      <c r="V47" s="98">
        <v>0</v>
      </c>
      <c r="W47" s="98">
        <v>0</v>
      </c>
      <c r="X47" s="98">
        <v>0</v>
      </c>
      <c r="Y47" s="98">
        <v>0</v>
      </c>
      <c r="Z47" s="98">
        <v>0</v>
      </c>
      <c r="AA47" s="98">
        <v>0</v>
      </c>
      <c r="AB47" s="96">
        <v>0</v>
      </c>
      <c r="AC47" s="96">
        <f t="shared" si="8"/>
        <v>0</v>
      </c>
    </row>
    <row r="48" spans="1:29" ht="31.5" x14ac:dyDescent="0.25">
      <c r="A48" s="41" t="s">
        <v>140</v>
      </c>
      <c r="B48" s="25" t="s">
        <v>139</v>
      </c>
      <c r="C48" s="96">
        <v>0</v>
      </c>
      <c r="D48" s="96">
        <v>0</v>
      </c>
      <c r="E48" s="96">
        <f t="shared" si="4"/>
        <v>0</v>
      </c>
      <c r="F48" s="98">
        <f t="shared" si="5"/>
        <v>0</v>
      </c>
      <c r="G48" s="98">
        <v>0</v>
      </c>
      <c r="H48" s="96" t="s">
        <v>537</v>
      </c>
      <c r="I48" s="98">
        <v>0</v>
      </c>
      <c r="J48" s="98">
        <v>0</v>
      </c>
      <c r="K48" s="98">
        <v>0</v>
      </c>
      <c r="L48" s="96">
        <v>0</v>
      </c>
      <c r="M48" s="98">
        <v>0</v>
      </c>
      <c r="N48" s="96">
        <f t="shared" si="6"/>
        <v>0</v>
      </c>
      <c r="O48" s="98">
        <v>0</v>
      </c>
      <c r="P48" s="98">
        <v>0</v>
      </c>
      <c r="Q48" s="98">
        <v>0</v>
      </c>
      <c r="R48" s="98">
        <v>0</v>
      </c>
      <c r="S48" s="98">
        <v>0</v>
      </c>
      <c r="T48" s="98">
        <v>0</v>
      </c>
      <c r="U48" s="98">
        <v>0</v>
      </c>
      <c r="V48" s="98">
        <v>0</v>
      </c>
      <c r="W48" s="98">
        <v>0</v>
      </c>
      <c r="X48" s="98">
        <v>0</v>
      </c>
      <c r="Y48" s="98">
        <v>0</v>
      </c>
      <c r="Z48" s="98">
        <v>0</v>
      </c>
      <c r="AA48" s="98">
        <v>0</v>
      </c>
      <c r="AB48" s="96">
        <v>0</v>
      </c>
      <c r="AC48" s="96">
        <f t="shared" si="8"/>
        <v>0</v>
      </c>
    </row>
    <row r="49" spans="1:29" x14ac:dyDescent="0.25">
      <c r="A49" s="41" t="s">
        <v>138</v>
      </c>
      <c r="B49" s="25" t="s">
        <v>137</v>
      </c>
      <c r="C49" s="96">
        <v>0</v>
      </c>
      <c r="D49" s="96">
        <v>0</v>
      </c>
      <c r="E49" s="96">
        <f t="shared" si="4"/>
        <v>0</v>
      </c>
      <c r="F49" s="98">
        <f t="shared" si="5"/>
        <v>0</v>
      </c>
      <c r="G49" s="98">
        <v>0</v>
      </c>
      <c r="H49" s="96" t="s">
        <v>537</v>
      </c>
      <c r="I49" s="98">
        <v>0</v>
      </c>
      <c r="J49" s="98">
        <v>0</v>
      </c>
      <c r="K49" s="98">
        <v>0</v>
      </c>
      <c r="L49" s="96">
        <v>0</v>
      </c>
      <c r="M49" s="98">
        <v>0</v>
      </c>
      <c r="N49" s="96">
        <f>N41</f>
        <v>0</v>
      </c>
      <c r="O49" s="98">
        <v>0</v>
      </c>
      <c r="P49" s="98">
        <v>0</v>
      </c>
      <c r="Q49" s="98">
        <v>0</v>
      </c>
      <c r="R49" s="98">
        <v>0</v>
      </c>
      <c r="S49" s="98">
        <v>0</v>
      </c>
      <c r="T49" s="98">
        <v>0</v>
      </c>
      <c r="U49" s="98">
        <v>0</v>
      </c>
      <c r="V49" s="98">
        <v>0</v>
      </c>
      <c r="W49" s="98">
        <v>0</v>
      </c>
      <c r="X49" s="98">
        <v>0</v>
      </c>
      <c r="Y49" s="98">
        <v>0</v>
      </c>
      <c r="Z49" s="98">
        <v>0</v>
      </c>
      <c r="AA49" s="98">
        <v>0</v>
      </c>
      <c r="AB49" s="96">
        <v>0</v>
      </c>
      <c r="AC49" s="96">
        <f t="shared" si="8"/>
        <v>0</v>
      </c>
    </row>
    <row r="50" spans="1:29" ht="18.75" x14ac:dyDescent="0.25">
      <c r="A50" s="41" t="s">
        <v>136</v>
      </c>
      <c r="B50" s="168" t="s">
        <v>543</v>
      </c>
      <c r="C50" s="96">
        <v>0</v>
      </c>
      <c r="D50" s="96">
        <v>0</v>
      </c>
      <c r="E50" s="96">
        <f t="shared" si="4"/>
        <v>0</v>
      </c>
      <c r="F50" s="98">
        <f t="shared" si="5"/>
        <v>0</v>
      </c>
      <c r="G50" s="98">
        <v>0</v>
      </c>
      <c r="H50" s="96" t="s">
        <v>537</v>
      </c>
      <c r="I50" s="98">
        <v>0</v>
      </c>
      <c r="J50" s="98">
        <v>0</v>
      </c>
      <c r="K50" s="98">
        <v>0</v>
      </c>
      <c r="L50" s="96">
        <v>0</v>
      </c>
      <c r="M50" s="98">
        <v>0</v>
      </c>
      <c r="N50" s="96">
        <v>0</v>
      </c>
      <c r="O50" s="98">
        <v>0</v>
      </c>
      <c r="P50" s="98">
        <v>0</v>
      </c>
      <c r="Q50" s="98">
        <v>0</v>
      </c>
      <c r="R50" s="98">
        <v>0</v>
      </c>
      <c r="S50" s="98">
        <v>0</v>
      </c>
      <c r="T50" s="98">
        <v>0</v>
      </c>
      <c r="U50" s="98">
        <v>0</v>
      </c>
      <c r="V50" s="98">
        <v>0</v>
      </c>
      <c r="W50" s="98">
        <v>0</v>
      </c>
      <c r="X50" s="98">
        <v>0</v>
      </c>
      <c r="Y50" s="98">
        <v>0</v>
      </c>
      <c r="Z50" s="98">
        <v>0</v>
      </c>
      <c r="AA50" s="98">
        <v>0</v>
      </c>
      <c r="AB50" s="96">
        <v>0</v>
      </c>
      <c r="AC50" s="96">
        <f t="shared" si="8"/>
        <v>0</v>
      </c>
    </row>
    <row r="51" spans="1:29" s="337" customFormat="1" ht="35.25" customHeight="1" x14ac:dyDescent="0.25">
      <c r="A51" s="44" t="s">
        <v>57</v>
      </c>
      <c r="B51" s="43" t="s">
        <v>135</v>
      </c>
      <c r="C51" s="96">
        <v>0</v>
      </c>
      <c r="D51" s="96">
        <v>0</v>
      </c>
      <c r="E51" s="96">
        <f t="shared" si="4"/>
        <v>0</v>
      </c>
      <c r="F51" s="98">
        <f t="shared" si="5"/>
        <v>0</v>
      </c>
      <c r="G51" s="98">
        <v>0</v>
      </c>
      <c r="H51" s="96" t="s">
        <v>537</v>
      </c>
      <c r="I51" s="96">
        <v>0</v>
      </c>
      <c r="J51" s="98">
        <v>0</v>
      </c>
      <c r="K51" s="96">
        <v>0</v>
      </c>
      <c r="L51" s="96">
        <v>0</v>
      </c>
      <c r="M51" s="96">
        <v>0</v>
      </c>
      <c r="N51" s="96">
        <f t="shared" si="6"/>
        <v>0</v>
      </c>
      <c r="O51" s="96">
        <v>0</v>
      </c>
      <c r="P51" s="98">
        <v>0</v>
      </c>
      <c r="Q51" s="96">
        <v>0</v>
      </c>
      <c r="R51" s="98">
        <v>0</v>
      </c>
      <c r="S51" s="96">
        <v>0</v>
      </c>
      <c r="T51" s="98">
        <v>0</v>
      </c>
      <c r="U51" s="96">
        <v>0</v>
      </c>
      <c r="V51" s="96">
        <v>0</v>
      </c>
      <c r="W51" s="96">
        <v>0</v>
      </c>
      <c r="X51" s="98">
        <v>0</v>
      </c>
      <c r="Y51" s="96">
        <v>0</v>
      </c>
      <c r="Z51" s="96">
        <v>0</v>
      </c>
      <c r="AA51" s="96">
        <v>0</v>
      </c>
      <c r="AB51" s="96">
        <v>0</v>
      </c>
      <c r="AC51" s="96">
        <f t="shared" si="8"/>
        <v>0</v>
      </c>
    </row>
    <row r="52" spans="1:29" x14ac:dyDescent="0.25">
      <c r="A52" s="41" t="s">
        <v>134</v>
      </c>
      <c r="B52" s="25" t="s">
        <v>133</v>
      </c>
      <c r="C52" s="96">
        <v>0</v>
      </c>
      <c r="D52" s="96">
        <v>0</v>
      </c>
      <c r="E52" s="96">
        <f t="shared" si="4"/>
        <v>0</v>
      </c>
      <c r="F52" s="98">
        <f t="shared" si="5"/>
        <v>0</v>
      </c>
      <c r="G52" s="98">
        <v>0</v>
      </c>
      <c r="H52" s="96" t="s">
        <v>537</v>
      </c>
      <c r="I52" s="98">
        <v>0</v>
      </c>
      <c r="J52" s="98">
        <v>0</v>
      </c>
      <c r="K52" s="98">
        <v>0</v>
      </c>
      <c r="L52" s="96">
        <v>0</v>
      </c>
      <c r="M52" s="98">
        <v>0</v>
      </c>
      <c r="N52" s="96">
        <v>0</v>
      </c>
      <c r="O52" s="98">
        <v>0</v>
      </c>
      <c r="P52" s="98">
        <v>0</v>
      </c>
      <c r="Q52" s="98">
        <v>0</v>
      </c>
      <c r="R52" s="98">
        <f>R43</f>
        <v>0</v>
      </c>
      <c r="S52" s="98">
        <v>0</v>
      </c>
      <c r="T52" s="98">
        <v>0</v>
      </c>
      <c r="U52" s="98">
        <v>0</v>
      </c>
      <c r="V52" s="98">
        <v>0</v>
      </c>
      <c r="W52" s="98">
        <v>0</v>
      </c>
      <c r="X52" s="98">
        <v>0</v>
      </c>
      <c r="Y52" s="98">
        <v>0</v>
      </c>
      <c r="Z52" s="98">
        <v>0</v>
      </c>
      <c r="AA52" s="98">
        <v>0</v>
      </c>
      <c r="AB52" s="96">
        <v>0</v>
      </c>
      <c r="AC52" s="96">
        <f t="shared" si="8"/>
        <v>0</v>
      </c>
    </row>
    <row r="53" spans="1:29" x14ac:dyDescent="0.25">
      <c r="A53" s="41" t="s">
        <v>132</v>
      </c>
      <c r="B53" s="25" t="s">
        <v>126</v>
      </c>
      <c r="C53" s="96">
        <v>0</v>
      </c>
      <c r="D53" s="96">
        <v>0</v>
      </c>
      <c r="E53" s="96">
        <f t="shared" si="4"/>
        <v>0</v>
      </c>
      <c r="F53" s="98">
        <f t="shared" si="5"/>
        <v>0</v>
      </c>
      <c r="G53" s="98">
        <v>0</v>
      </c>
      <c r="H53" s="96" t="s">
        <v>537</v>
      </c>
      <c r="I53" s="98">
        <v>0</v>
      </c>
      <c r="J53" s="98">
        <v>0</v>
      </c>
      <c r="K53" s="98">
        <v>0</v>
      </c>
      <c r="L53" s="96">
        <v>0</v>
      </c>
      <c r="M53" s="98">
        <v>0</v>
      </c>
      <c r="N53" s="96">
        <f t="shared" si="6"/>
        <v>0</v>
      </c>
      <c r="O53" s="98">
        <v>0</v>
      </c>
      <c r="P53" s="98">
        <v>0</v>
      </c>
      <c r="Q53" s="98">
        <v>0</v>
      </c>
      <c r="R53" s="98">
        <v>0</v>
      </c>
      <c r="S53" s="98">
        <v>0</v>
      </c>
      <c r="T53" s="98">
        <v>0</v>
      </c>
      <c r="U53" s="98">
        <v>0</v>
      </c>
      <c r="V53" s="98">
        <v>0</v>
      </c>
      <c r="W53" s="98">
        <v>0</v>
      </c>
      <c r="X53" s="98">
        <v>0</v>
      </c>
      <c r="Y53" s="98">
        <v>0</v>
      </c>
      <c r="Z53" s="98">
        <v>0</v>
      </c>
      <c r="AA53" s="98">
        <v>0</v>
      </c>
      <c r="AB53" s="96">
        <v>0</v>
      </c>
      <c r="AC53" s="96">
        <f t="shared" si="8"/>
        <v>0</v>
      </c>
    </row>
    <row r="54" spans="1:29" x14ac:dyDescent="0.25">
      <c r="A54" s="41" t="s">
        <v>131</v>
      </c>
      <c r="B54" s="168" t="s">
        <v>125</v>
      </c>
      <c r="C54" s="96">
        <v>0</v>
      </c>
      <c r="D54" s="96">
        <v>0</v>
      </c>
      <c r="E54" s="96">
        <f t="shared" si="4"/>
        <v>0</v>
      </c>
      <c r="F54" s="98">
        <f t="shared" si="5"/>
        <v>0</v>
      </c>
      <c r="G54" s="98">
        <v>0</v>
      </c>
      <c r="H54" s="96" t="s">
        <v>537</v>
      </c>
      <c r="I54" s="98">
        <v>0</v>
      </c>
      <c r="J54" s="98">
        <v>0</v>
      </c>
      <c r="K54" s="98">
        <v>0</v>
      </c>
      <c r="L54" s="96">
        <v>0</v>
      </c>
      <c r="M54" s="98">
        <v>0</v>
      </c>
      <c r="N54" s="96">
        <f>N45</f>
        <v>0</v>
      </c>
      <c r="O54" s="98">
        <v>0</v>
      </c>
      <c r="P54" s="98">
        <v>0</v>
      </c>
      <c r="Q54" s="98">
        <v>0</v>
      </c>
      <c r="R54" s="98">
        <v>0</v>
      </c>
      <c r="S54" s="98">
        <v>0</v>
      </c>
      <c r="T54" s="98">
        <v>0</v>
      </c>
      <c r="U54" s="98">
        <v>0</v>
      </c>
      <c r="V54" s="98">
        <v>0</v>
      </c>
      <c r="W54" s="98">
        <v>0</v>
      </c>
      <c r="X54" s="98">
        <v>0</v>
      </c>
      <c r="Y54" s="98">
        <v>0</v>
      </c>
      <c r="Z54" s="98">
        <v>0</v>
      </c>
      <c r="AA54" s="98">
        <v>0</v>
      </c>
      <c r="AB54" s="96">
        <v>0</v>
      </c>
      <c r="AC54" s="96">
        <f t="shared" si="8"/>
        <v>0</v>
      </c>
    </row>
    <row r="55" spans="1:29" x14ac:dyDescent="0.25">
      <c r="A55" s="41" t="s">
        <v>130</v>
      </c>
      <c r="B55" s="168" t="s">
        <v>124</v>
      </c>
      <c r="C55" s="96">
        <v>0</v>
      </c>
      <c r="D55" s="96">
        <v>0</v>
      </c>
      <c r="E55" s="96">
        <f t="shared" si="4"/>
        <v>0</v>
      </c>
      <c r="F55" s="98">
        <f t="shared" si="5"/>
        <v>0</v>
      </c>
      <c r="G55" s="98">
        <v>0</v>
      </c>
      <c r="H55" s="96" t="s">
        <v>537</v>
      </c>
      <c r="I55" s="98">
        <v>0</v>
      </c>
      <c r="J55" s="98">
        <v>0</v>
      </c>
      <c r="K55" s="98">
        <v>0</v>
      </c>
      <c r="L55" s="96">
        <v>0</v>
      </c>
      <c r="M55" s="98">
        <v>0</v>
      </c>
      <c r="N55" s="96">
        <f t="shared" si="6"/>
        <v>0</v>
      </c>
      <c r="O55" s="98">
        <v>0</v>
      </c>
      <c r="P55" s="98">
        <v>0</v>
      </c>
      <c r="Q55" s="98">
        <v>0</v>
      </c>
      <c r="R55" s="98">
        <v>0</v>
      </c>
      <c r="S55" s="98">
        <v>0</v>
      </c>
      <c r="T55" s="98">
        <v>0</v>
      </c>
      <c r="U55" s="98">
        <v>0</v>
      </c>
      <c r="V55" s="98">
        <v>0</v>
      </c>
      <c r="W55" s="98">
        <v>0</v>
      </c>
      <c r="X55" s="98">
        <v>0</v>
      </c>
      <c r="Y55" s="98">
        <v>0</v>
      </c>
      <c r="Z55" s="98">
        <v>0</v>
      </c>
      <c r="AA55" s="98">
        <v>0</v>
      </c>
      <c r="AB55" s="96">
        <v>0</v>
      </c>
      <c r="AC55" s="96">
        <f t="shared" si="8"/>
        <v>0</v>
      </c>
    </row>
    <row r="56" spans="1:29" x14ac:dyDescent="0.25">
      <c r="A56" s="41" t="s">
        <v>129</v>
      </c>
      <c r="B56" s="168" t="s">
        <v>123</v>
      </c>
      <c r="C56" s="96">
        <v>0</v>
      </c>
      <c r="D56" s="96">
        <v>0</v>
      </c>
      <c r="E56" s="96">
        <f t="shared" si="4"/>
        <v>0</v>
      </c>
      <c r="F56" s="98">
        <f t="shared" si="5"/>
        <v>0</v>
      </c>
      <c r="G56" s="98">
        <v>0</v>
      </c>
      <c r="H56" s="96" t="s">
        <v>537</v>
      </c>
      <c r="I56" s="98">
        <v>0</v>
      </c>
      <c r="J56" s="98">
        <v>0</v>
      </c>
      <c r="K56" s="98">
        <v>0</v>
      </c>
      <c r="L56" s="96">
        <v>0</v>
      </c>
      <c r="M56" s="98">
        <v>0</v>
      </c>
      <c r="N56" s="96">
        <f>N41</f>
        <v>0</v>
      </c>
      <c r="O56" s="98">
        <v>0</v>
      </c>
      <c r="P56" s="98">
        <v>0</v>
      </c>
      <c r="Q56" s="98">
        <v>0</v>
      </c>
      <c r="R56" s="98">
        <v>0</v>
      </c>
      <c r="S56" s="98">
        <v>0</v>
      </c>
      <c r="T56" s="98">
        <v>0</v>
      </c>
      <c r="U56" s="98">
        <v>0</v>
      </c>
      <c r="V56" s="98">
        <v>0</v>
      </c>
      <c r="W56" s="98">
        <v>0</v>
      </c>
      <c r="X56" s="98">
        <v>0</v>
      </c>
      <c r="Y56" s="98">
        <v>0</v>
      </c>
      <c r="Z56" s="98">
        <v>0</v>
      </c>
      <c r="AA56" s="98">
        <v>0</v>
      </c>
      <c r="AB56" s="96">
        <v>0</v>
      </c>
      <c r="AC56" s="96">
        <f t="shared" si="8"/>
        <v>0</v>
      </c>
    </row>
    <row r="57" spans="1:29" ht="18.75" x14ac:dyDescent="0.25">
      <c r="A57" s="41" t="s">
        <v>128</v>
      </c>
      <c r="B57" s="168" t="s">
        <v>543</v>
      </c>
      <c r="C57" s="96">
        <v>0</v>
      </c>
      <c r="D57" s="96">
        <v>0</v>
      </c>
      <c r="E57" s="96">
        <f t="shared" si="4"/>
        <v>0</v>
      </c>
      <c r="F57" s="98">
        <f t="shared" si="5"/>
        <v>0</v>
      </c>
      <c r="G57" s="98">
        <v>0</v>
      </c>
      <c r="H57" s="96" t="s">
        <v>537</v>
      </c>
      <c r="I57" s="98">
        <v>0</v>
      </c>
      <c r="J57" s="98">
        <v>0</v>
      </c>
      <c r="K57" s="98">
        <v>0</v>
      </c>
      <c r="L57" s="96">
        <v>0</v>
      </c>
      <c r="M57" s="98">
        <v>0</v>
      </c>
      <c r="N57" s="96">
        <v>0</v>
      </c>
      <c r="O57" s="98">
        <v>0</v>
      </c>
      <c r="P57" s="98">
        <v>0</v>
      </c>
      <c r="Q57" s="98">
        <v>0</v>
      </c>
      <c r="R57" s="98">
        <v>0</v>
      </c>
      <c r="S57" s="98">
        <v>0</v>
      </c>
      <c r="T57" s="98">
        <v>0</v>
      </c>
      <c r="U57" s="98">
        <v>0</v>
      </c>
      <c r="V57" s="98">
        <v>0</v>
      </c>
      <c r="W57" s="98">
        <v>0</v>
      </c>
      <c r="X57" s="98">
        <v>0</v>
      </c>
      <c r="Y57" s="98">
        <v>0</v>
      </c>
      <c r="Z57" s="98">
        <v>0</v>
      </c>
      <c r="AA57" s="98">
        <v>0</v>
      </c>
      <c r="AB57" s="96">
        <v>0</v>
      </c>
      <c r="AC57" s="96">
        <f t="shared" si="8"/>
        <v>0</v>
      </c>
    </row>
    <row r="58" spans="1:29" s="337" customFormat="1" ht="36.75" customHeight="1" x14ac:dyDescent="0.25">
      <c r="A58" s="44" t="s">
        <v>56</v>
      </c>
      <c r="B58" s="169" t="s">
        <v>207</v>
      </c>
      <c r="C58" s="96">
        <v>0</v>
      </c>
      <c r="D58" s="96">
        <v>0</v>
      </c>
      <c r="E58" s="96">
        <f t="shared" si="4"/>
        <v>0</v>
      </c>
      <c r="F58" s="98">
        <f t="shared" si="5"/>
        <v>0</v>
      </c>
      <c r="G58" s="98">
        <v>0</v>
      </c>
      <c r="H58" s="96" t="s">
        <v>537</v>
      </c>
      <c r="I58" s="96">
        <v>0</v>
      </c>
      <c r="J58" s="98">
        <v>0</v>
      </c>
      <c r="K58" s="96">
        <v>0</v>
      </c>
      <c r="L58" s="96">
        <v>0</v>
      </c>
      <c r="M58" s="96">
        <v>0</v>
      </c>
      <c r="N58" s="96">
        <f>N52</f>
        <v>0</v>
      </c>
      <c r="O58" s="96">
        <v>0</v>
      </c>
      <c r="P58" s="98">
        <v>0</v>
      </c>
      <c r="Q58" s="96">
        <v>0</v>
      </c>
      <c r="R58" s="98">
        <f>R52</f>
        <v>0</v>
      </c>
      <c r="S58" s="96">
        <v>0</v>
      </c>
      <c r="T58" s="98">
        <v>0</v>
      </c>
      <c r="U58" s="96">
        <v>0</v>
      </c>
      <c r="V58" s="96">
        <v>0</v>
      </c>
      <c r="W58" s="96">
        <v>0</v>
      </c>
      <c r="X58" s="98">
        <v>0</v>
      </c>
      <c r="Y58" s="96">
        <v>0</v>
      </c>
      <c r="Z58" s="96">
        <v>0</v>
      </c>
      <c r="AA58" s="96">
        <v>0</v>
      </c>
      <c r="AB58" s="96">
        <v>0</v>
      </c>
      <c r="AC58" s="96">
        <f>SUM(J58,N58,R58,V58,Z58)</f>
        <v>0</v>
      </c>
    </row>
    <row r="59" spans="1:29" s="337" customFormat="1" x14ac:dyDescent="0.25">
      <c r="A59" s="44" t="s">
        <v>54</v>
      </c>
      <c r="B59" s="43" t="s">
        <v>127</v>
      </c>
      <c r="C59" s="96">
        <v>0</v>
      </c>
      <c r="D59" s="96">
        <v>0</v>
      </c>
      <c r="E59" s="96">
        <f t="shared" si="4"/>
        <v>0</v>
      </c>
      <c r="F59" s="98">
        <f t="shared" si="5"/>
        <v>0</v>
      </c>
      <c r="G59" s="98">
        <v>0</v>
      </c>
      <c r="H59" s="96" t="s">
        <v>537</v>
      </c>
      <c r="I59" s="96">
        <v>0</v>
      </c>
      <c r="J59" s="98">
        <v>0</v>
      </c>
      <c r="K59" s="96">
        <v>0</v>
      </c>
      <c r="L59" s="96">
        <v>0</v>
      </c>
      <c r="M59" s="96">
        <v>0</v>
      </c>
      <c r="N59" s="96">
        <f t="shared" si="6"/>
        <v>0</v>
      </c>
      <c r="O59" s="96">
        <v>0</v>
      </c>
      <c r="P59" s="98">
        <v>0</v>
      </c>
      <c r="Q59" s="96">
        <v>0</v>
      </c>
      <c r="R59" s="98">
        <v>0</v>
      </c>
      <c r="S59" s="96">
        <v>0</v>
      </c>
      <c r="T59" s="98">
        <v>0</v>
      </c>
      <c r="U59" s="96">
        <v>0</v>
      </c>
      <c r="V59" s="96">
        <v>0</v>
      </c>
      <c r="W59" s="96">
        <v>0</v>
      </c>
      <c r="X59" s="98">
        <v>0</v>
      </c>
      <c r="Y59" s="96">
        <v>0</v>
      </c>
      <c r="Z59" s="96">
        <v>0</v>
      </c>
      <c r="AA59" s="96">
        <v>0</v>
      </c>
      <c r="AB59" s="96">
        <v>0</v>
      </c>
      <c r="AC59" s="96">
        <f t="shared" si="8"/>
        <v>0</v>
      </c>
    </row>
    <row r="60" spans="1:29" x14ac:dyDescent="0.25">
      <c r="A60" s="41" t="s">
        <v>201</v>
      </c>
      <c r="B60" s="170" t="s">
        <v>147</v>
      </c>
      <c r="C60" s="96">
        <v>0</v>
      </c>
      <c r="D60" s="96">
        <v>0</v>
      </c>
      <c r="E60" s="96">
        <f t="shared" si="4"/>
        <v>0</v>
      </c>
      <c r="F60" s="98">
        <f t="shared" si="5"/>
        <v>0</v>
      </c>
      <c r="G60" s="98">
        <v>0</v>
      </c>
      <c r="H60" s="96" t="s">
        <v>537</v>
      </c>
      <c r="I60" s="98">
        <v>0</v>
      </c>
      <c r="J60" s="98">
        <v>0</v>
      </c>
      <c r="K60" s="98">
        <v>0</v>
      </c>
      <c r="L60" s="96">
        <v>0</v>
      </c>
      <c r="M60" s="98">
        <v>0</v>
      </c>
      <c r="N60" s="96">
        <f t="shared" si="6"/>
        <v>0</v>
      </c>
      <c r="O60" s="98">
        <v>0</v>
      </c>
      <c r="P60" s="98">
        <v>0</v>
      </c>
      <c r="Q60" s="98">
        <v>0</v>
      </c>
      <c r="R60" s="98">
        <v>0</v>
      </c>
      <c r="S60" s="98">
        <v>0</v>
      </c>
      <c r="T60" s="98">
        <v>0</v>
      </c>
      <c r="U60" s="98">
        <v>0</v>
      </c>
      <c r="V60" s="98">
        <v>0</v>
      </c>
      <c r="W60" s="98">
        <v>0</v>
      </c>
      <c r="X60" s="98">
        <v>0</v>
      </c>
      <c r="Y60" s="98">
        <v>0</v>
      </c>
      <c r="Z60" s="98">
        <v>0</v>
      </c>
      <c r="AA60" s="98">
        <v>0</v>
      </c>
      <c r="AB60" s="96">
        <v>0</v>
      </c>
      <c r="AC60" s="96">
        <f t="shared" si="8"/>
        <v>0</v>
      </c>
    </row>
    <row r="61" spans="1:29" x14ac:dyDescent="0.25">
      <c r="A61" s="41" t="s">
        <v>202</v>
      </c>
      <c r="B61" s="170" t="s">
        <v>145</v>
      </c>
      <c r="C61" s="96">
        <v>0</v>
      </c>
      <c r="D61" s="96">
        <v>0</v>
      </c>
      <c r="E61" s="96">
        <f t="shared" si="4"/>
        <v>0</v>
      </c>
      <c r="F61" s="98">
        <f t="shared" si="5"/>
        <v>0</v>
      </c>
      <c r="G61" s="98">
        <v>0</v>
      </c>
      <c r="H61" s="96" t="s">
        <v>537</v>
      </c>
      <c r="I61" s="98">
        <v>0</v>
      </c>
      <c r="J61" s="98">
        <v>0</v>
      </c>
      <c r="K61" s="98">
        <v>0</v>
      </c>
      <c r="L61" s="96">
        <v>0</v>
      </c>
      <c r="M61" s="98">
        <v>0</v>
      </c>
      <c r="N61" s="96">
        <v>0</v>
      </c>
      <c r="O61" s="98">
        <v>0</v>
      </c>
      <c r="P61" s="98">
        <v>0</v>
      </c>
      <c r="Q61" s="98">
        <v>0</v>
      </c>
      <c r="R61" s="98">
        <v>0</v>
      </c>
      <c r="S61" s="98">
        <v>0</v>
      </c>
      <c r="T61" s="98">
        <v>0</v>
      </c>
      <c r="U61" s="98">
        <v>0</v>
      </c>
      <c r="V61" s="98">
        <v>0</v>
      </c>
      <c r="W61" s="98">
        <v>0</v>
      </c>
      <c r="X61" s="98">
        <v>0</v>
      </c>
      <c r="Y61" s="98">
        <v>0</v>
      </c>
      <c r="Z61" s="98">
        <v>0</v>
      </c>
      <c r="AA61" s="98">
        <v>0</v>
      </c>
      <c r="AB61" s="96">
        <v>0</v>
      </c>
      <c r="AC61" s="96">
        <f t="shared" si="8"/>
        <v>0</v>
      </c>
    </row>
    <row r="62" spans="1:29" x14ac:dyDescent="0.25">
      <c r="A62" s="41" t="s">
        <v>203</v>
      </c>
      <c r="B62" s="170" t="s">
        <v>143</v>
      </c>
      <c r="C62" s="96">
        <v>0</v>
      </c>
      <c r="D62" s="96">
        <v>0</v>
      </c>
      <c r="E62" s="96">
        <f t="shared" si="4"/>
        <v>0</v>
      </c>
      <c r="F62" s="98">
        <f t="shared" si="5"/>
        <v>0</v>
      </c>
      <c r="G62" s="98">
        <v>0</v>
      </c>
      <c r="H62" s="96" t="s">
        <v>537</v>
      </c>
      <c r="I62" s="98">
        <v>0</v>
      </c>
      <c r="J62" s="98">
        <v>0</v>
      </c>
      <c r="K62" s="98">
        <v>0</v>
      </c>
      <c r="L62" s="96">
        <v>0</v>
      </c>
      <c r="M62" s="98">
        <v>0</v>
      </c>
      <c r="N62" s="96">
        <f t="shared" si="6"/>
        <v>0</v>
      </c>
      <c r="O62" s="98">
        <v>0</v>
      </c>
      <c r="P62" s="98">
        <v>0</v>
      </c>
      <c r="Q62" s="98">
        <v>0</v>
      </c>
      <c r="R62" s="98">
        <v>0</v>
      </c>
      <c r="S62" s="98">
        <v>0</v>
      </c>
      <c r="T62" s="98">
        <v>0</v>
      </c>
      <c r="U62" s="98">
        <v>0</v>
      </c>
      <c r="V62" s="98">
        <v>0</v>
      </c>
      <c r="W62" s="98">
        <v>0</v>
      </c>
      <c r="X62" s="98">
        <v>0</v>
      </c>
      <c r="Y62" s="98">
        <v>0</v>
      </c>
      <c r="Z62" s="98">
        <v>0</v>
      </c>
      <c r="AA62" s="98">
        <v>0</v>
      </c>
      <c r="AB62" s="96">
        <v>0</v>
      </c>
      <c r="AC62" s="96">
        <f t="shared" si="8"/>
        <v>0</v>
      </c>
    </row>
    <row r="63" spans="1:29" x14ac:dyDescent="0.25">
      <c r="A63" s="41" t="s">
        <v>204</v>
      </c>
      <c r="B63" s="170" t="s">
        <v>206</v>
      </c>
      <c r="C63" s="96">
        <v>0</v>
      </c>
      <c r="D63" s="96">
        <v>0</v>
      </c>
      <c r="E63" s="96">
        <f t="shared" si="4"/>
        <v>0</v>
      </c>
      <c r="F63" s="98">
        <f t="shared" si="5"/>
        <v>0</v>
      </c>
      <c r="G63" s="98">
        <v>0</v>
      </c>
      <c r="H63" s="96" t="s">
        <v>537</v>
      </c>
      <c r="I63" s="98">
        <v>0</v>
      </c>
      <c r="J63" s="98">
        <v>0</v>
      </c>
      <c r="K63" s="98">
        <v>0</v>
      </c>
      <c r="L63" s="96">
        <v>0</v>
      </c>
      <c r="M63" s="98">
        <v>0</v>
      </c>
      <c r="N63" s="96">
        <f t="shared" si="6"/>
        <v>0</v>
      </c>
      <c r="O63" s="98">
        <v>0</v>
      </c>
      <c r="P63" s="98">
        <v>0</v>
      </c>
      <c r="Q63" s="98">
        <v>0</v>
      </c>
      <c r="R63" s="98">
        <v>0</v>
      </c>
      <c r="S63" s="98">
        <v>0</v>
      </c>
      <c r="T63" s="98">
        <v>0</v>
      </c>
      <c r="U63" s="98">
        <v>0</v>
      </c>
      <c r="V63" s="98">
        <v>0</v>
      </c>
      <c r="W63" s="98">
        <v>0</v>
      </c>
      <c r="X63" s="98">
        <v>0</v>
      </c>
      <c r="Y63" s="98">
        <v>0</v>
      </c>
      <c r="Z63" s="98">
        <v>0</v>
      </c>
      <c r="AA63" s="98">
        <v>0</v>
      </c>
      <c r="AB63" s="96">
        <v>0</v>
      </c>
      <c r="AC63" s="96">
        <f t="shared" si="8"/>
        <v>0</v>
      </c>
    </row>
    <row r="64" spans="1:29" ht="18.75" x14ac:dyDescent="0.25">
      <c r="A64" s="41" t="s">
        <v>205</v>
      </c>
      <c r="B64" s="168" t="s">
        <v>543</v>
      </c>
      <c r="C64" s="96">
        <v>0</v>
      </c>
      <c r="D64" s="96">
        <v>0</v>
      </c>
      <c r="E64" s="96">
        <f t="shared" si="4"/>
        <v>0</v>
      </c>
      <c r="F64" s="98">
        <f t="shared" si="5"/>
        <v>0</v>
      </c>
      <c r="G64" s="98">
        <v>0</v>
      </c>
      <c r="H64" s="96" t="s">
        <v>537</v>
      </c>
      <c r="I64" s="98">
        <v>0</v>
      </c>
      <c r="J64" s="98">
        <v>0</v>
      </c>
      <c r="K64" s="98">
        <v>0</v>
      </c>
      <c r="L64" s="96">
        <v>0</v>
      </c>
      <c r="M64" s="98">
        <v>0</v>
      </c>
      <c r="N64" s="96">
        <v>0</v>
      </c>
      <c r="O64" s="98">
        <v>0</v>
      </c>
      <c r="P64" s="98">
        <v>0</v>
      </c>
      <c r="Q64" s="98">
        <v>0</v>
      </c>
      <c r="R64" s="98">
        <v>0</v>
      </c>
      <c r="S64" s="98">
        <v>0</v>
      </c>
      <c r="T64" s="98">
        <v>0</v>
      </c>
      <c r="U64" s="98">
        <v>0</v>
      </c>
      <c r="V64" s="98">
        <v>0</v>
      </c>
      <c r="W64" s="98">
        <v>0</v>
      </c>
      <c r="X64" s="98">
        <v>0</v>
      </c>
      <c r="Y64" s="98">
        <v>0</v>
      </c>
      <c r="Z64" s="98">
        <v>0</v>
      </c>
      <c r="AA64" s="98">
        <v>0</v>
      </c>
      <c r="AB64" s="96">
        <v>0</v>
      </c>
      <c r="AC64" s="96">
        <f t="shared" si="8"/>
        <v>0</v>
      </c>
    </row>
    <row r="65" spans="1:28" x14ac:dyDescent="0.25">
      <c r="A65" s="38"/>
      <c r="B65" s="33"/>
      <c r="C65" s="33"/>
      <c r="D65" s="33"/>
      <c r="E65" s="33"/>
      <c r="F65" s="33"/>
      <c r="G65" s="33"/>
    </row>
    <row r="66" spans="1:28" ht="54" customHeight="1" x14ac:dyDescent="0.25">
      <c r="B66" s="417"/>
      <c r="C66" s="417"/>
      <c r="D66" s="417"/>
      <c r="E66" s="417"/>
      <c r="F66" s="417"/>
      <c r="G66" s="35"/>
      <c r="H66" s="37"/>
      <c r="I66" s="37"/>
      <c r="J66" s="37"/>
      <c r="K66" s="37"/>
      <c r="L66" s="37"/>
      <c r="M66" s="37"/>
      <c r="N66" s="336"/>
      <c r="O66" s="37"/>
      <c r="P66" s="37"/>
      <c r="Q66" s="37"/>
      <c r="R66" s="37"/>
      <c r="S66" s="37"/>
      <c r="T66" s="37"/>
      <c r="U66" s="37"/>
      <c r="V66" s="37"/>
      <c r="W66" s="37"/>
      <c r="X66" s="37"/>
      <c r="Y66" s="37"/>
      <c r="Z66" s="37"/>
      <c r="AA66" s="37"/>
      <c r="AB66" s="37"/>
    </row>
    <row r="68" spans="1:28" ht="50.25" customHeight="1" x14ac:dyDescent="0.25">
      <c r="B68" s="417"/>
      <c r="C68" s="417"/>
      <c r="D68" s="417"/>
      <c r="E68" s="417"/>
      <c r="F68" s="417"/>
      <c r="G68" s="35"/>
    </row>
    <row r="70" spans="1:28" ht="36.75" customHeight="1" x14ac:dyDescent="0.25">
      <c r="B70" s="417"/>
      <c r="C70" s="417"/>
      <c r="D70" s="417"/>
      <c r="E70" s="417"/>
      <c r="F70" s="417"/>
      <c r="G70" s="35"/>
    </row>
    <row r="72" spans="1:28" ht="51" customHeight="1" x14ac:dyDescent="0.25">
      <c r="B72" s="417"/>
      <c r="C72" s="417"/>
      <c r="D72" s="417"/>
      <c r="E72" s="417"/>
      <c r="F72" s="417"/>
      <c r="G72" s="35"/>
    </row>
    <row r="73" spans="1:28" ht="32.25" customHeight="1" x14ac:dyDescent="0.25">
      <c r="B73" s="417"/>
      <c r="C73" s="417"/>
      <c r="D73" s="417"/>
      <c r="E73" s="417"/>
      <c r="F73" s="417"/>
      <c r="G73" s="35"/>
    </row>
    <row r="74" spans="1:28" ht="51.75" customHeight="1" x14ac:dyDescent="0.25">
      <c r="B74" s="417"/>
      <c r="C74" s="417"/>
      <c r="D74" s="417"/>
      <c r="E74" s="417"/>
      <c r="F74" s="417"/>
      <c r="G74" s="35"/>
    </row>
    <row r="75" spans="1:28" ht="21.75" customHeight="1" x14ac:dyDescent="0.25">
      <c r="B75" s="423"/>
      <c r="C75" s="423"/>
      <c r="D75" s="423"/>
      <c r="E75" s="423"/>
      <c r="F75" s="423"/>
      <c r="G75" s="34"/>
    </row>
    <row r="76" spans="1:28" ht="23.25" customHeight="1" x14ac:dyDescent="0.25"/>
    <row r="77" spans="1:28" ht="18.75" customHeight="1" x14ac:dyDescent="0.25">
      <c r="B77" s="416"/>
      <c r="C77" s="416"/>
      <c r="D77" s="416"/>
      <c r="E77" s="416"/>
      <c r="F77" s="416"/>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6" t="str">
        <f>'1. паспорт местоположение'!A5:C5</f>
        <v>Год раскрытия информации: 2023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row>
    <row r="6" spans="1:48" ht="18.75" x14ac:dyDescent="0.3">
      <c r="AV6" s="12"/>
    </row>
    <row r="7" spans="1:48" ht="18.75" x14ac:dyDescent="0.25">
      <c r="A7" s="353" t="s">
        <v>7</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row>
    <row r="8" spans="1:48" ht="18.75" x14ac:dyDescent="0.25">
      <c r="A8" s="353"/>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c r="AT8" s="353"/>
      <c r="AU8" s="353"/>
      <c r="AV8" s="353"/>
    </row>
    <row r="9" spans="1:48" ht="15.75" x14ac:dyDescent="0.25">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57" t="s">
        <v>6</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8.75" x14ac:dyDescent="0.25">
      <c r="A11" s="353"/>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row>
    <row r="12" spans="1:48" ht="15.75" x14ac:dyDescent="0.25">
      <c r="A12" s="358" t="str">
        <f>'1. паспорт местоположение'!A12:C12</f>
        <v>L_21-15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7" t="s">
        <v>5</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ht="15.75" x14ac:dyDescent="0.25">
      <c r="A15" s="351" t="str">
        <f>'1. паспорт местоположение'!A15:C15</f>
        <v>Строительство сетей электроснабжения жд г. Пионерский (Нивелир)</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row>
    <row r="16" spans="1:48" ht="15.75" x14ac:dyDescent="0.25">
      <c r="A16" s="357" t="s">
        <v>4</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row>
    <row r="18" spans="1:48" ht="14.25" customHeight="1"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c r="AD18" s="379"/>
      <c r="AE18" s="379"/>
      <c r="AF18" s="379"/>
      <c r="AG18" s="379"/>
      <c r="AH18" s="379"/>
      <c r="AI18" s="379"/>
      <c r="AJ18" s="379"/>
      <c r="AK18" s="379"/>
      <c r="AL18" s="379"/>
      <c r="AM18" s="379"/>
      <c r="AN18" s="379"/>
      <c r="AO18" s="379"/>
      <c r="AP18" s="379"/>
      <c r="AQ18" s="379"/>
      <c r="AR18" s="379"/>
      <c r="AS18" s="379"/>
      <c r="AT18" s="379"/>
      <c r="AU18" s="379"/>
      <c r="AV18" s="379"/>
    </row>
    <row r="19" spans="1:4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c r="AB19" s="379"/>
      <c r="AC19" s="379"/>
      <c r="AD19" s="379"/>
      <c r="AE19" s="379"/>
      <c r="AF19" s="379"/>
      <c r="AG19" s="379"/>
      <c r="AH19" s="379"/>
      <c r="AI19" s="379"/>
      <c r="AJ19" s="379"/>
      <c r="AK19" s="379"/>
      <c r="AL19" s="379"/>
      <c r="AM19" s="379"/>
      <c r="AN19" s="379"/>
      <c r="AO19" s="379"/>
      <c r="AP19" s="379"/>
      <c r="AQ19" s="379"/>
      <c r="AR19" s="379"/>
      <c r="AS19" s="379"/>
      <c r="AT19" s="379"/>
      <c r="AU19" s="379"/>
      <c r="AV19" s="379"/>
    </row>
    <row r="20" spans="1:48"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79"/>
      <c r="AP20" s="379"/>
      <c r="AQ20" s="379"/>
      <c r="AR20" s="379"/>
      <c r="AS20" s="379"/>
      <c r="AT20" s="379"/>
      <c r="AU20" s="379"/>
      <c r="AV20" s="379"/>
    </row>
    <row r="21" spans="1:48" x14ac:dyDescent="0.25">
      <c r="A21" s="446" t="s">
        <v>406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47" t="s">
        <v>50</v>
      </c>
      <c r="B22" s="451" t="s">
        <v>22</v>
      </c>
      <c r="C22" s="437" t="s">
        <v>49</v>
      </c>
      <c r="D22" s="437" t="s">
        <v>48</v>
      </c>
      <c r="E22" s="454" t="s">
        <v>416</v>
      </c>
      <c r="F22" s="455"/>
      <c r="G22" s="455"/>
      <c r="H22" s="455"/>
      <c r="I22" s="455"/>
      <c r="J22" s="455"/>
      <c r="K22" s="455"/>
      <c r="L22" s="456"/>
      <c r="M22" s="437" t="s">
        <v>47</v>
      </c>
      <c r="N22" s="437" t="s">
        <v>46</v>
      </c>
      <c r="O22" s="437" t="s">
        <v>45</v>
      </c>
      <c r="P22" s="432" t="s">
        <v>228</v>
      </c>
      <c r="Q22" s="432" t="s">
        <v>44</v>
      </c>
      <c r="R22" s="432" t="s">
        <v>43</v>
      </c>
      <c r="S22" s="432" t="s">
        <v>42</v>
      </c>
      <c r="T22" s="432"/>
      <c r="U22" s="439" t="s">
        <v>41</v>
      </c>
      <c r="V22" s="439" t="s">
        <v>40</v>
      </c>
      <c r="W22" s="432" t="s">
        <v>39</v>
      </c>
      <c r="X22" s="432" t="s">
        <v>38</v>
      </c>
      <c r="Y22" s="432" t="s">
        <v>37</v>
      </c>
      <c r="Z22" s="439" t="s">
        <v>36</v>
      </c>
      <c r="AA22" s="432" t="s">
        <v>35</v>
      </c>
      <c r="AB22" s="432" t="s">
        <v>34</v>
      </c>
      <c r="AC22" s="432" t="s">
        <v>33</v>
      </c>
      <c r="AD22" s="432" t="s">
        <v>32</v>
      </c>
      <c r="AE22" s="432" t="s">
        <v>31</v>
      </c>
      <c r="AF22" s="432" t="s">
        <v>30</v>
      </c>
      <c r="AG22" s="432"/>
      <c r="AH22" s="432"/>
      <c r="AI22" s="432"/>
      <c r="AJ22" s="432"/>
      <c r="AK22" s="432"/>
      <c r="AL22" s="432" t="s">
        <v>29</v>
      </c>
      <c r="AM22" s="432"/>
      <c r="AN22" s="432"/>
      <c r="AO22" s="432"/>
      <c r="AP22" s="432" t="s">
        <v>28</v>
      </c>
      <c r="AQ22" s="432"/>
      <c r="AR22" s="432" t="s">
        <v>27</v>
      </c>
      <c r="AS22" s="432" t="s">
        <v>26</v>
      </c>
      <c r="AT22" s="432" t="s">
        <v>25</v>
      </c>
      <c r="AU22" s="432" t="s">
        <v>24</v>
      </c>
      <c r="AV22" s="440" t="s">
        <v>23</v>
      </c>
    </row>
    <row r="23" spans="1:48" ht="64.5" customHeight="1" x14ac:dyDescent="0.25">
      <c r="A23" s="448"/>
      <c r="B23" s="452"/>
      <c r="C23" s="450"/>
      <c r="D23" s="450"/>
      <c r="E23" s="442" t="s">
        <v>21</v>
      </c>
      <c r="F23" s="433" t="s">
        <v>126</v>
      </c>
      <c r="G23" s="433" t="s">
        <v>125</v>
      </c>
      <c r="H23" s="433" t="s">
        <v>124</v>
      </c>
      <c r="I23" s="435" t="s">
        <v>353</v>
      </c>
      <c r="J23" s="435" t="s">
        <v>354</v>
      </c>
      <c r="K23" s="435" t="s">
        <v>355</v>
      </c>
      <c r="L23" s="433" t="s">
        <v>74</v>
      </c>
      <c r="M23" s="450"/>
      <c r="N23" s="450"/>
      <c r="O23" s="450"/>
      <c r="P23" s="432"/>
      <c r="Q23" s="432"/>
      <c r="R23" s="432"/>
      <c r="S23" s="444" t="s">
        <v>2</v>
      </c>
      <c r="T23" s="444" t="s">
        <v>9</v>
      </c>
      <c r="U23" s="439"/>
      <c r="V23" s="439"/>
      <c r="W23" s="432"/>
      <c r="X23" s="432"/>
      <c r="Y23" s="432"/>
      <c r="Z23" s="432"/>
      <c r="AA23" s="432"/>
      <c r="AB23" s="432"/>
      <c r="AC23" s="432"/>
      <c r="AD23" s="432"/>
      <c r="AE23" s="432"/>
      <c r="AF23" s="432" t="s">
        <v>20</v>
      </c>
      <c r="AG23" s="432"/>
      <c r="AH23" s="432" t="s">
        <v>19</v>
      </c>
      <c r="AI23" s="432"/>
      <c r="AJ23" s="437" t="s">
        <v>18</v>
      </c>
      <c r="AK23" s="437" t="s">
        <v>17</v>
      </c>
      <c r="AL23" s="437" t="s">
        <v>16</v>
      </c>
      <c r="AM23" s="437" t="s">
        <v>15</v>
      </c>
      <c r="AN23" s="437" t="s">
        <v>14</v>
      </c>
      <c r="AO23" s="437" t="s">
        <v>13</v>
      </c>
      <c r="AP23" s="437" t="s">
        <v>12</v>
      </c>
      <c r="AQ23" s="437" t="s">
        <v>9</v>
      </c>
      <c r="AR23" s="432"/>
      <c r="AS23" s="432"/>
      <c r="AT23" s="432"/>
      <c r="AU23" s="432"/>
      <c r="AV23" s="441"/>
    </row>
    <row r="24" spans="1:48" ht="96.75" customHeight="1" x14ac:dyDescent="0.25">
      <c r="A24" s="449"/>
      <c r="B24" s="453"/>
      <c r="C24" s="438"/>
      <c r="D24" s="438"/>
      <c r="E24" s="443"/>
      <c r="F24" s="434"/>
      <c r="G24" s="434"/>
      <c r="H24" s="434"/>
      <c r="I24" s="436"/>
      <c r="J24" s="436"/>
      <c r="K24" s="436"/>
      <c r="L24" s="434"/>
      <c r="M24" s="438"/>
      <c r="N24" s="438"/>
      <c r="O24" s="438"/>
      <c r="P24" s="432"/>
      <c r="Q24" s="432"/>
      <c r="R24" s="432"/>
      <c r="S24" s="445"/>
      <c r="T24" s="445"/>
      <c r="U24" s="439"/>
      <c r="V24" s="439"/>
      <c r="W24" s="432"/>
      <c r="X24" s="432"/>
      <c r="Y24" s="432"/>
      <c r="Z24" s="432"/>
      <c r="AA24" s="432"/>
      <c r="AB24" s="432"/>
      <c r="AC24" s="432"/>
      <c r="AD24" s="432"/>
      <c r="AE24" s="432"/>
      <c r="AF24" s="140" t="s">
        <v>11</v>
      </c>
      <c r="AG24" s="140" t="s">
        <v>10</v>
      </c>
      <c r="AH24" s="141" t="s">
        <v>2</v>
      </c>
      <c r="AI24" s="141" t="s">
        <v>9</v>
      </c>
      <c r="AJ24" s="438"/>
      <c r="AK24" s="438"/>
      <c r="AL24" s="438"/>
      <c r="AM24" s="438"/>
      <c r="AN24" s="438"/>
      <c r="AO24" s="438"/>
      <c r="AP24" s="438"/>
      <c r="AQ24" s="438"/>
      <c r="AR24" s="432"/>
      <c r="AS24" s="432"/>
      <c r="AT24" s="432"/>
      <c r="AU24" s="432"/>
      <c r="AV24" s="441"/>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f>'6.1. Паспорт сетевой график'!D53</f>
        <v>44926</v>
      </c>
      <c r="E26" s="146"/>
      <c r="F26" s="146"/>
      <c r="G26" s="146">
        <v>0.1</v>
      </c>
      <c r="H26" s="146"/>
      <c r="I26" s="146"/>
      <c r="J26" s="146"/>
      <c r="K26" s="146"/>
      <c r="L26" s="146">
        <v>24</v>
      </c>
      <c r="M26" s="146" t="s">
        <v>610</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8" sqref="A18:B18"/>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2" t="str">
        <f>'1. паспорт местоположение'!A5:C5</f>
        <v>Год раскрытия информации: 2023 год</v>
      </c>
      <c r="B5" s="462"/>
      <c r="C5" s="52"/>
      <c r="D5" s="52"/>
      <c r="E5" s="52"/>
      <c r="F5" s="52"/>
      <c r="G5" s="52"/>
      <c r="H5" s="52"/>
    </row>
    <row r="6" spans="1:8" ht="18.75" x14ac:dyDescent="0.3">
      <c r="A6" s="83"/>
      <c r="B6" s="83"/>
      <c r="C6" s="83"/>
      <c r="D6" s="83"/>
      <c r="E6" s="83"/>
      <c r="F6" s="83"/>
      <c r="G6" s="83"/>
      <c r="H6" s="83"/>
    </row>
    <row r="7" spans="1:8" ht="18.75" x14ac:dyDescent="0.25">
      <c r="A7" s="353" t="s">
        <v>7</v>
      </c>
      <c r="B7" s="353"/>
      <c r="C7" s="107"/>
      <c r="D7" s="107"/>
      <c r="E7" s="107"/>
      <c r="F7" s="107"/>
      <c r="G7" s="107"/>
      <c r="H7" s="107"/>
    </row>
    <row r="8" spans="1:8" ht="18.75" x14ac:dyDescent="0.25">
      <c r="A8" s="107"/>
      <c r="B8" s="107"/>
      <c r="C8" s="107"/>
      <c r="D8" s="107"/>
      <c r="E8" s="107"/>
      <c r="F8" s="107"/>
      <c r="G8" s="107"/>
      <c r="H8" s="107"/>
    </row>
    <row r="9" spans="1:8" x14ac:dyDescent="0.25">
      <c r="A9" s="351" t="str">
        <f>'1. паспорт местоположение'!A9:C9</f>
        <v xml:space="preserve">Акционерное общество "Западная энергетическая компания" </v>
      </c>
      <c r="B9" s="351"/>
      <c r="C9" s="109"/>
      <c r="D9" s="109"/>
      <c r="E9" s="109"/>
      <c r="F9" s="109"/>
      <c r="G9" s="109"/>
      <c r="H9" s="109"/>
    </row>
    <row r="10" spans="1:8" x14ac:dyDescent="0.25">
      <c r="A10" s="357" t="s">
        <v>6</v>
      </c>
      <c r="B10" s="357"/>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1" t="str">
        <f>'1. паспорт местоположение'!A12:C12</f>
        <v>L_21-15</v>
      </c>
      <c r="B12" s="351"/>
      <c r="C12" s="109"/>
      <c r="D12" s="109"/>
      <c r="E12" s="109"/>
      <c r="F12" s="109"/>
      <c r="G12" s="109"/>
      <c r="H12" s="109"/>
    </row>
    <row r="13" spans="1:8" x14ac:dyDescent="0.25">
      <c r="A13" s="357" t="s">
        <v>5</v>
      </c>
      <c r="B13" s="357"/>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78" t="str">
        <f>'1. паспорт местоположение'!A15:C15</f>
        <v>Строительство сетей электроснабжения жд г. Пионерский (Нивелир)</v>
      </c>
      <c r="B15" s="378"/>
      <c r="C15" s="109"/>
      <c r="D15" s="109"/>
      <c r="E15" s="109"/>
      <c r="F15" s="109"/>
      <c r="G15" s="109"/>
      <c r="H15" s="109"/>
    </row>
    <row r="16" spans="1:8" x14ac:dyDescent="0.25">
      <c r="A16" s="357" t="s">
        <v>4</v>
      </c>
      <c r="B16" s="357"/>
      <c r="C16" s="110"/>
      <c r="D16" s="110"/>
      <c r="E16" s="110"/>
      <c r="F16" s="110"/>
      <c r="G16" s="110"/>
      <c r="H16" s="110"/>
    </row>
    <row r="17" spans="1:2" x14ac:dyDescent="0.25">
      <c r="B17" s="57"/>
    </row>
    <row r="18" spans="1:2" ht="33.75" customHeight="1" x14ac:dyDescent="0.25">
      <c r="A18" s="457" t="s">
        <v>407</v>
      </c>
      <c r="B18" s="458"/>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жд г. Пионерский (Нивелир)</v>
      </c>
    </row>
    <row r="22" spans="1:2" ht="30" customHeight="1" thickBot="1" x14ac:dyDescent="0.3">
      <c r="A22" s="59" t="s">
        <v>305</v>
      </c>
      <c r="B22" s="60" t="str">
        <f>'1. паспорт местоположение'!C27</f>
        <v>г. Пионерский</v>
      </c>
    </row>
    <row r="23" spans="1:2" ht="16.5" thickBot="1" x14ac:dyDescent="0.3">
      <c r="A23" s="59" t="s">
        <v>289</v>
      </c>
      <c r="B23" s="61" t="s">
        <v>629</v>
      </c>
    </row>
    <row r="24" spans="1:2" ht="16.5" thickBot="1" x14ac:dyDescent="0.3">
      <c r="A24" s="59" t="s">
        <v>306</v>
      </c>
      <c r="B24" s="61">
        <f>'6.2. Паспорт фин осв ввод'!D45</f>
        <v>0</v>
      </c>
    </row>
    <row r="25" spans="1:2" ht="16.5" thickBot="1" x14ac:dyDescent="0.3">
      <c r="A25" s="62" t="s">
        <v>307</v>
      </c>
      <c r="B25" s="332">
        <f>'6.1. Паспорт сетевой график'!H53</f>
        <v>44926</v>
      </c>
    </row>
    <row r="26" spans="1:2" ht="16.5" thickBot="1" x14ac:dyDescent="0.3">
      <c r="A26" s="63" t="s">
        <v>308</v>
      </c>
      <c r="B26" s="328" t="s">
        <v>630</v>
      </c>
    </row>
    <row r="27" spans="1:2" ht="29.25" thickBot="1" x14ac:dyDescent="0.3">
      <c r="A27" s="70" t="s">
        <v>612</v>
      </c>
      <c r="B27" s="329">
        <f>'6.2. Паспорт фин осв ввод'!D24</f>
        <v>2.5</v>
      </c>
    </row>
    <row r="28" spans="1:2" ht="42" customHeight="1" thickBot="1" x14ac:dyDescent="0.3">
      <c r="A28" s="65" t="s">
        <v>309</v>
      </c>
      <c r="B28" s="65" t="s">
        <v>631</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44864</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623</v>
      </c>
    </row>
    <row r="137" spans="1:2" ht="28.5" customHeight="1" x14ac:dyDescent="0.25">
      <c r="A137" s="64" t="s">
        <v>345</v>
      </c>
      <c r="B137" s="459" t="s">
        <v>542</v>
      </c>
    </row>
    <row r="138" spans="1:2" x14ac:dyDescent="0.25">
      <c r="A138" s="68" t="s">
        <v>346</v>
      </c>
      <c r="B138" s="460"/>
    </row>
    <row r="139" spans="1:2" x14ac:dyDescent="0.25">
      <c r="A139" s="68" t="s">
        <v>347</v>
      </c>
      <c r="B139" s="460"/>
    </row>
    <row r="140" spans="1:2" x14ac:dyDescent="0.25">
      <c r="A140" s="68" t="s">
        <v>348</v>
      </c>
      <c r="B140" s="460"/>
    </row>
    <row r="141" spans="1:2" x14ac:dyDescent="0.25">
      <c r="A141" s="68" t="s">
        <v>349</v>
      </c>
      <c r="B141" s="460"/>
    </row>
    <row r="142" spans="1:2" ht="16.5" thickBot="1" x14ac:dyDescent="0.3">
      <c r="A142" s="78" t="s">
        <v>350</v>
      </c>
      <c r="B142" s="461"/>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E1" zoomScale="70" zoomScaleSheetLayoutView="70" workbookViewId="0">
      <selection activeCell="G22" sqref="G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6" t="str">
        <f>'1. паспорт местоположение'!A5:C5</f>
        <v>Год раскрытия информации: 2023 год</v>
      </c>
      <c r="B4" s="346"/>
      <c r="C4" s="346"/>
      <c r="D4" s="346"/>
      <c r="E4" s="346"/>
      <c r="F4" s="346"/>
      <c r="G4" s="346"/>
      <c r="H4" s="346"/>
      <c r="I4" s="346"/>
      <c r="J4" s="346"/>
      <c r="K4" s="346"/>
      <c r="L4" s="346"/>
      <c r="M4" s="346"/>
      <c r="N4" s="346"/>
      <c r="O4" s="346"/>
      <c r="P4" s="346"/>
      <c r="Q4" s="346"/>
      <c r="R4" s="346"/>
      <c r="S4" s="346"/>
    </row>
    <row r="5" spans="1:28" s="14" customFormat="1" ht="15.75" x14ac:dyDescent="0.2">
      <c r="A5" s="105"/>
    </row>
    <row r="6" spans="1:28" s="14" customFormat="1" ht="18.75" x14ac:dyDescent="0.2">
      <c r="A6" s="353" t="s">
        <v>7</v>
      </c>
      <c r="B6" s="353"/>
      <c r="C6" s="353"/>
      <c r="D6" s="353"/>
      <c r="E6" s="353"/>
      <c r="F6" s="353"/>
      <c r="G6" s="353"/>
      <c r="H6" s="353"/>
      <c r="I6" s="353"/>
      <c r="J6" s="353"/>
      <c r="K6" s="353"/>
      <c r="L6" s="353"/>
      <c r="M6" s="353"/>
      <c r="N6" s="353"/>
      <c r="O6" s="353"/>
      <c r="P6" s="353"/>
      <c r="Q6" s="353"/>
      <c r="R6" s="353"/>
      <c r="S6" s="353"/>
      <c r="T6" s="107"/>
      <c r="U6" s="107"/>
      <c r="V6" s="107"/>
      <c r="W6" s="107"/>
      <c r="X6" s="107"/>
      <c r="Y6" s="107"/>
      <c r="Z6" s="107"/>
      <c r="AA6" s="107"/>
      <c r="AB6" s="107"/>
    </row>
    <row r="7" spans="1:28" s="14" customFormat="1" ht="18.75" x14ac:dyDescent="0.2">
      <c r="A7" s="353"/>
      <c r="B7" s="353"/>
      <c r="C7" s="353"/>
      <c r="D7" s="353"/>
      <c r="E7" s="353"/>
      <c r="F7" s="353"/>
      <c r="G7" s="353"/>
      <c r="H7" s="353"/>
      <c r="I7" s="353"/>
      <c r="J7" s="353"/>
      <c r="K7" s="353"/>
      <c r="L7" s="353"/>
      <c r="M7" s="353"/>
      <c r="N7" s="353"/>
      <c r="O7" s="353"/>
      <c r="P7" s="353"/>
      <c r="Q7" s="353"/>
      <c r="R7" s="353"/>
      <c r="S7" s="353"/>
      <c r="T7" s="107"/>
      <c r="U7" s="107"/>
      <c r="V7" s="107"/>
      <c r="W7" s="107"/>
      <c r="X7" s="107"/>
      <c r="Y7" s="107"/>
      <c r="Z7" s="107"/>
      <c r="AA7" s="107"/>
      <c r="AB7" s="107"/>
    </row>
    <row r="8" spans="1:28" s="14" customFormat="1" ht="18.75" x14ac:dyDescent="0.2">
      <c r="A8" s="351" t="str">
        <f>'1. паспорт местоположение'!A9:C9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107"/>
      <c r="U8" s="107"/>
      <c r="V8" s="107"/>
      <c r="W8" s="107"/>
      <c r="X8" s="107"/>
      <c r="Y8" s="107"/>
      <c r="Z8" s="107"/>
      <c r="AA8" s="107"/>
      <c r="AB8" s="107"/>
    </row>
    <row r="9" spans="1:28" s="14" customFormat="1" ht="18.75" x14ac:dyDescent="0.2">
      <c r="A9" s="357" t="s">
        <v>6</v>
      </c>
      <c r="B9" s="357"/>
      <c r="C9" s="357"/>
      <c r="D9" s="357"/>
      <c r="E9" s="357"/>
      <c r="F9" s="357"/>
      <c r="G9" s="357"/>
      <c r="H9" s="357"/>
      <c r="I9" s="357"/>
      <c r="J9" s="357"/>
      <c r="K9" s="357"/>
      <c r="L9" s="357"/>
      <c r="M9" s="357"/>
      <c r="N9" s="357"/>
      <c r="O9" s="357"/>
      <c r="P9" s="357"/>
      <c r="Q9" s="357"/>
      <c r="R9" s="357"/>
      <c r="S9" s="357"/>
      <c r="T9" s="107"/>
      <c r="U9" s="107"/>
      <c r="V9" s="107"/>
      <c r="W9" s="107"/>
      <c r="X9" s="107"/>
      <c r="Y9" s="107"/>
      <c r="Z9" s="107"/>
      <c r="AA9" s="107"/>
      <c r="AB9" s="107"/>
    </row>
    <row r="10" spans="1:28" s="14" customFormat="1" ht="18.75" x14ac:dyDescent="0.2">
      <c r="A10" s="353"/>
      <c r="B10" s="353"/>
      <c r="C10" s="353"/>
      <c r="D10" s="353"/>
      <c r="E10" s="353"/>
      <c r="F10" s="353"/>
      <c r="G10" s="353"/>
      <c r="H10" s="353"/>
      <c r="I10" s="353"/>
      <c r="J10" s="353"/>
      <c r="K10" s="353"/>
      <c r="L10" s="353"/>
      <c r="M10" s="353"/>
      <c r="N10" s="353"/>
      <c r="O10" s="353"/>
      <c r="P10" s="353"/>
      <c r="Q10" s="353"/>
      <c r="R10" s="353"/>
      <c r="S10" s="353"/>
      <c r="T10" s="107"/>
      <c r="U10" s="107"/>
      <c r="V10" s="107"/>
      <c r="W10" s="107"/>
      <c r="X10" s="107"/>
      <c r="Y10" s="107"/>
      <c r="Z10" s="107"/>
      <c r="AA10" s="107"/>
      <c r="AB10" s="107"/>
    </row>
    <row r="11" spans="1:28" s="14" customFormat="1" ht="18.75" x14ac:dyDescent="0.2">
      <c r="A11" s="358" t="str">
        <f>'1. паспорт местоположение'!A12:C12</f>
        <v>L_21-15</v>
      </c>
      <c r="B11" s="358"/>
      <c r="C11" s="358"/>
      <c r="D11" s="358"/>
      <c r="E11" s="358"/>
      <c r="F11" s="358"/>
      <c r="G11" s="358"/>
      <c r="H11" s="358"/>
      <c r="I11" s="358"/>
      <c r="J11" s="358"/>
      <c r="K11" s="358"/>
      <c r="L11" s="358"/>
      <c r="M11" s="358"/>
      <c r="N11" s="358"/>
      <c r="O11" s="358"/>
      <c r="P11" s="358"/>
      <c r="Q11" s="358"/>
      <c r="R11" s="358"/>
      <c r="S11" s="358"/>
      <c r="T11" s="107"/>
      <c r="U11" s="107"/>
      <c r="V11" s="107"/>
      <c r="W11" s="107"/>
      <c r="X11" s="107"/>
      <c r="Y11" s="107"/>
      <c r="Z11" s="107"/>
      <c r="AA11" s="107"/>
      <c r="AB11" s="107"/>
    </row>
    <row r="12" spans="1:28" s="14" customFormat="1" ht="18.75" x14ac:dyDescent="0.2">
      <c r="A12" s="357" t="s">
        <v>5</v>
      </c>
      <c r="B12" s="357"/>
      <c r="C12" s="357"/>
      <c r="D12" s="357"/>
      <c r="E12" s="357"/>
      <c r="F12" s="357"/>
      <c r="G12" s="357"/>
      <c r="H12" s="357"/>
      <c r="I12" s="357"/>
      <c r="J12" s="357"/>
      <c r="K12" s="357"/>
      <c r="L12" s="357"/>
      <c r="M12" s="357"/>
      <c r="N12" s="357"/>
      <c r="O12" s="357"/>
      <c r="P12" s="357"/>
      <c r="Q12" s="357"/>
      <c r="R12" s="357"/>
      <c r="S12" s="357"/>
      <c r="T12" s="107"/>
      <c r="U12" s="107"/>
      <c r="V12" s="107"/>
      <c r="W12" s="107"/>
      <c r="X12" s="107"/>
      <c r="Y12" s="107"/>
      <c r="Z12" s="107"/>
      <c r="AA12" s="107"/>
      <c r="AB12" s="107"/>
    </row>
    <row r="13" spans="1:28" s="14"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108"/>
      <c r="U13" s="108"/>
      <c r="V13" s="108"/>
      <c r="W13" s="108"/>
      <c r="X13" s="108"/>
      <c r="Y13" s="108"/>
      <c r="Z13" s="108"/>
      <c r="AA13" s="108"/>
      <c r="AB13" s="108"/>
    </row>
    <row r="14" spans="1:28" s="106" customFormat="1" ht="15.75" x14ac:dyDescent="0.2">
      <c r="A14" s="351" t="str">
        <f>'1. паспорт местоположение'!A15:C15</f>
        <v>Строительство сетей электроснабжения жд г. Пионерский (Нивелир)</v>
      </c>
      <c r="B14" s="351"/>
      <c r="C14" s="351"/>
      <c r="D14" s="351"/>
      <c r="E14" s="351"/>
      <c r="F14" s="351"/>
      <c r="G14" s="351"/>
      <c r="H14" s="351"/>
      <c r="I14" s="351"/>
      <c r="J14" s="351"/>
      <c r="K14" s="351"/>
      <c r="L14" s="351"/>
      <c r="M14" s="351"/>
      <c r="N14" s="351"/>
      <c r="O14" s="351"/>
      <c r="P14" s="351"/>
      <c r="Q14" s="351"/>
      <c r="R14" s="351"/>
      <c r="S14" s="351"/>
      <c r="T14" s="109"/>
      <c r="U14" s="109"/>
      <c r="V14" s="109"/>
      <c r="W14" s="109"/>
      <c r="X14" s="109"/>
      <c r="Y14" s="109"/>
      <c r="Z14" s="109"/>
      <c r="AA14" s="109"/>
      <c r="AB14" s="109"/>
    </row>
    <row r="15" spans="1:28" s="106" customFormat="1" ht="15" customHeight="1" x14ac:dyDescent="0.2">
      <c r="A15" s="357" t="s">
        <v>4</v>
      </c>
      <c r="B15" s="357"/>
      <c r="C15" s="357"/>
      <c r="D15" s="357"/>
      <c r="E15" s="357"/>
      <c r="F15" s="357"/>
      <c r="G15" s="357"/>
      <c r="H15" s="357"/>
      <c r="I15" s="357"/>
      <c r="J15" s="357"/>
      <c r="K15" s="357"/>
      <c r="L15" s="357"/>
      <c r="M15" s="357"/>
      <c r="N15" s="357"/>
      <c r="O15" s="357"/>
      <c r="P15" s="357"/>
      <c r="Q15" s="357"/>
      <c r="R15" s="357"/>
      <c r="S15" s="357"/>
      <c r="T15" s="110"/>
      <c r="U15" s="110"/>
      <c r="V15" s="110"/>
      <c r="W15" s="110"/>
      <c r="X15" s="110"/>
      <c r="Y15" s="110"/>
      <c r="Z15" s="110"/>
      <c r="AA15" s="110"/>
      <c r="AB15" s="110"/>
    </row>
    <row r="16" spans="1:28" s="106"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108"/>
      <c r="U16" s="108"/>
      <c r="V16" s="108"/>
      <c r="W16" s="108"/>
      <c r="X16" s="108"/>
      <c r="Y16" s="108"/>
    </row>
    <row r="17" spans="1:28" s="106" customFormat="1" ht="45.75" customHeight="1" x14ac:dyDescent="0.2">
      <c r="A17" s="360" t="s">
        <v>382</v>
      </c>
      <c r="B17" s="360"/>
      <c r="C17" s="360"/>
      <c r="D17" s="360"/>
      <c r="E17" s="360"/>
      <c r="F17" s="360"/>
      <c r="G17" s="360"/>
      <c r="H17" s="360"/>
      <c r="I17" s="360"/>
      <c r="J17" s="360"/>
      <c r="K17" s="360"/>
      <c r="L17" s="360"/>
      <c r="M17" s="360"/>
      <c r="N17" s="360"/>
      <c r="O17" s="360"/>
      <c r="P17" s="360"/>
      <c r="Q17" s="360"/>
      <c r="R17" s="360"/>
      <c r="S17" s="360"/>
      <c r="T17" s="111"/>
      <c r="U17" s="111"/>
      <c r="V17" s="111"/>
      <c r="W17" s="111"/>
      <c r="X17" s="111"/>
      <c r="Y17" s="111"/>
      <c r="Z17" s="111"/>
      <c r="AA17" s="111"/>
      <c r="AB17" s="111"/>
    </row>
    <row r="18" spans="1:28" s="106"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108"/>
      <c r="U18" s="108"/>
      <c r="V18" s="108"/>
      <c r="W18" s="108"/>
      <c r="X18" s="108"/>
      <c r="Y18" s="108"/>
    </row>
    <row r="19" spans="1:28" s="106" customFormat="1" ht="54" customHeight="1" x14ac:dyDescent="0.2">
      <c r="A19" s="352" t="s">
        <v>3</v>
      </c>
      <c r="B19" s="352" t="s">
        <v>94</v>
      </c>
      <c r="C19" s="354" t="s">
        <v>303</v>
      </c>
      <c r="D19" s="352" t="s">
        <v>302</v>
      </c>
      <c r="E19" s="352" t="s">
        <v>93</v>
      </c>
      <c r="F19" s="352" t="s">
        <v>92</v>
      </c>
      <c r="G19" s="352" t="s">
        <v>298</v>
      </c>
      <c r="H19" s="352" t="s">
        <v>91</v>
      </c>
      <c r="I19" s="352" t="s">
        <v>90</v>
      </c>
      <c r="J19" s="352" t="s">
        <v>89</v>
      </c>
      <c r="K19" s="352" t="s">
        <v>88</v>
      </c>
      <c r="L19" s="352" t="s">
        <v>87</v>
      </c>
      <c r="M19" s="352" t="s">
        <v>86</v>
      </c>
      <c r="N19" s="352" t="s">
        <v>85</v>
      </c>
      <c r="O19" s="352" t="s">
        <v>84</v>
      </c>
      <c r="P19" s="352" t="s">
        <v>83</v>
      </c>
      <c r="Q19" s="352" t="s">
        <v>301</v>
      </c>
      <c r="R19" s="352"/>
      <c r="S19" s="356" t="s">
        <v>376</v>
      </c>
      <c r="T19" s="108"/>
      <c r="U19" s="108"/>
      <c r="V19" s="108"/>
      <c r="W19" s="108"/>
      <c r="X19" s="108"/>
      <c r="Y19" s="108"/>
    </row>
    <row r="20" spans="1:28" s="106" customFormat="1" ht="180.75" customHeight="1" x14ac:dyDescent="0.2">
      <c r="A20" s="352"/>
      <c r="B20" s="352"/>
      <c r="C20" s="355"/>
      <c r="D20" s="352"/>
      <c r="E20" s="352"/>
      <c r="F20" s="352"/>
      <c r="G20" s="352"/>
      <c r="H20" s="352"/>
      <c r="I20" s="352"/>
      <c r="J20" s="352"/>
      <c r="K20" s="352"/>
      <c r="L20" s="352"/>
      <c r="M20" s="352"/>
      <c r="N20" s="352"/>
      <c r="O20" s="352"/>
      <c r="P20" s="352"/>
      <c r="Q20" s="112" t="s">
        <v>299</v>
      </c>
      <c r="R20" s="113" t="s">
        <v>300</v>
      </c>
      <c r="S20" s="356"/>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637</v>
      </c>
      <c r="C22" s="114" t="s">
        <v>626</v>
      </c>
      <c r="D22" s="114" t="s">
        <v>620</v>
      </c>
      <c r="E22" s="114" t="s">
        <v>627</v>
      </c>
      <c r="F22" s="114" t="s">
        <v>537</v>
      </c>
      <c r="G22" s="114" t="s">
        <v>638</v>
      </c>
      <c r="H22" s="342">
        <v>0.63</v>
      </c>
      <c r="I22" s="114">
        <v>0</v>
      </c>
      <c r="J22" s="342">
        <f>H22</f>
        <v>0.63</v>
      </c>
      <c r="K22" s="114" t="s">
        <v>621</v>
      </c>
      <c r="L22" s="114">
        <v>2</v>
      </c>
      <c r="M22" s="114"/>
      <c r="N22" s="114"/>
      <c r="O22" s="114" t="s">
        <v>537</v>
      </c>
      <c r="P22" s="114" t="s">
        <v>537</v>
      </c>
      <c r="Q22" s="115" t="s">
        <v>639</v>
      </c>
      <c r="R22" s="184" t="s">
        <v>537</v>
      </c>
      <c r="S22" s="340">
        <v>6.000057</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7"/>
  <sheetViews>
    <sheetView view="pageBreakPreview" topLeftCell="A5" zoomScale="80" zoomScaleNormal="60" zoomScaleSheetLayoutView="80" workbookViewId="0">
      <selection activeCell="K36" sqref="K3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6" t="str">
        <f>'1. паспорт местоположение'!A5:C5</f>
        <v>Год раскрытия информации: 2023 год</v>
      </c>
      <c r="B6" s="346"/>
      <c r="C6" s="346"/>
      <c r="D6" s="346"/>
      <c r="E6" s="346"/>
      <c r="F6" s="346"/>
      <c r="G6" s="346"/>
      <c r="H6" s="346"/>
      <c r="I6" s="346"/>
      <c r="J6" s="346"/>
      <c r="K6" s="346"/>
      <c r="L6" s="346"/>
      <c r="M6" s="346"/>
      <c r="N6" s="346"/>
      <c r="O6" s="346"/>
      <c r="P6" s="346"/>
      <c r="Q6" s="346"/>
      <c r="R6" s="346"/>
      <c r="S6" s="346"/>
      <c r="T6" s="346"/>
    </row>
    <row r="7" spans="1:20" s="14" customFormat="1" x14ac:dyDescent="0.2">
      <c r="A7" s="105"/>
    </row>
    <row r="8" spans="1:20" s="14" customFormat="1" ht="18.75" x14ac:dyDescent="0.2">
      <c r="A8" s="353" t="s">
        <v>7</v>
      </c>
      <c r="B8" s="353"/>
      <c r="C8" s="353"/>
      <c r="D8" s="353"/>
      <c r="E8" s="353"/>
      <c r="F8" s="353"/>
      <c r="G8" s="353"/>
      <c r="H8" s="353"/>
      <c r="I8" s="353"/>
      <c r="J8" s="353"/>
      <c r="K8" s="353"/>
      <c r="L8" s="353"/>
      <c r="M8" s="353"/>
      <c r="N8" s="353"/>
      <c r="O8" s="353"/>
      <c r="P8" s="353"/>
      <c r="Q8" s="353"/>
      <c r="R8" s="353"/>
      <c r="S8" s="353"/>
      <c r="T8" s="353"/>
    </row>
    <row r="9" spans="1:20" s="14" customFormat="1" ht="18.75" x14ac:dyDescent="0.2">
      <c r="A9" s="353"/>
      <c r="B9" s="353"/>
      <c r="C9" s="353"/>
      <c r="D9" s="353"/>
      <c r="E9" s="353"/>
      <c r="F9" s="353"/>
      <c r="G9" s="353"/>
      <c r="H9" s="353"/>
      <c r="I9" s="353"/>
      <c r="J9" s="353"/>
      <c r="K9" s="353"/>
      <c r="L9" s="353"/>
      <c r="M9" s="353"/>
      <c r="N9" s="353"/>
      <c r="O9" s="353"/>
      <c r="P9" s="353"/>
      <c r="Q9" s="353"/>
      <c r="R9" s="353"/>
      <c r="S9" s="353"/>
      <c r="T9" s="353"/>
    </row>
    <row r="10" spans="1:20" s="14" customFormat="1" ht="18.75" customHeight="1" x14ac:dyDescent="0.2">
      <c r="A10" s="351" t="str">
        <f>'1. паспорт местоположение'!A9:C9</f>
        <v xml:space="preserve">Акционерное общество "Западная энергетическая компания" </v>
      </c>
      <c r="B10" s="351"/>
      <c r="C10" s="351"/>
      <c r="D10" s="351"/>
      <c r="E10" s="351"/>
      <c r="F10" s="351"/>
      <c r="G10" s="351"/>
      <c r="H10" s="351"/>
      <c r="I10" s="351"/>
      <c r="J10" s="351"/>
      <c r="K10" s="351"/>
      <c r="L10" s="351"/>
      <c r="M10" s="351"/>
      <c r="N10" s="351"/>
      <c r="O10" s="351"/>
      <c r="P10" s="351"/>
      <c r="Q10" s="351"/>
      <c r="R10" s="351"/>
      <c r="S10" s="351"/>
      <c r="T10" s="351"/>
    </row>
    <row r="11" spans="1:20" s="14" customFormat="1" ht="18.75" customHeight="1" x14ac:dyDescent="0.2">
      <c r="A11" s="357" t="s">
        <v>6</v>
      </c>
      <c r="B11" s="357"/>
      <c r="C11" s="357"/>
      <c r="D11" s="357"/>
      <c r="E11" s="357"/>
      <c r="F11" s="357"/>
      <c r="G11" s="357"/>
      <c r="H11" s="357"/>
      <c r="I11" s="357"/>
      <c r="J11" s="357"/>
      <c r="K11" s="357"/>
      <c r="L11" s="357"/>
      <c r="M11" s="357"/>
      <c r="N11" s="357"/>
      <c r="O11" s="357"/>
      <c r="P11" s="357"/>
      <c r="Q11" s="357"/>
      <c r="R11" s="357"/>
      <c r="S11" s="357"/>
      <c r="T11" s="357"/>
    </row>
    <row r="12" spans="1:20" s="14" customFormat="1" ht="18.75" x14ac:dyDescent="0.2">
      <c r="A12" s="353"/>
      <c r="B12" s="353"/>
      <c r="C12" s="353"/>
      <c r="D12" s="353"/>
      <c r="E12" s="353"/>
      <c r="F12" s="353"/>
      <c r="G12" s="353"/>
      <c r="H12" s="353"/>
      <c r="I12" s="353"/>
      <c r="J12" s="353"/>
      <c r="K12" s="353"/>
      <c r="L12" s="353"/>
      <c r="M12" s="353"/>
      <c r="N12" s="353"/>
      <c r="O12" s="353"/>
      <c r="P12" s="353"/>
      <c r="Q12" s="353"/>
      <c r="R12" s="353"/>
      <c r="S12" s="353"/>
      <c r="T12" s="353"/>
    </row>
    <row r="13" spans="1:20" s="14" customFormat="1" ht="18.75" customHeight="1" x14ac:dyDescent="0.2">
      <c r="A13" s="358" t="str">
        <f>'1. паспорт местоположение'!A12:C12</f>
        <v>L_21-15</v>
      </c>
      <c r="B13" s="358"/>
      <c r="C13" s="358"/>
      <c r="D13" s="358"/>
      <c r="E13" s="358"/>
      <c r="F13" s="358"/>
      <c r="G13" s="358"/>
      <c r="H13" s="358"/>
      <c r="I13" s="358"/>
      <c r="J13" s="358"/>
      <c r="K13" s="358"/>
      <c r="L13" s="358"/>
      <c r="M13" s="358"/>
      <c r="N13" s="358"/>
      <c r="O13" s="358"/>
      <c r="P13" s="358"/>
      <c r="Q13" s="358"/>
      <c r="R13" s="358"/>
      <c r="S13" s="358"/>
      <c r="T13" s="358"/>
    </row>
    <row r="14" spans="1:20" s="14" customFormat="1" ht="18.75" customHeight="1" x14ac:dyDescent="0.2">
      <c r="A14" s="357" t="s">
        <v>5</v>
      </c>
      <c r="B14" s="357"/>
      <c r="C14" s="357"/>
      <c r="D14" s="357"/>
      <c r="E14" s="357"/>
      <c r="F14" s="357"/>
      <c r="G14" s="357"/>
      <c r="H14" s="357"/>
      <c r="I14" s="357"/>
      <c r="J14" s="357"/>
      <c r="K14" s="357"/>
      <c r="L14" s="357"/>
      <c r="M14" s="357"/>
      <c r="N14" s="357"/>
      <c r="O14" s="357"/>
      <c r="P14" s="357"/>
      <c r="Q14" s="357"/>
      <c r="R14" s="357"/>
      <c r="S14" s="357"/>
      <c r="T14" s="357"/>
    </row>
    <row r="15" spans="1:20" s="14"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106" customFormat="1" x14ac:dyDescent="0.2">
      <c r="A16" s="351" t="str">
        <f>'1. паспорт местоположение'!A15:C15</f>
        <v>Строительство сетей электроснабжения жд г. Пионерский (Нивелир)</v>
      </c>
      <c r="B16" s="351"/>
      <c r="C16" s="351"/>
      <c r="D16" s="351"/>
      <c r="E16" s="351"/>
      <c r="F16" s="351"/>
      <c r="G16" s="351"/>
      <c r="H16" s="351"/>
      <c r="I16" s="351"/>
      <c r="J16" s="351"/>
      <c r="K16" s="351"/>
      <c r="L16" s="351"/>
      <c r="M16" s="351"/>
      <c r="N16" s="351"/>
      <c r="O16" s="351"/>
      <c r="P16" s="351"/>
      <c r="Q16" s="351"/>
      <c r="R16" s="351"/>
      <c r="S16" s="351"/>
      <c r="T16" s="351"/>
    </row>
    <row r="17" spans="1:20" s="106" customFormat="1" ht="15" customHeight="1" x14ac:dyDescent="0.2">
      <c r="A17" s="357" t="s">
        <v>4</v>
      </c>
      <c r="B17" s="357"/>
      <c r="C17" s="357"/>
      <c r="D17" s="357"/>
      <c r="E17" s="357"/>
      <c r="F17" s="357"/>
      <c r="G17" s="357"/>
      <c r="H17" s="357"/>
      <c r="I17" s="357"/>
      <c r="J17" s="357"/>
      <c r="K17" s="357"/>
      <c r="L17" s="357"/>
      <c r="M17" s="357"/>
      <c r="N17" s="357"/>
      <c r="O17" s="357"/>
      <c r="P17" s="357"/>
      <c r="Q17" s="357"/>
      <c r="R17" s="357"/>
      <c r="S17" s="357"/>
      <c r="T17" s="357"/>
    </row>
    <row r="18" spans="1:20" s="106"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20" s="106" customFormat="1" ht="15" customHeight="1" x14ac:dyDescent="0.2">
      <c r="A19" s="376" t="s">
        <v>387</v>
      </c>
      <c r="B19" s="376"/>
      <c r="C19" s="376"/>
      <c r="D19" s="376"/>
      <c r="E19" s="376"/>
      <c r="F19" s="376"/>
      <c r="G19" s="376"/>
      <c r="H19" s="376"/>
      <c r="I19" s="376"/>
      <c r="J19" s="376"/>
      <c r="K19" s="376"/>
      <c r="L19" s="376"/>
      <c r="M19" s="376"/>
      <c r="N19" s="376"/>
      <c r="O19" s="376"/>
      <c r="P19" s="376"/>
      <c r="Q19" s="376"/>
      <c r="R19" s="376"/>
      <c r="S19" s="376"/>
      <c r="T19" s="376"/>
    </row>
    <row r="20" spans="1:20" s="27"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20" ht="46.5" customHeight="1" x14ac:dyDescent="0.25">
      <c r="A21" s="370" t="s">
        <v>3</v>
      </c>
      <c r="B21" s="363" t="s">
        <v>200</v>
      </c>
      <c r="C21" s="364"/>
      <c r="D21" s="367" t="s">
        <v>116</v>
      </c>
      <c r="E21" s="363" t="s">
        <v>415</v>
      </c>
      <c r="F21" s="364"/>
      <c r="G21" s="363" t="s">
        <v>239</v>
      </c>
      <c r="H21" s="364"/>
      <c r="I21" s="363" t="s">
        <v>115</v>
      </c>
      <c r="J21" s="364"/>
      <c r="K21" s="367" t="s">
        <v>114</v>
      </c>
      <c r="L21" s="363" t="s">
        <v>113</v>
      </c>
      <c r="M21" s="364"/>
      <c r="N21" s="363" t="s">
        <v>441</v>
      </c>
      <c r="O21" s="364"/>
      <c r="P21" s="367" t="s">
        <v>112</v>
      </c>
      <c r="Q21" s="373" t="s">
        <v>111</v>
      </c>
      <c r="R21" s="374"/>
      <c r="S21" s="373" t="s">
        <v>110</v>
      </c>
      <c r="T21" s="375"/>
    </row>
    <row r="22" spans="1:20" ht="204.75" customHeight="1" x14ac:dyDescent="0.25">
      <c r="A22" s="371"/>
      <c r="B22" s="365"/>
      <c r="C22" s="366"/>
      <c r="D22" s="369"/>
      <c r="E22" s="365"/>
      <c r="F22" s="366"/>
      <c r="G22" s="365"/>
      <c r="H22" s="366"/>
      <c r="I22" s="365"/>
      <c r="J22" s="366"/>
      <c r="K22" s="368"/>
      <c r="L22" s="365"/>
      <c r="M22" s="366"/>
      <c r="N22" s="365"/>
      <c r="O22" s="366"/>
      <c r="P22" s="368"/>
      <c r="Q22" s="54" t="s">
        <v>109</v>
      </c>
      <c r="R22" s="54" t="s">
        <v>386</v>
      </c>
      <c r="S22" s="54" t="s">
        <v>108</v>
      </c>
      <c r="T22" s="54" t="s">
        <v>107</v>
      </c>
    </row>
    <row r="23" spans="1:20" ht="51.75" customHeight="1" x14ac:dyDescent="0.25">
      <c r="A23" s="372"/>
      <c r="B23" s="54" t="s">
        <v>105</v>
      </c>
      <c r="C23" s="54" t="s">
        <v>106</v>
      </c>
      <c r="D23" s="368"/>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30" customFormat="1" ht="47.25" x14ac:dyDescent="0.2">
      <c r="A25" s="93" t="s">
        <v>624</v>
      </c>
      <c r="B25" s="93"/>
      <c r="C25" s="93" t="s">
        <v>640</v>
      </c>
      <c r="D25" s="93" t="s">
        <v>611</v>
      </c>
      <c r="E25" s="326"/>
      <c r="F25" s="326" t="s">
        <v>641</v>
      </c>
      <c r="G25" s="326"/>
      <c r="H25" s="326" t="s">
        <v>642</v>
      </c>
      <c r="I25" s="326"/>
      <c r="J25" s="326" t="s">
        <v>614</v>
      </c>
      <c r="K25" s="326" t="s">
        <v>614</v>
      </c>
      <c r="L25" s="326"/>
      <c r="M25" s="325" t="s">
        <v>643</v>
      </c>
      <c r="N25" s="326"/>
      <c r="O25" s="326"/>
      <c r="P25" s="326"/>
      <c r="Q25" s="326"/>
      <c r="R25" s="326"/>
      <c r="S25" s="326"/>
      <c r="T25" s="326"/>
    </row>
    <row r="26" spans="1:20" s="30" customFormat="1" ht="47.25" x14ac:dyDescent="0.2">
      <c r="A26" s="93"/>
      <c r="B26" s="93"/>
      <c r="C26" s="93"/>
      <c r="D26" s="93" t="s">
        <v>644</v>
      </c>
      <c r="E26" s="326"/>
      <c r="F26" s="326" t="s">
        <v>645</v>
      </c>
      <c r="G26" s="326"/>
      <c r="H26" s="326" t="s">
        <v>646</v>
      </c>
      <c r="I26" s="326"/>
      <c r="J26" s="326">
        <v>2021</v>
      </c>
      <c r="K26" s="326">
        <v>2021</v>
      </c>
      <c r="L26" s="326"/>
      <c r="M26" s="325" t="s">
        <v>647</v>
      </c>
      <c r="N26" s="326"/>
      <c r="O26" s="326"/>
      <c r="P26" s="326"/>
      <c r="Q26" s="326"/>
      <c r="R26" s="326"/>
      <c r="S26" s="326"/>
      <c r="T26" s="326"/>
    </row>
    <row r="27" spans="1:20" s="30" customFormat="1" x14ac:dyDescent="0.2">
      <c r="A27" s="93"/>
      <c r="B27" s="93"/>
      <c r="C27" s="93"/>
      <c r="D27" s="93" t="s">
        <v>648</v>
      </c>
      <c r="E27" s="326"/>
      <c r="F27" s="326" t="s">
        <v>651</v>
      </c>
      <c r="G27" s="326"/>
      <c r="H27" s="326" t="s">
        <v>649</v>
      </c>
      <c r="I27" s="326"/>
      <c r="J27" s="326">
        <v>2021</v>
      </c>
      <c r="K27" s="326">
        <v>2021</v>
      </c>
      <c r="L27" s="326"/>
      <c r="M27" s="325" t="s">
        <v>368</v>
      </c>
      <c r="N27" s="326"/>
      <c r="O27" s="326">
        <v>0.63</v>
      </c>
      <c r="P27" s="326"/>
      <c r="Q27" s="326"/>
      <c r="R27" s="326"/>
      <c r="S27" s="326"/>
      <c r="T27" s="326"/>
    </row>
    <row r="28" spans="1:20" s="30" customFormat="1" x14ac:dyDescent="0.2">
      <c r="A28" s="93"/>
      <c r="B28" s="93"/>
      <c r="C28" s="93"/>
      <c r="D28" s="93" t="s">
        <v>648</v>
      </c>
      <c r="E28" s="326"/>
      <c r="F28" s="326" t="s">
        <v>651</v>
      </c>
      <c r="G28" s="326"/>
      <c r="H28" s="326" t="s">
        <v>650</v>
      </c>
      <c r="I28" s="326"/>
      <c r="J28" s="326">
        <v>2021</v>
      </c>
      <c r="K28" s="326">
        <v>2021</v>
      </c>
      <c r="L28" s="326"/>
      <c r="M28" s="325" t="s">
        <v>368</v>
      </c>
      <c r="N28" s="326"/>
      <c r="O28" s="326">
        <v>0.63</v>
      </c>
      <c r="P28" s="326"/>
      <c r="Q28" s="326"/>
      <c r="R28" s="326"/>
      <c r="S28" s="326"/>
      <c r="T28" s="326"/>
    </row>
    <row r="29" spans="1:20" s="30" customFormat="1" ht="12.75" x14ac:dyDescent="0.2"/>
    <row r="30" spans="1:20" s="30" customFormat="1" ht="12.75" x14ac:dyDescent="0.2"/>
    <row r="31" spans="1:20" s="30" customFormat="1" ht="12.75" x14ac:dyDescent="0.2"/>
    <row r="32" spans="1:20" s="30" customFormat="1" ht="12.75" x14ac:dyDescent="0.2"/>
    <row r="33" spans="2:113" s="30" customFormat="1" ht="12.75" x14ac:dyDescent="0.2"/>
    <row r="34" spans="2:113" s="30" customFormat="1" ht="12.75" x14ac:dyDescent="0.2"/>
    <row r="35" spans="2:113" s="30" customFormat="1" ht="12.75" x14ac:dyDescent="0.2"/>
    <row r="36" spans="2:113" s="30" customFormat="1" ht="12.75" x14ac:dyDescent="0.2"/>
    <row r="37" spans="2:113" s="30" customFormat="1" ht="12.75" x14ac:dyDescent="0.2"/>
    <row r="38" spans="2:113" s="30" customFormat="1" ht="12.75" x14ac:dyDescent="0.2"/>
    <row r="39" spans="2:113" s="30" customFormat="1" ht="12.75" x14ac:dyDescent="0.2"/>
    <row r="40" spans="2:113" s="30" customFormat="1" ht="12.75" x14ac:dyDescent="0.2"/>
    <row r="41" spans="2:113" s="30" customFormat="1" ht="12.75" x14ac:dyDescent="0.2"/>
    <row r="42" spans="2:113" s="30" customFormat="1" ht="12.75" x14ac:dyDescent="0.2"/>
    <row r="43" spans="2:113" s="30" customFormat="1" x14ac:dyDescent="0.25">
      <c r="B43" s="26" t="s">
        <v>104</v>
      </c>
      <c r="C43" s="26"/>
      <c r="D43" s="26"/>
      <c r="E43" s="26"/>
      <c r="F43" s="26"/>
      <c r="G43" s="26"/>
      <c r="H43" s="26"/>
      <c r="I43" s="26"/>
      <c r="J43" s="26"/>
      <c r="K43" s="26"/>
      <c r="L43" s="26"/>
      <c r="M43" s="26"/>
      <c r="N43" s="26"/>
      <c r="O43" s="26"/>
      <c r="P43" s="26"/>
      <c r="Q43" s="26"/>
      <c r="R43" s="26"/>
    </row>
    <row r="44" spans="2:113" x14ac:dyDescent="0.25">
      <c r="B44" s="362" t="s">
        <v>421</v>
      </c>
      <c r="C44" s="362"/>
      <c r="D44" s="362"/>
      <c r="E44" s="362"/>
      <c r="F44" s="362"/>
      <c r="G44" s="362"/>
      <c r="H44" s="362"/>
      <c r="I44" s="362"/>
      <c r="J44" s="362"/>
      <c r="K44" s="362"/>
      <c r="L44" s="362"/>
      <c r="M44" s="362"/>
      <c r="N44" s="362"/>
      <c r="O44" s="362"/>
      <c r="P44" s="362"/>
      <c r="Q44" s="362"/>
      <c r="R44" s="362"/>
    </row>
    <row r="45" spans="2:113" x14ac:dyDescent="0.25">
      <c r="F45" s="26" t="s">
        <v>611</v>
      </c>
    </row>
    <row r="46" spans="2:113" x14ac:dyDescent="0.25">
      <c r="B46" s="28" t="s">
        <v>385</v>
      </c>
      <c r="C46" s="28"/>
      <c r="D46" s="28"/>
      <c r="E46" s="28"/>
      <c r="H46" s="28"/>
      <c r="I46" s="28"/>
      <c r="J46" s="28"/>
      <c r="K46" s="28"/>
      <c r="L46" s="28"/>
      <c r="M46" s="28"/>
      <c r="N46" s="28"/>
      <c r="O46" s="28"/>
      <c r="P46" s="28"/>
      <c r="Q46" s="28"/>
      <c r="R46" s="28"/>
      <c r="S46" s="29"/>
      <c r="T46" s="29"/>
      <c r="U46" s="29"/>
      <c r="V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row>
    <row r="47" spans="2:113" x14ac:dyDescent="0.25">
      <c r="B47" s="28" t="s">
        <v>103</v>
      </c>
      <c r="C47" s="28"/>
      <c r="D47" s="28"/>
      <c r="E47" s="28"/>
      <c r="H47" s="28"/>
      <c r="I47" s="28"/>
      <c r="J47" s="28"/>
      <c r="K47" s="28"/>
      <c r="L47" s="28"/>
      <c r="M47" s="28"/>
      <c r="N47" s="28"/>
      <c r="O47" s="28"/>
      <c r="P47" s="28"/>
      <c r="Q47" s="28"/>
      <c r="R47" s="28"/>
    </row>
    <row r="48" spans="2:113" x14ac:dyDescent="0.25">
      <c r="B48" s="28" t="s">
        <v>102</v>
      </c>
      <c r="C48" s="28"/>
      <c r="D48" s="28"/>
      <c r="E48" s="28"/>
      <c r="H48" s="28"/>
      <c r="I48" s="28"/>
      <c r="J48" s="28"/>
      <c r="K48" s="28"/>
      <c r="L48" s="28"/>
      <c r="M48" s="28"/>
      <c r="N48" s="28"/>
      <c r="O48" s="28"/>
      <c r="P48" s="28"/>
      <c r="Q48" s="28"/>
      <c r="R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c r="CJ48" s="27"/>
      <c r="CK48" s="27"/>
      <c r="CL48" s="27"/>
      <c r="CM48" s="27"/>
      <c r="CN48" s="27"/>
      <c r="CO48" s="27"/>
      <c r="CP48" s="27"/>
      <c r="CQ48" s="27"/>
      <c r="CR48" s="27"/>
      <c r="CS48" s="27"/>
      <c r="CT48" s="27"/>
      <c r="CU48" s="27"/>
      <c r="CV48" s="27"/>
      <c r="CW48" s="27"/>
      <c r="CX48" s="27"/>
      <c r="CY48" s="27"/>
      <c r="CZ48" s="27"/>
      <c r="DA48" s="27"/>
      <c r="DB48" s="27"/>
      <c r="DC48" s="27"/>
      <c r="DD48" s="27"/>
      <c r="DE48" s="27"/>
      <c r="DF48" s="27"/>
      <c r="DG48" s="27"/>
      <c r="DH48" s="27"/>
      <c r="DI48" s="27"/>
    </row>
    <row r="49" spans="2:113" x14ac:dyDescent="0.25">
      <c r="B49" s="28" t="s">
        <v>101</v>
      </c>
      <c r="C49" s="28"/>
      <c r="D49" s="28"/>
      <c r="E49" s="28"/>
      <c r="H49" s="28"/>
      <c r="I49" s="28"/>
      <c r="J49" s="28"/>
      <c r="K49" s="28"/>
      <c r="L49" s="28"/>
      <c r="M49" s="28"/>
      <c r="N49" s="28"/>
      <c r="O49" s="28"/>
      <c r="P49" s="28"/>
      <c r="Q49" s="28"/>
      <c r="R49" s="28"/>
      <c r="S49" s="28"/>
      <c r="T49" s="28"/>
      <c r="U49" s="28"/>
      <c r="V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row>
    <row r="50" spans="2:113" x14ac:dyDescent="0.25">
      <c r="B50" s="28" t="s">
        <v>100</v>
      </c>
      <c r="C50" s="28"/>
      <c r="D50" s="28"/>
      <c r="E50" s="28"/>
      <c r="H50" s="28"/>
      <c r="I50" s="28"/>
      <c r="J50" s="28"/>
      <c r="K50" s="28"/>
      <c r="L50" s="28"/>
      <c r="M50" s="28"/>
      <c r="N50" s="28"/>
      <c r="O50" s="28"/>
      <c r="P50" s="28"/>
      <c r="Q50" s="28"/>
      <c r="R50" s="28"/>
      <c r="S50" s="28"/>
      <c r="T50" s="28"/>
      <c r="U50" s="28"/>
      <c r="V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row>
    <row r="51" spans="2:113" x14ac:dyDescent="0.25">
      <c r="B51" s="28" t="s">
        <v>99</v>
      </c>
      <c r="C51" s="28"/>
      <c r="D51" s="28"/>
      <c r="E51" s="28"/>
      <c r="H51" s="28"/>
      <c r="I51" s="28"/>
      <c r="J51" s="28"/>
      <c r="K51" s="28"/>
      <c r="L51" s="28"/>
      <c r="M51" s="28"/>
      <c r="N51" s="28"/>
      <c r="O51" s="28"/>
      <c r="P51" s="28"/>
      <c r="Q51" s="28"/>
      <c r="R51" s="28"/>
      <c r="S51" s="28"/>
      <c r="T51" s="28"/>
      <c r="U51" s="28"/>
      <c r="V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row>
    <row r="52" spans="2:113" x14ac:dyDescent="0.25">
      <c r="B52" s="28" t="s">
        <v>98</v>
      </c>
      <c r="C52" s="28"/>
      <c r="D52" s="28"/>
      <c r="E52" s="28"/>
      <c r="H52" s="28"/>
      <c r="I52" s="28"/>
      <c r="J52" s="28"/>
      <c r="K52" s="28"/>
      <c r="L52" s="28"/>
      <c r="M52" s="28"/>
      <c r="N52" s="28"/>
      <c r="O52" s="28"/>
      <c r="P52" s="28"/>
      <c r="Q52" s="28"/>
      <c r="R52" s="28"/>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row>
    <row r="53" spans="2:113" x14ac:dyDescent="0.25">
      <c r="B53" s="28" t="s">
        <v>97</v>
      </c>
      <c r="C53" s="28"/>
      <c r="D53" s="28"/>
      <c r="E53" s="28"/>
      <c r="H53" s="28"/>
      <c r="I53" s="28"/>
      <c r="J53" s="28"/>
      <c r="K53" s="28"/>
      <c r="L53" s="28"/>
      <c r="M53" s="28"/>
      <c r="N53" s="28"/>
      <c r="O53" s="28"/>
      <c r="P53" s="28"/>
      <c r="Q53" s="28"/>
      <c r="R53" s="28"/>
      <c r="S53" s="28"/>
      <c r="T53" s="28"/>
      <c r="U53" s="28"/>
      <c r="V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96</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95</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4:R44"/>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0" zoomScale="80" zoomScaleSheetLayoutView="80" workbookViewId="0">
      <selection activeCell="X26" sqref="X2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6" t="str">
        <f>'1. паспорт местоположение'!A5:C5</f>
        <v>Год раскрытия информации: 2023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3" t="s">
        <v>7</v>
      </c>
      <c r="F7" s="353"/>
      <c r="G7" s="353"/>
      <c r="H7" s="353"/>
      <c r="I7" s="353"/>
      <c r="J7" s="353"/>
      <c r="K7" s="353"/>
      <c r="L7" s="353"/>
      <c r="M7" s="353"/>
      <c r="N7" s="353"/>
      <c r="O7" s="353"/>
      <c r="P7" s="353"/>
      <c r="Q7" s="353"/>
      <c r="R7" s="353"/>
      <c r="S7" s="353"/>
      <c r="T7" s="353"/>
      <c r="U7" s="353"/>
      <c r="V7" s="353"/>
      <c r="W7" s="353"/>
      <c r="X7" s="353"/>
      <c r="Y7" s="353"/>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1" t="str">
        <f>'1. паспорт местоположение'!A9</f>
        <v xml:space="preserve">Акционерное общество "Западная энергетическая компания" </v>
      </c>
      <c r="F9" s="351"/>
      <c r="G9" s="351"/>
      <c r="H9" s="351"/>
      <c r="I9" s="351"/>
      <c r="J9" s="351"/>
      <c r="K9" s="351"/>
      <c r="L9" s="351"/>
      <c r="M9" s="351"/>
      <c r="N9" s="351"/>
      <c r="O9" s="351"/>
      <c r="P9" s="351"/>
      <c r="Q9" s="351"/>
      <c r="R9" s="351"/>
      <c r="S9" s="351"/>
      <c r="T9" s="351"/>
      <c r="U9" s="351"/>
      <c r="V9" s="351"/>
      <c r="W9" s="351"/>
      <c r="X9" s="351"/>
      <c r="Y9" s="351"/>
    </row>
    <row r="10" spans="1:27" s="14" customFormat="1" ht="18.75" customHeight="1" x14ac:dyDescent="0.2">
      <c r="E10" s="357" t="s">
        <v>6</v>
      </c>
      <c r="F10" s="357"/>
      <c r="G10" s="357"/>
      <c r="H10" s="357"/>
      <c r="I10" s="357"/>
      <c r="J10" s="357"/>
      <c r="K10" s="357"/>
      <c r="L10" s="357"/>
      <c r="M10" s="357"/>
      <c r="N10" s="357"/>
      <c r="O10" s="357"/>
      <c r="P10" s="357"/>
      <c r="Q10" s="357"/>
      <c r="R10" s="357"/>
      <c r="S10" s="357"/>
      <c r="T10" s="357"/>
      <c r="U10" s="357"/>
      <c r="V10" s="357"/>
      <c r="W10" s="357"/>
      <c r="X10" s="357"/>
      <c r="Y10" s="357"/>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1" t="str">
        <f>'1. паспорт местоположение'!A12</f>
        <v>L_21-15</v>
      </c>
      <c r="F12" s="351"/>
      <c r="G12" s="351"/>
      <c r="H12" s="351"/>
      <c r="I12" s="351"/>
      <c r="J12" s="351"/>
      <c r="K12" s="351"/>
      <c r="L12" s="351"/>
      <c r="M12" s="351"/>
      <c r="N12" s="351"/>
      <c r="O12" s="351"/>
      <c r="P12" s="351"/>
      <c r="Q12" s="351"/>
      <c r="R12" s="351"/>
      <c r="S12" s="351"/>
      <c r="T12" s="351"/>
      <c r="U12" s="351"/>
      <c r="V12" s="351"/>
      <c r="W12" s="351"/>
      <c r="X12" s="351"/>
      <c r="Y12" s="351"/>
    </row>
    <row r="13" spans="1:27" s="14" customFormat="1" ht="18.75" customHeight="1" x14ac:dyDescent="0.2">
      <c r="E13" s="357" t="s">
        <v>5</v>
      </c>
      <c r="F13" s="357"/>
      <c r="G13" s="357"/>
      <c r="H13" s="357"/>
      <c r="I13" s="357"/>
      <c r="J13" s="357"/>
      <c r="K13" s="357"/>
      <c r="L13" s="357"/>
      <c r="M13" s="357"/>
      <c r="N13" s="357"/>
      <c r="O13" s="357"/>
      <c r="P13" s="357"/>
      <c r="Q13" s="357"/>
      <c r="R13" s="357"/>
      <c r="S13" s="357"/>
      <c r="T13" s="357"/>
      <c r="U13" s="357"/>
      <c r="V13" s="357"/>
      <c r="W13" s="357"/>
      <c r="X13" s="357"/>
      <c r="Y13" s="357"/>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1" t="str">
        <f>'1. паспорт местоположение'!A15</f>
        <v>Строительство сетей электроснабжения жд г. Пионерский (Нивелир)</v>
      </c>
      <c r="F15" s="351"/>
      <c r="G15" s="351"/>
      <c r="H15" s="351"/>
      <c r="I15" s="351"/>
      <c r="J15" s="351"/>
      <c r="K15" s="351"/>
      <c r="L15" s="351"/>
      <c r="M15" s="351"/>
      <c r="N15" s="351"/>
      <c r="O15" s="351"/>
      <c r="P15" s="351"/>
      <c r="Q15" s="351"/>
      <c r="R15" s="351"/>
      <c r="S15" s="351"/>
      <c r="T15" s="351"/>
      <c r="U15" s="351"/>
      <c r="V15" s="351"/>
      <c r="W15" s="351"/>
      <c r="X15" s="351"/>
      <c r="Y15" s="351"/>
    </row>
    <row r="16" spans="1:27" s="106" customFormat="1" ht="15" customHeight="1" x14ac:dyDescent="0.2">
      <c r="E16" s="357" t="s">
        <v>4</v>
      </c>
      <c r="F16" s="357"/>
      <c r="G16" s="357"/>
      <c r="H16" s="357"/>
      <c r="I16" s="357"/>
      <c r="J16" s="357"/>
      <c r="K16" s="357"/>
      <c r="L16" s="357"/>
      <c r="M16" s="357"/>
      <c r="N16" s="357"/>
      <c r="O16" s="357"/>
      <c r="P16" s="357"/>
      <c r="Q16" s="357"/>
      <c r="R16" s="357"/>
      <c r="S16" s="357"/>
      <c r="T16" s="357"/>
      <c r="U16" s="357"/>
      <c r="V16" s="357"/>
      <c r="W16" s="357"/>
      <c r="X16" s="357"/>
      <c r="Y16" s="357"/>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389</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27" customFormat="1" ht="21" customHeight="1" x14ac:dyDescent="0.25"/>
    <row r="21" spans="1:27" ht="15.75" customHeight="1" x14ac:dyDescent="0.25">
      <c r="A21" s="367" t="s">
        <v>3</v>
      </c>
      <c r="B21" s="363" t="s">
        <v>396</v>
      </c>
      <c r="C21" s="364"/>
      <c r="D21" s="363" t="s">
        <v>398</v>
      </c>
      <c r="E21" s="364"/>
      <c r="F21" s="373" t="s">
        <v>88</v>
      </c>
      <c r="G21" s="375"/>
      <c r="H21" s="375"/>
      <c r="I21" s="374"/>
      <c r="J21" s="367" t="s">
        <v>399</v>
      </c>
      <c r="K21" s="363" t="s">
        <v>400</v>
      </c>
      <c r="L21" s="364"/>
      <c r="M21" s="363" t="s">
        <v>401</v>
      </c>
      <c r="N21" s="364"/>
      <c r="O21" s="363" t="s">
        <v>388</v>
      </c>
      <c r="P21" s="364"/>
      <c r="Q21" s="363" t="s">
        <v>121</v>
      </c>
      <c r="R21" s="364"/>
      <c r="S21" s="367" t="s">
        <v>120</v>
      </c>
      <c r="T21" s="367" t="s">
        <v>402</v>
      </c>
      <c r="U21" s="367" t="s">
        <v>397</v>
      </c>
      <c r="V21" s="363" t="s">
        <v>119</v>
      </c>
      <c r="W21" s="364"/>
      <c r="X21" s="373" t="s">
        <v>111</v>
      </c>
      <c r="Y21" s="375"/>
      <c r="Z21" s="373" t="s">
        <v>110</v>
      </c>
      <c r="AA21" s="375"/>
    </row>
    <row r="22" spans="1:27" ht="216" customHeight="1" x14ac:dyDescent="0.25">
      <c r="A22" s="369"/>
      <c r="B22" s="365"/>
      <c r="C22" s="366"/>
      <c r="D22" s="365"/>
      <c r="E22" s="366"/>
      <c r="F22" s="373" t="s">
        <v>118</v>
      </c>
      <c r="G22" s="374"/>
      <c r="H22" s="373" t="s">
        <v>117</v>
      </c>
      <c r="I22" s="374"/>
      <c r="J22" s="368"/>
      <c r="K22" s="365"/>
      <c r="L22" s="366"/>
      <c r="M22" s="365"/>
      <c r="N22" s="366"/>
      <c r="O22" s="365"/>
      <c r="P22" s="366"/>
      <c r="Q22" s="365"/>
      <c r="R22" s="366"/>
      <c r="S22" s="368"/>
      <c r="T22" s="368"/>
      <c r="U22" s="368"/>
      <c r="V22" s="365"/>
      <c r="W22" s="366"/>
      <c r="X22" s="54" t="s">
        <v>109</v>
      </c>
      <c r="Y22" s="54" t="s">
        <v>386</v>
      </c>
      <c r="Z22" s="54" t="s">
        <v>108</v>
      </c>
      <c r="AA22" s="54" t="s">
        <v>107</v>
      </c>
    </row>
    <row r="23" spans="1:27" ht="60" customHeight="1" x14ac:dyDescent="0.25">
      <c r="A23" s="368"/>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622</v>
      </c>
      <c r="D25" s="93" t="s">
        <v>297</v>
      </c>
      <c r="E25" s="93" t="s">
        <v>537</v>
      </c>
      <c r="F25" s="93" t="s">
        <v>537</v>
      </c>
      <c r="G25" s="93">
        <v>15</v>
      </c>
      <c r="H25" s="93" t="s">
        <v>537</v>
      </c>
      <c r="I25" s="93">
        <v>15</v>
      </c>
      <c r="J25" s="93"/>
      <c r="K25" s="93" t="s">
        <v>537</v>
      </c>
      <c r="L25" s="93" t="s">
        <v>537</v>
      </c>
      <c r="M25" s="93" t="s">
        <v>537</v>
      </c>
      <c r="N25" s="93" t="s">
        <v>632</v>
      </c>
      <c r="O25" s="93" t="s">
        <v>537</v>
      </c>
      <c r="P25" s="93" t="s">
        <v>585</v>
      </c>
      <c r="Q25" s="93" t="s">
        <v>537</v>
      </c>
      <c r="R25" s="93">
        <v>0.14000000000000001</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t="s">
        <v>625</v>
      </c>
      <c r="D26" s="93"/>
      <c r="E26" s="93" t="s">
        <v>537</v>
      </c>
      <c r="F26" s="93" t="s">
        <v>537</v>
      </c>
      <c r="G26" s="93">
        <v>15</v>
      </c>
      <c r="H26" s="93" t="s">
        <v>537</v>
      </c>
      <c r="I26" s="93">
        <v>15</v>
      </c>
      <c r="J26" s="93"/>
      <c r="K26" s="93" t="s">
        <v>537</v>
      </c>
      <c r="L26" s="93" t="s">
        <v>537</v>
      </c>
      <c r="M26" s="93" t="s">
        <v>537</v>
      </c>
      <c r="N26" s="93" t="s">
        <v>632</v>
      </c>
      <c r="O26" s="93" t="s">
        <v>537</v>
      </c>
      <c r="P26" s="93" t="s">
        <v>585</v>
      </c>
      <c r="Q26" s="93" t="s">
        <v>537</v>
      </c>
      <c r="R26" s="93">
        <v>0.14000000000000001</v>
      </c>
      <c r="S26" s="93"/>
      <c r="T26" s="93"/>
      <c r="U26" s="93"/>
      <c r="V26" s="93"/>
      <c r="W26" s="93"/>
      <c r="X26" s="93"/>
      <c r="Y26" s="93"/>
      <c r="Z26" s="93"/>
      <c r="AA26" s="93"/>
    </row>
    <row r="27" spans="1:27" ht="30" customHeight="1" x14ac:dyDescent="0.25">
      <c r="A27" s="93"/>
      <c r="B27" s="93"/>
      <c r="C27" s="93" t="s">
        <v>652</v>
      </c>
      <c r="D27" s="93"/>
      <c r="E27" s="93" t="s">
        <v>537</v>
      </c>
      <c r="F27" s="93" t="s">
        <v>537</v>
      </c>
      <c r="G27" s="93">
        <v>15</v>
      </c>
      <c r="H27" s="93" t="s">
        <v>537</v>
      </c>
      <c r="I27" s="93">
        <v>15</v>
      </c>
      <c r="J27" s="93"/>
      <c r="K27" s="93" t="s">
        <v>537</v>
      </c>
      <c r="L27" s="93" t="s">
        <v>537</v>
      </c>
      <c r="M27" s="93" t="s">
        <v>537</v>
      </c>
      <c r="N27" s="93" t="s">
        <v>632</v>
      </c>
      <c r="O27" s="93" t="s">
        <v>537</v>
      </c>
      <c r="P27" s="93" t="s">
        <v>585</v>
      </c>
      <c r="Q27" s="93" t="s">
        <v>537</v>
      </c>
      <c r="R27" s="93">
        <v>0.14000000000000001</v>
      </c>
      <c r="S27" s="93"/>
      <c r="T27" s="93"/>
      <c r="U27" s="93"/>
      <c r="V27" s="93"/>
      <c r="W27" s="93"/>
      <c r="X27" s="93"/>
      <c r="Y27" s="93"/>
      <c r="Z27" s="93"/>
      <c r="AA27" s="93"/>
    </row>
    <row r="28" spans="1:27" s="30" customFormat="1" x14ac:dyDescent="0.2">
      <c r="A28" s="93"/>
      <c r="B28" s="93"/>
      <c r="C28" s="93" t="s">
        <v>653</v>
      </c>
      <c r="D28" s="93"/>
      <c r="E28" s="93" t="s">
        <v>537</v>
      </c>
      <c r="F28" s="93" t="s">
        <v>537</v>
      </c>
      <c r="G28" s="93">
        <v>15</v>
      </c>
      <c r="H28" s="93" t="s">
        <v>537</v>
      </c>
      <c r="I28" s="93">
        <v>15</v>
      </c>
      <c r="J28" s="93"/>
      <c r="K28" s="93" t="s">
        <v>537</v>
      </c>
      <c r="L28" s="93" t="s">
        <v>537</v>
      </c>
      <c r="M28" s="93" t="s">
        <v>537</v>
      </c>
      <c r="N28" s="93" t="s">
        <v>632</v>
      </c>
      <c r="O28" s="93" t="s">
        <v>537</v>
      </c>
      <c r="P28" s="93" t="s">
        <v>585</v>
      </c>
      <c r="Q28" s="93" t="s">
        <v>537</v>
      </c>
      <c r="R28" s="93">
        <v>0.14000000000000001</v>
      </c>
      <c r="S28" s="93"/>
      <c r="T28" s="93"/>
      <c r="U28" s="93"/>
      <c r="V28" s="93"/>
      <c r="W28" s="93"/>
      <c r="X28" s="93"/>
      <c r="Y28" s="93"/>
      <c r="Z28" s="93"/>
      <c r="AA28" s="9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C28" sqref="C28"/>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6" t="str">
        <f>'1. паспорт местоположение'!A5:C5</f>
        <v>Год раскрытия информации: 2023 год</v>
      </c>
      <c r="B5" s="346"/>
      <c r="C5" s="346"/>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3" t="s">
        <v>7</v>
      </c>
      <c r="B7" s="353"/>
      <c r="C7" s="353"/>
      <c r="D7" s="107"/>
      <c r="E7" s="107"/>
      <c r="F7" s="107"/>
      <c r="G7" s="107"/>
      <c r="H7" s="107"/>
      <c r="I7" s="107"/>
      <c r="J7" s="107"/>
      <c r="K7" s="107"/>
      <c r="L7" s="107"/>
      <c r="M7" s="107"/>
      <c r="N7" s="107"/>
      <c r="O7" s="107"/>
      <c r="P7" s="107"/>
      <c r="Q7" s="107"/>
      <c r="R7" s="107"/>
      <c r="S7" s="107"/>
      <c r="T7" s="107"/>
      <c r="U7" s="107"/>
    </row>
    <row r="8" spans="1:29" s="14" customFormat="1" ht="18.75" x14ac:dyDescent="0.2">
      <c r="A8" s="353"/>
      <c r="B8" s="353"/>
      <c r="C8" s="353"/>
      <c r="D8" s="118"/>
      <c r="E8" s="118"/>
      <c r="F8" s="118"/>
      <c r="G8" s="118"/>
      <c r="H8" s="107"/>
      <c r="I8" s="107"/>
      <c r="J8" s="107"/>
      <c r="K8" s="107"/>
      <c r="L8" s="107"/>
      <c r="M8" s="107"/>
      <c r="N8" s="107"/>
      <c r="O8" s="107"/>
      <c r="P8" s="107"/>
      <c r="Q8" s="107"/>
      <c r="R8" s="107"/>
      <c r="S8" s="107"/>
      <c r="T8" s="107"/>
      <c r="U8" s="107"/>
    </row>
    <row r="9" spans="1:29" s="14" customFormat="1" ht="18.75" x14ac:dyDescent="0.2">
      <c r="A9" s="351" t="str">
        <f>'1. паспорт местоположение'!A9:C9</f>
        <v xml:space="preserve">Акционерное общество "Западная энергетическая компания" </v>
      </c>
      <c r="B9" s="351"/>
      <c r="C9" s="351"/>
      <c r="D9" s="109"/>
      <c r="E9" s="109"/>
      <c r="F9" s="109"/>
      <c r="G9" s="109"/>
      <c r="H9" s="107"/>
      <c r="I9" s="107"/>
      <c r="J9" s="107"/>
      <c r="K9" s="107"/>
      <c r="L9" s="107"/>
      <c r="M9" s="107"/>
      <c r="N9" s="107"/>
      <c r="O9" s="107"/>
      <c r="P9" s="107"/>
      <c r="Q9" s="107"/>
      <c r="R9" s="107"/>
      <c r="S9" s="107"/>
      <c r="T9" s="107"/>
      <c r="U9" s="107"/>
    </row>
    <row r="10" spans="1:29" s="14" customFormat="1" ht="18.75" x14ac:dyDescent="0.2">
      <c r="A10" s="357" t="s">
        <v>6</v>
      </c>
      <c r="B10" s="357"/>
      <c r="C10" s="357"/>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3"/>
      <c r="B11" s="353"/>
      <c r="C11" s="353"/>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1" t="str">
        <f>'1. паспорт местоположение'!A12:C12</f>
        <v>L_21-15</v>
      </c>
      <c r="B12" s="351"/>
      <c r="C12" s="351"/>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7" t="s">
        <v>5</v>
      </c>
      <c r="B13" s="357"/>
      <c r="C13" s="357"/>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9"/>
      <c r="B14" s="359"/>
      <c r="C14" s="359"/>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78" t="str">
        <f>'1. паспорт местоположение'!A15:C15</f>
        <v>Строительство сетей электроснабжения жд г. Пионерский (Нивелир)</v>
      </c>
      <c r="B15" s="378"/>
      <c r="C15" s="378"/>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7" t="s">
        <v>4</v>
      </c>
      <c r="B16" s="357"/>
      <c r="C16" s="357"/>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9"/>
      <c r="B17" s="359"/>
      <c r="C17" s="359"/>
      <c r="D17" s="108"/>
      <c r="E17" s="108"/>
      <c r="F17" s="108"/>
      <c r="G17" s="108"/>
      <c r="H17" s="108"/>
      <c r="I17" s="108"/>
      <c r="J17" s="108"/>
      <c r="K17" s="108"/>
      <c r="L17" s="108"/>
      <c r="M17" s="108"/>
      <c r="N17" s="108"/>
      <c r="O17" s="108"/>
      <c r="P17" s="108"/>
      <c r="Q17" s="108"/>
      <c r="R17" s="108"/>
    </row>
    <row r="18" spans="1:21" s="106" customFormat="1" ht="27.75" customHeight="1" x14ac:dyDescent="0.2">
      <c r="A18" s="360" t="s">
        <v>381</v>
      </c>
      <c r="B18" s="360"/>
      <c r="C18" s="360"/>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сетей электроснабжения жд г. Пионерский (Нивелир)</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655</v>
      </c>
    </row>
    <row r="24" spans="1:21" ht="89.25" customHeight="1" x14ac:dyDescent="0.25">
      <c r="A24" s="120" t="s">
        <v>60</v>
      </c>
      <c r="B24" s="121" t="s">
        <v>413</v>
      </c>
      <c r="C24" s="122" t="s">
        <v>654</v>
      </c>
    </row>
    <row r="25" spans="1:21" ht="63" customHeight="1" x14ac:dyDescent="0.25">
      <c r="A25" s="120" t="s">
        <v>59</v>
      </c>
      <c r="B25" s="121" t="s">
        <v>414</v>
      </c>
      <c r="C25" s="330"/>
    </row>
    <row r="26" spans="1:21" ht="42.75" customHeight="1" x14ac:dyDescent="0.25">
      <c r="A26" s="120" t="s">
        <v>57</v>
      </c>
      <c r="B26" s="121" t="s">
        <v>208</v>
      </c>
      <c r="C26" s="119" t="s">
        <v>436</v>
      </c>
    </row>
    <row r="27" spans="1:21" ht="31.5" x14ac:dyDescent="0.25">
      <c r="A27" s="120" t="s">
        <v>56</v>
      </c>
      <c r="B27" s="121" t="s">
        <v>395</v>
      </c>
      <c r="C27" s="119" t="s">
        <v>628</v>
      </c>
    </row>
    <row r="28" spans="1:21" ht="42.75" customHeight="1" x14ac:dyDescent="0.25">
      <c r="A28" s="120" t="s">
        <v>54</v>
      </c>
      <c r="B28" s="121" t="s">
        <v>55</v>
      </c>
      <c r="C28" s="122">
        <v>2021</v>
      </c>
    </row>
    <row r="29" spans="1:21" ht="42.75" customHeight="1" x14ac:dyDescent="0.25">
      <c r="A29" s="120" t="s">
        <v>52</v>
      </c>
      <c r="B29" s="119" t="s">
        <v>53</v>
      </c>
      <c r="C29" s="122">
        <v>2022</v>
      </c>
    </row>
    <row r="30" spans="1:21" ht="42.75" customHeight="1" x14ac:dyDescent="0.25">
      <c r="A30" s="120" t="s">
        <v>70</v>
      </c>
      <c r="B30" s="119" t="s">
        <v>51</v>
      </c>
      <c r="C30" s="119" t="s">
        <v>630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6" t="str">
        <f>'1. паспорт местоположение'!A5:C5</f>
        <v>Год раскрытия информации: 2023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row>
    <row r="6" spans="1:28" ht="18.75" x14ac:dyDescent="0.25">
      <c r="A6" s="353" t="s">
        <v>7</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107"/>
      <c r="AB6" s="107"/>
    </row>
    <row r="7" spans="1:28" ht="18.75" x14ac:dyDescent="0.25">
      <c r="A7" s="353"/>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107"/>
      <c r="AB7" s="107"/>
    </row>
    <row r="8" spans="1:28" ht="15.75" x14ac:dyDescent="0.25">
      <c r="A8" s="351" t="str">
        <f>'1. паспорт местоположение'!A9:C9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09"/>
      <c r="AB8" s="109"/>
    </row>
    <row r="9" spans="1:28" ht="15.75"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10"/>
      <c r="AB9" s="110"/>
    </row>
    <row r="10" spans="1:28" ht="18.75" x14ac:dyDescent="0.25">
      <c r="A10" s="353"/>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107"/>
      <c r="AB10" s="107"/>
    </row>
    <row r="11" spans="1:28" ht="15.75" x14ac:dyDescent="0.25">
      <c r="A11" s="358" t="str">
        <f>'1. паспорт местоположение'!A12:C12</f>
        <v>L_21-15</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09"/>
      <c r="AB11" s="109"/>
    </row>
    <row r="12" spans="1:28" ht="15.75"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10"/>
      <c r="AB12" s="110"/>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124"/>
      <c r="AB13" s="124"/>
    </row>
    <row r="14" spans="1:28" ht="15.75" x14ac:dyDescent="0.25">
      <c r="A14" s="351" t="str">
        <f>'1. паспорт местоположение'!A15:C15</f>
        <v>Строительство сетей электроснабжения жд г. Пионерский (Нивелир)</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109"/>
      <c r="AB14" s="109"/>
    </row>
    <row r="15" spans="1:28" ht="15.75"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10"/>
      <c r="AB15" s="110"/>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125"/>
      <c r="AB16" s="125"/>
    </row>
    <row r="17" spans="1:28"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125"/>
      <c r="AB17" s="125"/>
    </row>
    <row r="18" spans="1:28" x14ac:dyDescent="0.25">
      <c r="A18" s="379"/>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125"/>
      <c r="AB18" s="125"/>
    </row>
    <row r="19" spans="1:28" x14ac:dyDescent="0.25">
      <c r="A19" s="379"/>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125"/>
      <c r="AB19" s="125"/>
    </row>
    <row r="20" spans="1:28"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125"/>
      <c r="AB20" s="125"/>
    </row>
    <row r="21" spans="1:28" x14ac:dyDescent="0.25">
      <c r="A21" s="379"/>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125"/>
      <c r="AB21" s="125"/>
    </row>
    <row r="22" spans="1:28" x14ac:dyDescent="0.25">
      <c r="A22" s="380" t="s">
        <v>412</v>
      </c>
      <c r="B22" s="380"/>
      <c r="C22" s="380"/>
      <c r="D22" s="380"/>
      <c r="E22" s="380"/>
      <c r="F22" s="380"/>
      <c r="G22" s="380"/>
      <c r="H22" s="380"/>
      <c r="I22" s="380"/>
      <c r="J22" s="380"/>
      <c r="K22" s="380"/>
      <c r="L22" s="380"/>
      <c r="M22" s="380"/>
      <c r="N22" s="380"/>
      <c r="O22" s="380"/>
      <c r="P22" s="380"/>
      <c r="Q22" s="380"/>
      <c r="R22" s="380"/>
      <c r="S22" s="380"/>
      <c r="T22" s="380"/>
      <c r="U22" s="380"/>
      <c r="V22" s="380"/>
      <c r="W22" s="380"/>
      <c r="X22" s="380"/>
      <c r="Y22" s="380"/>
      <c r="Z22" s="380"/>
      <c r="AA22" s="126"/>
      <c r="AB22" s="126"/>
    </row>
    <row r="23" spans="1:28" ht="32.25" customHeight="1" x14ac:dyDescent="0.25">
      <c r="A23" s="382" t="s">
        <v>295</v>
      </c>
      <c r="B23" s="383"/>
      <c r="C23" s="383"/>
      <c r="D23" s="383"/>
      <c r="E23" s="383"/>
      <c r="F23" s="383"/>
      <c r="G23" s="383"/>
      <c r="H23" s="383"/>
      <c r="I23" s="383"/>
      <c r="J23" s="383"/>
      <c r="K23" s="383"/>
      <c r="L23" s="384"/>
      <c r="M23" s="381" t="s">
        <v>296</v>
      </c>
      <c r="N23" s="381"/>
      <c r="O23" s="381"/>
      <c r="P23" s="381"/>
      <c r="Q23" s="381"/>
      <c r="R23" s="381"/>
      <c r="S23" s="381"/>
      <c r="T23" s="381"/>
      <c r="U23" s="381"/>
      <c r="V23" s="381"/>
      <c r="W23" s="381"/>
      <c r="X23" s="381"/>
      <c r="Y23" s="381"/>
      <c r="Z23" s="381"/>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6" t="str">
        <f>'1. паспорт местоположение'!A5:C5</f>
        <v>Год раскрытия информации: 2023 год</v>
      </c>
      <c r="B5" s="346"/>
      <c r="C5" s="346"/>
      <c r="D5" s="346"/>
      <c r="E5" s="346"/>
      <c r="F5" s="346"/>
      <c r="G5" s="346"/>
      <c r="H5" s="346"/>
      <c r="I5" s="346"/>
      <c r="J5" s="346"/>
      <c r="K5" s="346"/>
      <c r="L5" s="346"/>
      <c r="M5" s="346"/>
      <c r="N5" s="346"/>
      <c r="O5" s="346"/>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3" t="s">
        <v>7</v>
      </c>
      <c r="B7" s="353"/>
      <c r="C7" s="353"/>
      <c r="D7" s="353"/>
      <c r="E7" s="353"/>
      <c r="F7" s="353"/>
      <c r="G7" s="353"/>
      <c r="H7" s="353"/>
      <c r="I7" s="353"/>
      <c r="J7" s="353"/>
      <c r="K7" s="353"/>
      <c r="L7" s="353"/>
      <c r="M7" s="353"/>
      <c r="N7" s="353"/>
      <c r="O7" s="353"/>
      <c r="P7" s="107"/>
      <c r="Q7" s="107"/>
      <c r="R7" s="107"/>
      <c r="S7" s="107"/>
      <c r="T7" s="107"/>
      <c r="U7" s="107"/>
      <c r="V7" s="107"/>
      <c r="W7" s="107"/>
      <c r="X7" s="107"/>
      <c r="Y7" s="107"/>
      <c r="Z7" s="107"/>
    </row>
    <row r="8" spans="1:28" s="14" customFormat="1" ht="18.75" x14ac:dyDescent="0.2">
      <c r="A8" s="353"/>
      <c r="B8" s="353"/>
      <c r="C8" s="353"/>
      <c r="D8" s="353"/>
      <c r="E8" s="353"/>
      <c r="F8" s="353"/>
      <c r="G8" s="353"/>
      <c r="H8" s="353"/>
      <c r="I8" s="353"/>
      <c r="J8" s="353"/>
      <c r="K8" s="353"/>
      <c r="L8" s="353"/>
      <c r="M8" s="353"/>
      <c r="N8" s="353"/>
      <c r="O8" s="353"/>
      <c r="P8" s="107"/>
      <c r="Q8" s="107"/>
      <c r="R8" s="107"/>
      <c r="S8" s="107"/>
      <c r="T8" s="107"/>
      <c r="U8" s="107"/>
      <c r="V8" s="107"/>
      <c r="W8" s="107"/>
      <c r="X8" s="107"/>
      <c r="Y8" s="107"/>
      <c r="Z8" s="107"/>
    </row>
    <row r="9" spans="1:28" s="14" customFormat="1" ht="18.75" x14ac:dyDescent="0.2">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c r="L9" s="351"/>
      <c r="M9" s="351"/>
      <c r="N9" s="351"/>
      <c r="O9" s="351"/>
      <c r="P9" s="107"/>
      <c r="Q9" s="107"/>
      <c r="R9" s="107"/>
      <c r="S9" s="107"/>
      <c r="T9" s="107"/>
      <c r="U9" s="107"/>
      <c r="V9" s="107"/>
      <c r="W9" s="107"/>
      <c r="X9" s="107"/>
      <c r="Y9" s="107"/>
      <c r="Z9" s="107"/>
    </row>
    <row r="10" spans="1:28" s="14" customFormat="1" ht="18.75" x14ac:dyDescent="0.2">
      <c r="A10" s="357" t="s">
        <v>6</v>
      </c>
      <c r="B10" s="357"/>
      <c r="C10" s="357"/>
      <c r="D10" s="357"/>
      <c r="E10" s="357"/>
      <c r="F10" s="357"/>
      <c r="G10" s="357"/>
      <c r="H10" s="357"/>
      <c r="I10" s="357"/>
      <c r="J10" s="357"/>
      <c r="K10" s="357"/>
      <c r="L10" s="357"/>
      <c r="M10" s="357"/>
      <c r="N10" s="357"/>
      <c r="O10" s="357"/>
      <c r="P10" s="107"/>
      <c r="Q10" s="107"/>
      <c r="R10" s="107"/>
      <c r="S10" s="107"/>
      <c r="T10" s="107"/>
      <c r="U10" s="107"/>
      <c r="V10" s="107"/>
      <c r="W10" s="107"/>
      <c r="X10" s="107"/>
      <c r="Y10" s="107"/>
      <c r="Z10" s="107"/>
    </row>
    <row r="11" spans="1:28" s="14" customFormat="1" ht="18.75" x14ac:dyDescent="0.2">
      <c r="A11" s="353"/>
      <c r="B11" s="353"/>
      <c r="C11" s="353"/>
      <c r="D11" s="353"/>
      <c r="E11" s="353"/>
      <c r="F11" s="353"/>
      <c r="G11" s="353"/>
      <c r="H11" s="353"/>
      <c r="I11" s="353"/>
      <c r="J11" s="353"/>
      <c r="K11" s="353"/>
      <c r="L11" s="353"/>
      <c r="M11" s="353"/>
      <c r="N11" s="353"/>
      <c r="O11" s="353"/>
      <c r="P11" s="107"/>
      <c r="Q11" s="107"/>
      <c r="R11" s="107"/>
      <c r="S11" s="107"/>
      <c r="T11" s="107"/>
      <c r="U11" s="107"/>
      <c r="V11" s="107"/>
      <c r="W11" s="107"/>
      <c r="X11" s="107"/>
      <c r="Y11" s="107"/>
      <c r="Z11" s="107"/>
    </row>
    <row r="12" spans="1:28" s="14" customFormat="1" ht="18.75" x14ac:dyDescent="0.2">
      <c r="A12" s="358" t="str">
        <f>'1. паспорт местоположение'!A12:C12</f>
        <v>L_21-15</v>
      </c>
      <c r="B12" s="358"/>
      <c r="C12" s="358"/>
      <c r="D12" s="358"/>
      <c r="E12" s="358"/>
      <c r="F12" s="358"/>
      <c r="G12" s="358"/>
      <c r="H12" s="358"/>
      <c r="I12" s="358"/>
      <c r="J12" s="358"/>
      <c r="K12" s="358"/>
      <c r="L12" s="358"/>
      <c r="M12" s="358"/>
      <c r="N12" s="358"/>
      <c r="O12" s="358"/>
      <c r="P12" s="107"/>
      <c r="Q12" s="107"/>
      <c r="R12" s="107"/>
      <c r="S12" s="107"/>
      <c r="T12" s="107"/>
      <c r="U12" s="107"/>
      <c r="V12" s="107"/>
      <c r="W12" s="107"/>
      <c r="X12" s="107"/>
      <c r="Y12" s="107"/>
      <c r="Z12" s="107"/>
    </row>
    <row r="13" spans="1:28" s="14" customFormat="1" ht="18.75" x14ac:dyDescent="0.2">
      <c r="A13" s="357" t="s">
        <v>5</v>
      </c>
      <c r="B13" s="357"/>
      <c r="C13" s="357"/>
      <c r="D13" s="357"/>
      <c r="E13" s="357"/>
      <c r="F13" s="357"/>
      <c r="G13" s="357"/>
      <c r="H13" s="357"/>
      <c r="I13" s="357"/>
      <c r="J13" s="357"/>
      <c r="K13" s="357"/>
      <c r="L13" s="357"/>
      <c r="M13" s="357"/>
      <c r="N13" s="357"/>
      <c r="O13" s="357"/>
      <c r="P13" s="107"/>
      <c r="Q13" s="107"/>
      <c r="R13" s="107"/>
      <c r="S13" s="107"/>
      <c r="T13" s="107"/>
      <c r="U13" s="107"/>
      <c r="V13" s="107"/>
      <c r="W13" s="107"/>
      <c r="X13" s="107"/>
      <c r="Y13" s="107"/>
      <c r="Z13" s="107"/>
    </row>
    <row r="14" spans="1:28" s="14" customFormat="1" ht="15.75" customHeight="1" x14ac:dyDescent="0.2">
      <c r="A14" s="359"/>
      <c r="B14" s="359"/>
      <c r="C14" s="359"/>
      <c r="D14" s="359"/>
      <c r="E14" s="359"/>
      <c r="F14" s="359"/>
      <c r="G14" s="359"/>
      <c r="H14" s="359"/>
      <c r="I14" s="359"/>
      <c r="J14" s="359"/>
      <c r="K14" s="359"/>
      <c r="L14" s="359"/>
      <c r="M14" s="359"/>
      <c r="N14" s="359"/>
      <c r="O14" s="359"/>
      <c r="P14" s="108"/>
      <c r="Q14" s="108"/>
      <c r="R14" s="108"/>
      <c r="S14" s="108"/>
      <c r="T14" s="108"/>
      <c r="U14" s="108"/>
      <c r="V14" s="108"/>
      <c r="W14" s="108"/>
      <c r="X14" s="108"/>
      <c r="Y14" s="108"/>
      <c r="Z14" s="108"/>
    </row>
    <row r="15" spans="1:28" s="106" customFormat="1" ht="15.75" x14ac:dyDescent="0.2">
      <c r="A15" s="351" t="str">
        <f>'1. паспорт местоположение'!A15:C15</f>
        <v>Строительство сетей электроснабжения жд г. Пионерский (Нивелир)</v>
      </c>
      <c r="B15" s="351"/>
      <c r="C15" s="351"/>
      <c r="D15" s="351"/>
      <c r="E15" s="351"/>
      <c r="F15" s="351"/>
      <c r="G15" s="351"/>
      <c r="H15" s="351"/>
      <c r="I15" s="351"/>
      <c r="J15" s="351"/>
      <c r="K15" s="351"/>
      <c r="L15" s="351"/>
      <c r="M15" s="351"/>
      <c r="N15" s="351"/>
      <c r="O15" s="351"/>
      <c r="P15" s="109"/>
      <c r="Q15" s="109"/>
      <c r="R15" s="109"/>
      <c r="S15" s="109"/>
      <c r="T15" s="109"/>
      <c r="U15" s="109"/>
      <c r="V15" s="109"/>
      <c r="W15" s="109"/>
      <c r="X15" s="109"/>
      <c r="Y15" s="109"/>
      <c r="Z15" s="109"/>
    </row>
    <row r="16" spans="1:28" s="106" customFormat="1" ht="15" customHeight="1" x14ac:dyDescent="0.2">
      <c r="A16" s="357" t="s">
        <v>4</v>
      </c>
      <c r="B16" s="357"/>
      <c r="C16" s="357"/>
      <c r="D16" s="357"/>
      <c r="E16" s="357"/>
      <c r="F16" s="357"/>
      <c r="G16" s="357"/>
      <c r="H16" s="357"/>
      <c r="I16" s="357"/>
      <c r="J16" s="357"/>
      <c r="K16" s="357"/>
      <c r="L16" s="357"/>
      <c r="M16" s="357"/>
      <c r="N16" s="357"/>
      <c r="O16" s="357"/>
      <c r="P16" s="110"/>
      <c r="Q16" s="110"/>
      <c r="R16" s="110"/>
      <c r="S16" s="110"/>
      <c r="T16" s="110"/>
      <c r="U16" s="110"/>
      <c r="V16" s="110"/>
      <c r="W16" s="110"/>
      <c r="X16" s="110"/>
      <c r="Y16" s="110"/>
      <c r="Z16" s="110"/>
    </row>
    <row r="17" spans="1:26" s="106" customFormat="1" ht="15" customHeight="1" x14ac:dyDescent="0.2">
      <c r="A17" s="359"/>
      <c r="B17" s="359"/>
      <c r="C17" s="359"/>
      <c r="D17" s="359"/>
      <c r="E17" s="359"/>
      <c r="F17" s="359"/>
      <c r="G17" s="359"/>
      <c r="H17" s="359"/>
      <c r="I17" s="359"/>
      <c r="J17" s="359"/>
      <c r="K17" s="359"/>
      <c r="L17" s="359"/>
      <c r="M17" s="359"/>
      <c r="N17" s="359"/>
      <c r="O17" s="359"/>
      <c r="P17" s="108"/>
      <c r="Q17" s="108"/>
      <c r="R17" s="108"/>
      <c r="S17" s="108"/>
      <c r="T17" s="108"/>
      <c r="U17" s="108"/>
      <c r="V17" s="108"/>
      <c r="W17" s="108"/>
    </row>
    <row r="18" spans="1:26" s="106" customFormat="1" ht="91.5" customHeight="1" x14ac:dyDescent="0.2">
      <c r="A18" s="385" t="s">
        <v>390</v>
      </c>
      <c r="B18" s="385"/>
      <c r="C18" s="385"/>
      <c r="D18" s="385"/>
      <c r="E18" s="385"/>
      <c r="F18" s="385"/>
      <c r="G18" s="385"/>
      <c r="H18" s="385"/>
      <c r="I18" s="385"/>
      <c r="J18" s="385"/>
      <c r="K18" s="385"/>
      <c r="L18" s="385"/>
      <c r="M18" s="385"/>
      <c r="N18" s="385"/>
      <c r="O18" s="385"/>
      <c r="P18" s="111"/>
      <c r="Q18" s="111"/>
      <c r="R18" s="111"/>
      <c r="S18" s="111"/>
      <c r="T18" s="111"/>
      <c r="U18" s="111"/>
      <c r="V18" s="111"/>
      <c r="W18" s="111"/>
      <c r="X18" s="111"/>
      <c r="Y18" s="111"/>
      <c r="Z18" s="111"/>
    </row>
    <row r="19" spans="1:26" s="106" customFormat="1" ht="78" customHeight="1" x14ac:dyDescent="0.2">
      <c r="A19" s="386" t="s">
        <v>3</v>
      </c>
      <c r="B19" s="386" t="s">
        <v>82</v>
      </c>
      <c r="C19" s="386" t="s">
        <v>81</v>
      </c>
      <c r="D19" s="386" t="s">
        <v>73</v>
      </c>
      <c r="E19" s="387" t="s">
        <v>80</v>
      </c>
      <c r="F19" s="388"/>
      <c r="G19" s="388"/>
      <c r="H19" s="388"/>
      <c r="I19" s="389"/>
      <c r="J19" s="386" t="s">
        <v>79</v>
      </c>
      <c r="K19" s="386"/>
      <c r="L19" s="386"/>
      <c r="M19" s="386"/>
      <c r="N19" s="386"/>
      <c r="O19" s="386"/>
      <c r="P19" s="108"/>
      <c r="Q19" s="108"/>
      <c r="R19" s="108"/>
      <c r="S19" s="108"/>
      <c r="T19" s="108"/>
      <c r="U19" s="108"/>
      <c r="V19" s="108"/>
      <c r="W19" s="108"/>
    </row>
    <row r="20" spans="1:26" s="106" customFormat="1" ht="51" customHeight="1" x14ac:dyDescent="0.2">
      <c r="A20" s="386"/>
      <c r="B20" s="386"/>
      <c r="C20" s="386"/>
      <c r="D20" s="386"/>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614</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4" zoomScale="90" zoomScaleNormal="90" workbookViewId="0">
      <selection activeCell="F49" sqref="F49"/>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5" t="str">
        <f>'1. паспорт местоположение'!A5:C5</f>
        <v>Год раскрытия информации: 2023 год</v>
      </c>
      <c r="B5" s="405"/>
      <c r="C5" s="405"/>
      <c r="D5" s="405"/>
      <c r="E5" s="405"/>
      <c r="F5" s="405"/>
      <c r="G5" s="405"/>
      <c r="H5" s="405"/>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06" t="s">
        <v>7</v>
      </c>
      <c r="B7" s="406"/>
      <c r="C7" s="406"/>
      <c r="D7" s="406"/>
      <c r="E7" s="406"/>
      <c r="F7" s="406"/>
      <c r="G7" s="406"/>
      <c r="H7" s="40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07" t="str">
        <f>'1. паспорт местоположение'!A9:C10</f>
        <v xml:space="preserve">Акционерное общество "Западная энергетическая компания" </v>
      </c>
      <c r="B9" s="407"/>
      <c r="C9" s="407"/>
      <c r="D9" s="407"/>
      <c r="E9" s="407"/>
      <c r="F9" s="407"/>
      <c r="G9" s="407"/>
      <c r="H9" s="407"/>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08" t="s">
        <v>6</v>
      </c>
      <c r="B10" s="408"/>
      <c r="C10" s="408"/>
      <c r="D10" s="408"/>
      <c r="E10" s="408"/>
      <c r="F10" s="408"/>
      <c r="G10" s="408"/>
      <c r="H10" s="408"/>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07" t="str">
        <f>'1. паспорт местоположение'!A12:C12</f>
        <v>L_21-15</v>
      </c>
      <c r="B12" s="407"/>
      <c r="C12" s="407"/>
      <c r="D12" s="407"/>
      <c r="E12" s="407"/>
      <c r="F12" s="407"/>
      <c r="G12" s="407"/>
      <c r="H12" s="407"/>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08" t="s">
        <v>5</v>
      </c>
      <c r="B13" s="408"/>
      <c r="C13" s="408"/>
      <c r="D13" s="408"/>
      <c r="E13" s="408"/>
      <c r="F13" s="408"/>
      <c r="G13" s="408"/>
      <c r="H13" s="408"/>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9" t="str">
        <f>'1. паспорт местоположение'!A15:C15</f>
        <v>Строительство сетей электроснабжения жд г. Пионерский (Нивелир)</v>
      </c>
      <c r="B15" s="409"/>
      <c r="C15" s="409"/>
      <c r="D15" s="409"/>
      <c r="E15" s="409"/>
      <c r="F15" s="409"/>
      <c r="G15" s="409"/>
      <c r="H15" s="40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08" t="s">
        <v>4</v>
      </c>
      <c r="B16" s="408"/>
      <c r="C16" s="408"/>
      <c r="D16" s="408"/>
      <c r="E16" s="408"/>
      <c r="F16" s="408"/>
      <c r="G16" s="408"/>
      <c r="H16" s="408"/>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07" t="s">
        <v>391</v>
      </c>
      <c r="B18" s="407"/>
      <c r="C18" s="407"/>
      <c r="D18" s="407"/>
      <c r="E18" s="407"/>
      <c r="F18" s="407"/>
      <c r="G18" s="407"/>
      <c r="H18" s="407"/>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2083333.3333333335</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2" t="s">
        <v>285</v>
      </c>
      <c r="E28" s="393"/>
      <c r="F28" s="394"/>
      <c r="G28" s="403" t="str">
        <f ca="1">IF(SUM(B89:L89)=0,"не окупается",SUM(B89:L89))</f>
        <v>не окупается</v>
      </c>
      <c r="H28" s="404"/>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2083.3333333333335</v>
      </c>
      <c r="C29" s="189"/>
      <c r="D29" s="392" t="s">
        <v>283</v>
      </c>
      <c r="E29" s="393"/>
      <c r="F29" s="394"/>
      <c r="G29" s="403" t="str">
        <f ca="1">IF(SUM(B90:L90)=0,"не окупается",SUM(B90:L90))</f>
        <v>не окупается</v>
      </c>
      <c r="H29" s="404"/>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2" t="s">
        <v>546</v>
      </c>
      <c r="E30" s="393"/>
      <c r="F30" s="394"/>
      <c r="G30" s="395">
        <f ca="1">L87</f>
        <v>-11745449.922356887</v>
      </c>
      <c r="H30" s="396"/>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397"/>
      <c r="E31" s="398"/>
      <c r="F31" s="399"/>
      <c r="G31" s="397"/>
      <c r="H31" s="39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f>6000057/1.2</f>
        <v>5000047.5</v>
      </c>
      <c r="C50" s="239">
        <f>C108*(1+C49)</f>
        <v>0</v>
      </c>
      <c r="D50" s="239">
        <f>H108*(1+H49)</f>
        <v>307559.93860899296</v>
      </c>
      <c r="E50" s="239">
        <f t="shared" ref="E50:M50" si="3">I108*(1+E49)</f>
        <v>535944.37379502703</v>
      </c>
      <c r="F50" s="239">
        <f t="shared" si="3"/>
        <v>841700.63904508995</v>
      </c>
      <c r="G50" s="239">
        <f t="shared" si="3"/>
        <v>1175014.0921069453</v>
      </c>
      <c r="H50" s="239">
        <f t="shared" si="3"/>
        <v>1537799.6930449647</v>
      </c>
      <c r="I50" s="239">
        <f t="shared" si="3"/>
        <v>2254106.790065309</v>
      </c>
      <c r="J50" s="239">
        <f t="shared" si="3"/>
        <v>2360049.8091983786</v>
      </c>
      <c r="K50" s="239">
        <f t="shared" si="3"/>
        <v>2470972.150230702</v>
      </c>
      <c r="L50" s="239">
        <f t="shared" si="3"/>
        <v>2587107.841291545</v>
      </c>
      <c r="M50" s="239">
        <f t="shared" si="3"/>
        <v>2708701.9098322475</v>
      </c>
      <c r="N50" s="239">
        <f t="shared" ref="N50:AP50" si="4">N108*(1+N49)</f>
        <v>2836010.8995943628</v>
      </c>
      <c r="O50" s="239">
        <f t="shared" si="4"/>
        <v>2969303.4118752973</v>
      </c>
      <c r="P50" s="239">
        <f t="shared" si="4"/>
        <v>3108860.6722334363</v>
      </c>
      <c r="Q50" s="239">
        <f t="shared" si="4"/>
        <v>3254977.1238284078</v>
      </c>
      <c r="R50" s="239">
        <f t="shared" si="4"/>
        <v>3407961.0486483425</v>
      </c>
      <c r="S50" s="239">
        <f t="shared" si="4"/>
        <v>3568135.2179348147</v>
      </c>
      <c r="T50" s="239">
        <f t="shared" si="4"/>
        <v>3735837.5731777507</v>
      </c>
      <c r="U50" s="239">
        <f t="shared" si="4"/>
        <v>3911421.9391171047</v>
      </c>
      <c r="V50" s="239">
        <f t="shared" si="4"/>
        <v>4095258.770255608</v>
      </c>
      <c r="W50" s="239">
        <f t="shared" si="4"/>
        <v>4287735.9324576212</v>
      </c>
      <c r="X50" s="239">
        <f t="shared" si="4"/>
        <v>4489259.5212831292</v>
      </c>
      <c r="Y50" s="239">
        <f t="shared" si="4"/>
        <v>4700254.7187834363</v>
      </c>
      <c r="Z50" s="239">
        <f t="shared" si="4"/>
        <v>4921166.6905662576</v>
      </c>
      <c r="AA50" s="239">
        <f t="shared" si="4"/>
        <v>5152461.5250228709</v>
      </c>
      <c r="AB50" s="239">
        <f t="shared" si="4"/>
        <v>5394627.2166989455</v>
      </c>
      <c r="AC50" s="239">
        <f t="shared" si="4"/>
        <v>5648174.6958837947</v>
      </c>
      <c r="AD50" s="239">
        <f t="shared" si="4"/>
        <v>5913638.9065903323</v>
      </c>
      <c r="AE50" s="239">
        <f t="shared" si="4"/>
        <v>6191579.9352000775</v>
      </c>
      <c r="AF50" s="239">
        <f t="shared" si="4"/>
        <v>6482584.1921544811</v>
      </c>
      <c r="AG50" s="239">
        <f t="shared" si="4"/>
        <v>6787265.6491857413</v>
      </c>
      <c r="AH50" s="239">
        <f t="shared" si="4"/>
        <v>7106267.1346974708</v>
      </c>
      <c r="AI50" s="239">
        <f t="shared" si="4"/>
        <v>7440261.6900282521</v>
      </c>
      <c r="AJ50" s="239">
        <f t="shared" si="4"/>
        <v>7789953.9894595789</v>
      </c>
      <c r="AK50" s="239">
        <f t="shared" si="4"/>
        <v>8156081.8269641791</v>
      </c>
      <c r="AL50" s="239">
        <f t="shared" si="4"/>
        <v>8539417.6728314944</v>
      </c>
      <c r="AM50" s="239">
        <f t="shared" si="4"/>
        <v>8940770.3034545742</v>
      </c>
      <c r="AN50" s="239">
        <f t="shared" si="4"/>
        <v>9360986.5077169389</v>
      </c>
      <c r="AO50" s="239">
        <f t="shared" si="4"/>
        <v>9800952.8735796325</v>
      </c>
      <c r="AP50" s="239">
        <f t="shared" si="4"/>
        <v>10261597.658637876</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5000047.5</v>
      </c>
      <c r="C59" s="250">
        <f>C50*$B$28</f>
        <v>0</v>
      </c>
      <c r="D59" s="250">
        <f t="shared" ref="D59:AP59" si="10">D50*$B$28</f>
        <v>307559.93860899296</v>
      </c>
      <c r="E59" s="250">
        <f t="shared" si="10"/>
        <v>535944.37379502703</v>
      </c>
      <c r="F59" s="250">
        <f t="shared" si="10"/>
        <v>841700.63904508995</v>
      </c>
      <c r="G59" s="250">
        <f>G50*$B$28</f>
        <v>1175014.0921069453</v>
      </c>
      <c r="H59" s="250">
        <f t="shared" si="10"/>
        <v>1537799.6930449647</v>
      </c>
      <c r="I59" s="250">
        <f t="shared" si="10"/>
        <v>2254106.790065309</v>
      </c>
      <c r="J59" s="250">
        <f t="shared" si="10"/>
        <v>2360049.8091983786</v>
      </c>
      <c r="K59" s="250">
        <f t="shared" si="10"/>
        <v>2470972.150230702</v>
      </c>
      <c r="L59" s="250">
        <f t="shared" si="10"/>
        <v>2587107.841291545</v>
      </c>
      <c r="M59" s="250">
        <f t="shared" si="10"/>
        <v>2708701.9098322475</v>
      </c>
      <c r="N59" s="250">
        <f t="shared" si="10"/>
        <v>2836010.8995943628</v>
      </c>
      <c r="O59" s="250">
        <f t="shared" si="10"/>
        <v>2969303.4118752973</v>
      </c>
      <c r="P59" s="250">
        <f t="shared" si="10"/>
        <v>3108860.6722334363</v>
      </c>
      <c r="Q59" s="250">
        <f t="shared" si="10"/>
        <v>3254977.1238284078</v>
      </c>
      <c r="R59" s="250">
        <f t="shared" si="10"/>
        <v>3407961.0486483425</v>
      </c>
      <c r="S59" s="250">
        <f t="shared" si="10"/>
        <v>3568135.2179348147</v>
      </c>
      <c r="T59" s="250">
        <f t="shared" si="10"/>
        <v>3735837.5731777507</v>
      </c>
      <c r="U59" s="250">
        <f t="shared" si="10"/>
        <v>3911421.9391171047</v>
      </c>
      <c r="V59" s="250">
        <f t="shared" si="10"/>
        <v>4095258.770255608</v>
      </c>
      <c r="W59" s="250">
        <f t="shared" si="10"/>
        <v>4287735.9324576212</v>
      </c>
      <c r="X59" s="250">
        <f t="shared" si="10"/>
        <v>4489259.5212831292</v>
      </c>
      <c r="Y59" s="250">
        <f t="shared" si="10"/>
        <v>4700254.7187834363</v>
      </c>
      <c r="Z59" s="250">
        <f t="shared" si="10"/>
        <v>4921166.6905662576</v>
      </c>
      <c r="AA59" s="250">
        <f t="shared" si="10"/>
        <v>5152461.5250228709</v>
      </c>
      <c r="AB59" s="250">
        <f t="shared" si="10"/>
        <v>5394627.2166989455</v>
      </c>
      <c r="AC59" s="250">
        <f t="shared" si="10"/>
        <v>5648174.6958837947</v>
      </c>
      <c r="AD59" s="250">
        <f t="shared" si="10"/>
        <v>5913638.9065903323</v>
      </c>
      <c r="AE59" s="250">
        <f t="shared" si="10"/>
        <v>6191579.9352000775</v>
      </c>
      <c r="AF59" s="250">
        <f t="shared" si="10"/>
        <v>6482584.1921544811</v>
      </c>
      <c r="AG59" s="250">
        <f t="shared" si="10"/>
        <v>6787265.6491857413</v>
      </c>
      <c r="AH59" s="250">
        <f t="shared" si="10"/>
        <v>7106267.1346974708</v>
      </c>
      <c r="AI59" s="250">
        <f t="shared" si="10"/>
        <v>7440261.6900282521</v>
      </c>
      <c r="AJ59" s="250">
        <f t="shared" si="10"/>
        <v>7789953.9894595789</v>
      </c>
      <c r="AK59" s="250">
        <f t="shared" si="10"/>
        <v>8156081.8269641791</v>
      </c>
      <c r="AL59" s="250">
        <f t="shared" si="10"/>
        <v>8539417.6728314944</v>
      </c>
      <c r="AM59" s="250">
        <f t="shared" si="10"/>
        <v>8940770.3034545742</v>
      </c>
      <c r="AN59" s="250">
        <f t="shared" si="10"/>
        <v>9360986.5077169389</v>
      </c>
      <c r="AO59" s="250">
        <f t="shared" si="10"/>
        <v>9800952.8735796325</v>
      </c>
      <c r="AP59" s="250">
        <f t="shared" si="10"/>
        <v>10261597.658637876</v>
      </c>
    </row>
    <row r="60" spans="1:45" x14ac:dyDescent="0.2">
      <c r="A60" s="242" t="s">
        <v>261</v>
      </c>
      <c r="B60" s="243">
        <f t="shared" ref="B60:AP60" si="11">SUM(B61:B65)</f>
        <v>0</v>
      </c>
      <c r="C60" s="243">
        <f t="shared" si="11"/>
        <v>-44305.555555555555</v>
      </c>
      <c r="D60" s="243">
        <f>SUM(D61:D65)</f>
        <v>-42777.777777777774</v>
      </c>
      <c r="E60" s="243">
        <f>SUM(E61:E65)</f>
        <v>-44172.943097504096</v>
      </c>
      <c r="F60" s="243">
        <f t="shared" si="11"/>
        <v>-42782.543645309008</v>
      </c>
      <c r="G60" s="243">
        <f t="shared" si="11"/>
        <v>-41398.600974416309</v>
      </c>
      <c r="H60" s="243">
        <f t="shared" si="11"/>
        <v>-40021.418553547213</v>
      </c>
      <c r="I60" s="243">
        <f t="shared" si="11"/>
        <v>-38651.314114452813</v>
      </c>
      <c r="J60" s="243">
        <f t="shared" si="11"/>
        <v>-37288.62032227654</v>
      </c>
      <c r="K60" s="243">
        <f t="shared" si="11"/>
        <v>-35933.68547742354</v>
      </c>
      <c r="L60" s="243">
        <f t="shared" si="11"/>
        <v>-34586.874250417997</v>
      </c>
      <c r="M60" s="243">
        <f t="shared" si="11"/>
        <v>-33248.56845129875</v>
      </c>
      <c r="N60" s="243">
        <f t="shared" si="11"/>
        <v>-31919.167835176464</v>
      </c>
      <c r="O60" s="243">
        <f t="shared" si="11"/>
        <v>-30599.090945651973</v>
      </c>
      <c r="P60" s="243">
        <f t="shared" si="11"/>
        <v>-29288.775997875397</v>
      </c>
      <c r="Q60" s="243">
        <f t="shared" si="11"/>
        <v>-27988.681803108873</v>
      </c>
      <c r="R60" s="243">
        <f t="shared" si="11"/>
        <v>-26699.288736743878</v>
      </c>
      <c r="S60" s="243">
        <f t="shared" si="11"/>
        <v>-25421.099751815287</v>
      </c>
      <c r="T60" s="243">
        <f t="shared" si="11"/>
        <v>-24154.641440150601</v>
      </c>
      <c r="U60" s="243">
        <f t="shared" si="11"/>
        <v>-22900.465143393234</v>
      </c>
      <c r="V60" s="243">
        <f t="shared" si="11"/>
        <v>-21659.148116243829</v>
      </c>
      <c r="W60" s="243">
        <f t="shared" si="11"/>
        <v>-20431.294744373954</v>
      </c>
      <c r="X60" s="243">
        <f t="shared" si="11"/>
        <v>-19217.53781958175</v>
      </c>
      <c r="Y60" s="243">
        <f t="shared" si="11"/>
        <v>-18018.539874879873</v>
      </c>
      <c r="Z60" s="243">
        <f t="shared" si="11"/>
        <v>-16834.994582332562</v>
      </c>
      <c r="AA60" s="243">
        <f t="shared" si="11"/>
        <v>-15667.62821659108</v>
      </c>
      <c r="AB60" s="243">
        <f t="shared" si="11"/>
        <v>-14517.201187215305</v>
      </c>
      <c r="AC60" s="243">
        <f t="shared" si="11"/>
        <v>-13384.509643014424</v>
      </c>
      <c r="AD60" s="243">
        <f t="shared" si="11"/>
        <v>-12270.387151791658</v>
      </c>
      <c r="AE60" s="243">
        <f t="shared" si="11"/>
        <v>-11175.706459036977</v>
      </c>
      <c r="AF60" s="243">
        <f t="shared" si="11"/>
        <v>-10101.381329278382</v>
      </c>
      <c r="AG60" s="243">
        <f t="shared" si="11"/>
        <v>-10576.146251754488</v>
      </c>
      <c r="AH60" s="243">
        <f t="shared" si="11"/>
        <v>-11073.225125586949</v>
      </c>
      <c r="AI60" s="243">
        <f t="shared" si="11"/>
        <v>-11593.666706489535</v>
      </c>
      <c r="AJ60" s="243">
        <f t="shared" si="11"/>
        <v>-12138.569041694542</v>
      </c>
      <c r="AK60" s="243">
        <f t="shared" si="11"/>
        <v>-12709.081786654186</v>
      </c>
      <c r="AL60" s="243">
        <f t="shared" si="11"/>
        <v>-13306.408630626931</v>
      </c>
      <c r="AM60" s="243">
        <f t="shared" si="11"/>
        <v>-13931.809836266395</v>
      </c>
      <c r="AN60" s="243">
        <f t="shared" si="11"/>
        <v>-14586.604898570915</v>
      </c>
      <c r="AO60" s="243">
        <f t="shared" si="11"/>
        <v>-15272.175328803745</v>
      </c>
      <c r="AP60" s="243">
        <f t="shared" si="11"/>
        <v>-15989.967569257522</v>
      </c>
    </row>
    <row r="61" spans="1:45" x14ac:dyDescent="0.2">
      <c r="A61" s="251" t="s">
        <v>260</v>
      </c>
      <c r="B61" s="243"/>
      <c r="C61" s="243">
        <f>-IF(C$47&lt;=$B$30,0,$B$29*(1+C$49)*$B$28)</f>
        <v>0</v>
      </c>
      <c r="D61" s="243">
        <f>-IF(D$47&lt;=$B$30,0,$B$29*(1+D$49)*$B$28)</f>
        <v>0</v>
      </c>
      <c r="E61" s="243">
        <f>-IF(E$47&lt;=$B$30,0,$B$29*(1+E$49)*$B$28)</f>
        <v>-2922.9430975040982</v>
      </c>
      <c r="F61" s="243">
        <f t="shared" ref="F61:AP61" si="12">-IF(F$47&lt;=$B$30,0,$B$29*(1+F$49)*$B$28)</f>
        <v>-3060.3214230867907</v>
      </c>
      <c r="G61" s="243">
        <f t="shared" si="12"/>
        <v>-3204.1565299718695</v>
      </c>
      <c r="H61" s="243">
        <f t="shared" si="12"/>
        <v>-3354.7518868805473</v>
      </c>
      <c r="I61" s="243">
        <f t="shared" si="12"/>
        <v>-3512.4252255639326</v>
      </c>
      <c r="J61" s="243">
        <f t="shared" si="12"/>
        <v>-3677.5092111654371</v>
      </c>
      <c r="K61" s="243">
        <f t="shared" si="12"/>
        <v>-3850.3521440902127</v>
      </c>
      <c r="L61" s="243">
        <f t="shared" si="12"/>
        <v>-4031.3186948624525</v>
      </c>
      <c r="M61" s="243">
        <f t="shared" si="12"/>
        <v>-4220.7906735209872</v>
      </c>
      <c r="N61" s="243">
        <f t="shared" si="12"/>
        <v>-4419.1678351764731</v>
      </c>
      <c r="O61" s="243">
        <f t="shared" si="12"/>
        <v>-4626.8687234297668</v>
      </c>
      <c r="P61" s="243">
        <f t="shared" si="12"/>
        <v>-4844.3315534309659</v>
      </c>
      <c r="Q61" s="243">
        <f t="shared" si="12"/>
        <v>-5072.0151364422209</v>
      </c>
      <c r="R61" s="243">
        <f t="shared" si="12"/>
        <v>-5310.3998478550047</v>
      </c>
      <c r="S61" s="243">
        <f t="shared" si="12"/>
        <v>-5559.9886407041904</v>
      </c>
      <c r="T61" s="243">
        <f t="shared" si="12"/>
        <v>-5821.3081068172869</v>
      </c>
      <c r="U61" s="243">
        <f t="shared" si="12"/>
        <v>-6094.9095878376984</v>
      </c>
      <c r="V61" s="243">
        <f t="shared" si="12"/>
        <v>-6381.3703384660694</v>
      </c>
      <c r="W61" s="243">
        <f t="shared" si="12"/>
        <v>-6681.2947443739749</v>
      </c>
      <c r="X61" s="243">
        <f t="shared" si="12"/>
        <v>-6995.3155973595512</v>
      </c>
      <c r="Y61" s="243">
        <f t="shared" si="12"/>
        <v>-7324.09543043545</v>
      </c>
      <c r="Z61" s="243">
        <f t="shared" si="12"/>
        <v>-7668.3279156659155</v>
      </c>
      <c r="AA61" s="243">
        <f t="shared" si="12"/>
        <v>-8028.7393277022129</v>
      </c>
      <c r="AB61" s="243">
        <f t="shared" si="12"/>
        <v>-8406.0900761042158</v>
      </c>
      <c r="AC61" s="243">
        <f t="shared" si="12"/>
        <v>-8801.1763096811119</v>
      </c>
      <c r="AD61" s="243">
        <f t="shared" si="12"/>
        <v>-9214.831596236123</v>
      </c>
      <c r="AE61" s="243">
        <f t="shared" si="12"/>
        <v>-9647.92868125922</v>
      </c>
      <c r="AF61" s="243">
        <f t="shared" si="12"/>
        <v>-10101.381329278403</v>
      </c>
      <c r="AG61" s="243">
        <f t="shared" si="12"/>
        <v>-10576.146251754488</v>
      </c>
      <c r="AH61" s="243">
        <f t="shared" si="12"/>
        <v>-11073.225125586949</v>
      </c>
      <c r="AI61" s="243">
        <f t="shared" si="12"/>
        <v>-11593.666706489535</v>
      </c>
      <c r="AJ61" s="243">
        <f t="shared" si="12"/>
        <v>-12138.569041694542</v>
      </c>
      <c r="AK61" s="243">
        <f t="shared" si="12"/>
        <v>-12709.081786654186</v>
      </c>
      <c r="AL61" s="243">
        <f t="shared" si="12"/>
        <v>-13306.408630626931</v>
      </c>
      <c r="AM61" s="243">
        <f t="shared" si="12"/>
        <v>-13931.809836266395</v>
      </c>
      <c r="AN61" s="243">
        <f t="shared" si="12"/>
        <v>-14586.604898570915</v>
      </c>
      <c r="AO61" s="243">
        <f t="shared" si="12"/>
        <v>-15272.175328803745</v>
      </c>
      <c r="AP61" s="243">
        <f t="shared" si="12"/>
        <v>-15989.967569257522</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8">
        <f>-($B$25+C67)*0.022</f>
        <v>-44305.555555555555</v>
      </c>
      <c r="D65" s="338">
        <f>-($B$25+D67+C67)*0.022</f>
        <v>-42777.777777777774</v>
      </c>
      <c r="E65" s="339">
        <f>-($B$25+E67+C67+D67)*0.022</f>
        <v>-41250</v>
      </c>
      <c r="F65" s="339">
        <f>-($B$25+F67+D67+E67+C67)*0.022</f>
        <v>-39722.222222222219</v>
      </c>
      <c r="G65" s="339">
        <f>-($B$25+G67+E67+F67+D67+C67)*0.022</f>
        <v>-38194.444444444438</v>
      </c>
      <c r="H65" s="339">
        <f>-($B$25+H67+F67+G67+E67+C67+D67)*0.022</f>
        <v>-36666.666666666664</v>
      </c>
      <c r="I65" s="339">
        <f>-($B$25+C67+I67+G67+H67+F67+D67+E67)*0.022</f>
        <v>-35138.888888888883</v>
      </c>
      <c r="J65" s="339">
        <f>-($B$25+D67+J67+H67+I67+G67+E67+F67+C67)*0.022</f>
        <v>-33611.111111111102</v>
      </c>
      <c r="K65" s="339">
        <f>-($B$25+E67+K67+I67+J67+H67+F67+G67+C67+D67)*0.022</f>
        <v>-32083.333333333325</v>
      </c>
      <c r="L65" s="339">
        <f>-($B$25+F67+L67+J67+K67+I67+G67+H67+E67+D67+C67)*0.022</f>
        <v>-30555.555555555547</v>
      </c>
      <c r="M65" s="339">
        <f>-($B$25+G67+M67+K67+L67+J67+H67+I67+F67+E67+C67+D67)*0.022</f>
        <v>-29027.777777777766</v>
      </c>
      <c r="N65" s="339">
        <f>-($B$25+H67+N67+L67+M67+K67+I67+J67+G67+F67+E67+C67+D67)*0.022</f>
        <v>-27499.999999999989</v>
      </c>
      <c r="O65" s="339">
        <f>-($B$25+I67+O67+M67+N67+L67+J67+K67+H67+G67+F67+D67+C67+E67)*0.022</f>
        <v>-25972.222222222208</v>
      </c>
      <c r="P65" s="339">
        <f>-($B$25+J67+P67+N67+O67+M67+K67+L67+I67+H67+G67+E67+F67+C67+D67)*0.022</f>
        <v>-24444.444444444431</v>
      </c>
      <c r="Q65" s="339">
        <f>-($B$25+K67+Q67+O67+P67+N67+L67+M67+J67+I67+H67+F67+G67+D67+C67+E67)*0.022</f>
        <v>-22916.666666666653</v>
      </c>
      <c r="R65" s="339">
        <f>-($B$25+L67+R67+P67+Q67+O67+M67+N67+K67+J67+I67+G67+H67+E67+D67+C67+F67)*0.022</f>
        <v>-21388.888888888872</v>
      </c>
      <c r="S65" s="339">
        <f>-($B$25+M67+S67+Q67+R67+P67+N67+O67+L67+K67+J67+H67+I67+F67+E67+D67+C67+G67)*0.022</f>
        <v>-19861.111111111095</v>
      </c>
      <c r="T65" s="339">
        <f>-($B$25+N67+T67+R67+S67+Q67+O67+P67+M67+L67+K67+I67+J67+G67+F67+E67+D67+C67+H67)*0.022</f>
        <v>-18333.333333333314</v>
      </c>
      <c r="U65" s="339">
        <f>-($B$25+O67+U67+S67+T67+R67+P67+Q67+N67+M67+L67+J67+K67+H67+G67+F67+E67+C67+D67++I67)*0.022</f>
        <v>-16805.555555555537</v>
      </c>
      <c r="V65" s="339">
        <f>-($B$25+P67+V67+T67+U67+S67+Q67+R67+O67+N67+M67+K67+L67+I67+H67+G67+F67+D67+E67+C67+J67)*0.022</f>
        <v>-15277.777777777757</v>
      </c>
      <c r="W65" s="339">
        <f>-($B$25+Q67+W67+U67+V67+T67+R67+S67+P67+O67+N67+L67+M67+J67+I67+H67+G67+E67+F67+D67+C67+K67)*0.022</f>
        <v>-13749.999999999978</v>
      </c>
      <c r="X65" s="339">
        <f>-($B$25+R67+X67+V67+W67+U67+S67+T67+Q67+P67+O67+M67+N67+K67+J67+I67+H67+F67+G67+E67+D67+C67+L67)*0.022</f>
        <v>-12222.222222222199</v>
      </c>
      <c r="Y65" s="339">
        <f>-($B$25+S67+Y67+W67+X67+V67+T67+U67+R67+Q67+P67+N67+O67+L67+K67+J67+I67+G67+H67+F67+E67+D67+C67+M67)*0.022</f>
        <v>-10694.444444444422</v>
      </c>
      <c r="Z65" s="339">
        <f>-($B$25+T67+Z67+X67+Y67+W67+U67+V67+S67+R67+Q67+O67+P67+M67+L67+K67+J67+H67+I67+G67+F67+E67+D67+C67+N67)*0.022</f>
        <v>-9166.6666666666442</v>
      </c>
      <c r="AA65" s="339">
        <f>-($B$25+U67+AA67+Y67+Z67+X67+V67+W67+T67+S67+R67+P67+Q67+N67+M67+L67+K67+I67+J67+H67+G67+F67+E67+D67+C67+O67)*0.022</f>
        <v>-7638.8888888888669</v>
      </c>
      <c r="AB65" s="339">
        <f>-($B$25+V67+AB67+Z67+AA67+Y67+W67+X67+U67+T67+S67+Q67+R67+O67+N67+M67+L67+J67+K67+I67+H67+G67+F67+E67+D67+C67+P67)*0.022</f>
        <v>-6111.1111111110895</v>
      </c>
      <c r="AC65" s="339">
        <f>-($B$25+W67+AC67+AA67+AB67+Z67+X67+Y67+V67+U67+T67+R67+S67+P67+O67+N67+M67+K67+L67+J67+I67+H67+G67+F67+E67+D67+C67+Q67)*0.022</f>
        <v>-4583.3333333333121</v>
      </c>
      <c r="AD65" s="339">
        <f>-($B$25+X67+AD67+AB67+AC67+AA67+Y67+Z67+W67+V67+U67+S67+T67+Q67+P67+O67+N67+L67+M67+K67+J67+I67+H67+G67+F67+E67+D67+C67+R67)*0.022</f>
        <v>-3055.5555555555347</v>
      </c>
      <c r="AE65" s="339">
        <f>-($B$25+Y67+AE67+AC67+AD67+AB67+Z67+AA67+X67+W67+V67+T67+U67+R67+Q67+P67+O67+M67+N67+L67+K67+J67+I67+H67+G67+F67+E67+D67+C67+S67)*0.022</f>
        <v>-1527.7777777777567</v>
      </c>
      <c r="AF65" s="339">
        <f>-($B$25+Z67+AF67+AD67+AE67+AC67+AA67+AB67+Y67+X67+W67+U67+V67+S67+R67+Q67+P67+N67+O67+M67+L67+K67+J67+I67+H67+G67+F67+E67+D67+C67+T67)*0.022</f>
        <v>2.1129380911588668E-11</v>
      </c>
      <c r="AG65" s="243"/>
      <c r="AH65" s="243"/>
      <c r="AI65" s="243"/>
      <c r="AJ65" s="243"/>
      <c r="AK65" s="243"/>
      <c r="AL65" s="243"/>
      <c r="AM65" s="243"/>
      <c r="AN65" s="243"/>
      <c r="AO65" s="243"/>
      <c r="AP65" s="243"/>
    </row>
    <row r="66" spans="1:45" ht="28.5" x14ac:dyDescent="0.2">
      <c r="A66" s="252" t="s">
        <v>549</v>
      </c>
      <c r="B66" s="250">
        <f t="shared" ref="B66:AO66" si="13">B59+B60</f>
        <v>5000047.5</v>
      </c>
      <c r="C66" s="250">
        <f t="shared" si="13"/>
        <v>-44305.555555555555</v>
      </c>
      <c r="D66" s="250">
        <f t="shared" si="13"/>
        <v>264782.16083121521</v>
      </c>
      <c r="E66" s="250">
        <f t="shared" si="13"/>
        <v>491771.43069752294</v>
      </c>
      <c r="F66" s="250">
        <f t="shared" si="13"/>
        <v>798918.0953997809</v>
      </c>
      <c r="G66" s="250">
        <f t="shared" si="13"/>
        <v>1133615.491132529</v>
      </c>
      <c r="H66" s="250">
        <f t="shared" si="13"/>
        <v>1497778.2744914175</v>
      </c>
      <c r="I66" s="250">
        <f t="shared" si="13"/>
        <v>2215455.4759508562</v>
      </c>
      <c r="J66" s="250">
        <f t="shared" si="13"/>
        <v>2322761.1888761022</v>
      </c>
      <c r="K66" s="250">
        <f t="shared" si="13"/>
        <v>2435038.4647532785</v>
      </c>
      <c r="L66" s="250">
        <f t="shared" si="13"/>
        <v>2552520.9670411269</v>
      </c>
      <c r="M66" s="250">
        <f t="shared" si="13"/>
        <v>2675453.3413809487</v>
      </c>
      <c r="N66" s="250">
        <f t="shared" si="13"/>
        <v>2804091.7317591864</v>
      </c>
      <c r="O66" s="250">
        <f t="shared" si="13"/>
        <v>2938704.3209296456</v>
      </c>
      <c r="P66" s="250">
        <f t="shared" si="13"/>
        <v>3079571.896235561</v>
      </c>
      <c r="Q66" s="250">
        <f t="shared" si="13"/>
        <v>3226988.4420252992</v>
      </c>
      <c r="R66" s="250">
        <f t="shared" si="13"/>
        <v>3381261.7599115986</v>
      </c>
      <c r="S66" s="250">
        <f t="shared" si="13"/>
        <v>3542714.1181829995</v>
      </c>
      <c r="T66" s="250">
        <f t="shared" si="13"/>
        <v>3711682.9317375999</v>
      </c>
      <c r="U66" s="250">
        <f t="shared" si="13"/>
        <v>3888521.4739737115</v>
      </c>
      <c r="V66" s="250">
        <f t="shared" si="13"/>
        <v>4073599.622139364</v>
      </c>
      <c r="W66" s="250">
        <f t="shared" si="13"/>
        <v>4267304.637713247</v>
      </c>
      <c r="X66" s="250">
        <f t="shared" si="13"/>
        <v>4470041.9834635472</v>
      </c>
      <c r="Y66" s="250">
        <f t="shared" si="13"/>
        <v>4682236.1789085567</v>
      </c>
      <c r="Z66" s="250">
        <f t="shared" si="13"/>
        <v>4904331.6959839249</v>
      </c>
      <c r="AA66" s="250">
        <f t="shared" si="13"/>
        <v>5136793.8968062801</v>
      </c>
      <c r="AB66" s="250">
        <f t="shared" si="13"/>
        <v>5380110.0155117298</v>
      </c>
      <c r="AC66" s="250">
        <f t="shared" si="13"/>
        <v>5634790.1862407802</v>
      </c>
      <c r="AD66" s="250">
        <f t="shared" si="13"/>
        <v>5901368.5194385406</v>
      </c>
      <c r="AE66" s="250">
        <f t="shared" si="13"/>
        <v>6180404.2287410405</v>
      </c>
      <c r="AF66" s="250">
        <f t="shared" si="13"/>
        <v>6472482.8108252026</v>
      </c>
      <c r="AG66" s="250">
        <f t="shared" si="13"/>
        <v>6776689.5029339865</v>
      </c>
      <c r="AH66" s="250">
        <f t="shared" si="13"/>
        <v>7095193.9095718842</v>
      </c>
      <c r="AI66" s="250">
        <f t="shared" si="13"/>
        <v>7428668.0233217627</v>
      </c>
      <c r="AJ66" s="250">
        <f t="shared" si="13"/>
        <v>7777815.4204178844</v>
      </c>
      <c r="AK66" s="250">
        <f t="shared" si="13"/>
        <v>8143372.7451775251</v>
      </c>
      <c r="AL66" s="250">
        <f t="shared" si="13"/>
        <v>8526111.2642008681</v>
      </c>
      <c r="AM66" s="250">
        <f t="shared" si="13"/>
        <v>8926838.4936183076</v>
      </c>
      <c r="AN66" s="250">
        <f t="shared" si="13"/>
        <v>9346399.9028183687</v>
      </c>
      <c r="AO66" s="250">
        <f t="shared" si="13"/>
        <v>9785680.6982508283</v>
      </c>
      <c r="AP66" s="250">
        <f>AP59+AP60</f>
        <v>10245607.691068618</v>
      </c>
    </row>
    <row r="67" spans="1:45" x14ac:dyDescent="0.2">
      <c r="A67" s="251" t="s">
        <v>255</v>
      </c>
      <c r="B67" s="253"/>
      <c r="C67" s="333">
        <f>-($B$25)*$B$28/$B$27</f>
        <v>-69444.444444444453</v>
      </c>
      <c r="D67" s="333">
        <f>C67</f>
        <v>-69444.444444444453</v>
      </c>
      <c r="E67" s="333">
        <f t="shared" ref="E67:L67" si="14">D67</f>
        <v>-69444.444444444453</v>
      </c>
      <c r="F67" s="333">
        <f t="shared" si="14"/>
        <v>-69444.444444444453</v>
      </c>
      <c r="G67" s="333">
        <f t="shared" si="14"/>
        <v>-69444.444444444453</v>
      </c>
      <c r="H67" s="333">
        <f t="shared" si="14"/>
        <v>-69444.444444444453</v>
      </c>
      <c r="I67" s="333">
        <f t="shared" si="14"/>
        <v>-69444.444444444453</v>
      </c>
      <c r="J67" s="333">
        <f t="shared" si="14"/>
        <v>-69444.444444444453</v>
      </c>
      <c r="K67" s="333">
        <f t="shared" si="14"/>
        <v>-69444.444444444453</v>
      </c>
      <c r="L67" s="333">
        <f t="shared" si="14"/>
        <v>-69444.444444444453</v>
      </c>
      <c r="M67" s="243">
        <f t="shared" ref="M67:AP67" si="15">L67</f>
        <v>-69444.444444444453</v>
      </c>
      <c r="N67" s="243">
        <f t="shared" si="15"/>
        <v>-69444.444444444453</v>
      </c>
      <c r="O67" s="243">
        <f t="shared" si="15"/>
        <v>-69444.444444444453</v>
      </c>
      <c r="P67" s="243">
        <f t="shared" si="15"/>
        <v>-69444.444444444453</v>
      </c>
      <c r="Q67" s="243">
        <f t="shared" si="15"/>
        <v>-69444.444444444453</v>
      </c>
      <c r="R67" s="243">
        <f t="shared" si="15"/>
        <v>-69444.444444444453</v>
      </c>
      <c r="S67" s="243">
        <f t="shared" si="15"/>
        <v>-69444.444444444453</v>
      </c>
      <c r="T67" s="243">
        <f t="shared" si="15"/>
        <v>-69444.444444444453</v>
      </c>
      <c r="U67" s="243">
        <f t="shared" si="15"/>
        <v>-69444.444444444453</v>
      </c>
      <c r="V67" s="243">
        <f t="shared" si="15"/>
        <v>-69444.444444444453</v>
      </c>
      <c r="W67" s="243">
        <f t="shared" si="15"/>
        <v>-69444.444444444453</v>
      </c>
      <c r="X67" s="243">
        <f t="shared" si="15"/>
        <v>-69444.444444444453</v>
      </c>
      <c r="Y67" s="243">
        <f t="shared" si="15"/>
        <v>-69444.444444444453</v>
      </c>
      <c r="Z67" s="243">
        <f t="shared" si="15"/>
        <v>-69444.444444444453</v>
      </c>
      <c r="AA67" s="243">
        <f t="shared" si="15"/>
        <v>-69444.444444444453</v>
      </c>
      <c r="AB67" s="243">
        <f t="shared" si="15"/>
        <v>-69444.444444444453</v>
      </c>
      <c r="AC67" s="243">
        <f t="shared" si="15"/>
        <v>-69444.444444444453</v>
      </c>
      <c r="AD67" s="243">
        <f t="shared" si="15"/>
        <v>-69444.444444444453</v>
      </c>
      <c r="AE67" s="243">
        <f t="shared" si="15"/>
        <v>-69444.444444444453</v>
      </c>
      <c r="AF67" s="243">
        <f t="shared" si="15"/>
        <v>-69444.444444444453</v>
      </c>
      <c r="AG67" s="243">
        <f t="shared" si="15"/>
        <v>-69444.444444444453</v>
      </c>
      <c r="AH67" s="243">
        <f t="shared" si="15"/>
        <v>-69444.444444444453</v>
      </c>
      <c r="AI67" s="243">
        <f t="shared" si="15"/>
        <v>-69444.444444444453</v>
      </c>
      <c r="AJ67" s="243">
        <f t="shared" si="15"/>
        <v>-69444.444444444453</v>
      </c>
      <c r="AK67" s="243">
        <f t="shared" si="15"/>
        <v>-69444.444444444453</v>
      </c>
      <c r="AL67" s="243">
        <f t="shared" si="15"/>
        <v>-69444.444444444453</v>
      </c>
      <c r="AM67" s="243">
        <f t="shared" si="15"/>
        <v>-69444.444444444453</v>
      </c>
      <c r="AN67" s="243">
        <f t="shared" si="15"/>
        <v>-69444.444444444453</v>
      </c>
      <c r="AO67" s="243">
        <f t="shared" si="15"/>
        <v>-69444.444444444453</v>
      </c>
      <c r="AP67" s="243">
        <f t="shared" si="15"/>
        <v>-69444.444444444453</v>
      </c>
      <c r="AQ67" s="254"/>
      <c r="AR67" s="255"/>
      <c r="AS67" s="255"/>
    </row>
    <row r="68" spans="1:45" ht="28.5" x14ac:dyDescent="0.2">
      <c r="A68" s="252" t="s">
        <v>550</v>
      </c>
      <c r="B68" s="250">
        <f t="shared" ref="B68:J68" si="16">B66+B67</f>
        <v>5000047.5</v>
      </c>
      <c r="C68" s="250">
        <f>C66+C67</f>
        <v>-113750</v>
      </c>
      <c r="D68" s="250">
        <f>D66+D67</f>
        <v>195337.71638677077</v>
      </c>
      <c r="E68" s="250">
        <f t="shared" si="16"/>
        <v>422326.9862530785</v>
      </c>
      <c r="F68" s="250">
        <f>F66+C67</f>
        <v>729473.6509553364</v>
      </c>
      <c r="G68" s="250">
        <f t="shared" si="16"/>
        <v>1064171.0466880845</v>
      </c>
      <c r="H68" s="250">
        <f t="shared" si="16"/>
        <v>1428333.830046973</v>
      </c>
      <c r="I68" s="250">
        <f t="shared" si="16"/>
        <v>2146011.0315064117</v>
      </c>
      <c r="J68" s="250">
        <f t="shared" si="16"/>
        <v>2253316.7444316577</v>
      </c>
      <c r="K68" s="250">
        <f>K66+K67</f>
        <v>2365594.020308834</v>
      </c>
      <c r="L68" s="250">
        <f>L66+L67</f>
        <v>2483076.5225966824</v>
      </c>
      <c r="M68" s="250">
        <f t="shared" ref="M68:AO68" si="17">M66+M67</f>
        <v>2606008.8969365042</v>
      </c>
      <c r="N68" s="250">
        <f t="shared" si="17"/>
        <v>2734647.2873147419</v>
      </c>
      <c r="O68" s="250">
        <f t="shared" si="17"/>
        <v>2869259.8764852011</v>
      </c>
      <c r="P68" s="250">
        <f t="shared" si="17"/>
        <v>3010127.4517911165</v>
      </c>
      <c r="Q68" s="250">
        <f t="shared" si="17"/>
        <v>3157543.9975808547</v>
      </c>
      <c r="R68" s="250">
        <f t="shared" si="17"/>
        <v>3311817.3154671541</v>
      </c>
      <c r="S68" s="250">
        <f t="shared" si="17"/>
        <v>3473269.6737385551</v>
      </c>
      <c r="T68" s="250">
        <f t="shared" si="17"/>
        <v>3642238.4872931554</v>
      </c>
      <c r="U68" s="250">
        <f t="shared" si="17"/>
        <v>3819077.029529267</v>
      </c>
      <c r="V68" s="250">
        <f t="shared" si="17"/>
        <v>4004155.1776949195</v>
      </c>
      <c r="W68" s="250">
        <f t="shared" si="17"/>
        <v>4197860.1932688029</v>
      </c>
      <c r="X68" s="250">
        <f t="shared" si="17"/>
        <v>4400597.5390191032</v>
      </c>
      <c r="Y68" s="250">
        <f t="shared" si="17"/>
        <v>4612791.7344641127</v>
      </c>
      <c r="Z68" s="250">
        <f t="shared" si="17"/>
        <v>4834887.2515394809</v>
      </c>
      <c r="AA68" s="250">
        <f t="shared" si="17"/>
        <v>5067349.4523618361</v>
      </c>
      <c r="AB68" s="250">
        <f t="shared" si="17"/>
        <v>5310665.5710672857</v>
      </c>
      <c r="AC68" s="250">
        <f t="shared" si="17"/>
        <v>5565345.7417963361</v>
      </c>
      <c r="AD68" s="250">
        <f t="shared" si="17"/>
        <v>5831924.0749940965</v>
      </c>
      <c r="AE68" s="250">
        <f t="shared" si="17"/>
        <v>6110959.7842965964</v>
      </c>
      <c r="AF68" s="250">
        <f t="shared" si="17"/>
        <v>6403038.3663807586</v>
      </c>
      <c r="AG68" s="250">
        <f t="shared" si="17"/>
        <v>6707245.0584895425</v>
      </c>
      <c r="AH68" s="250">
        <f t="shared" si="17"/>
        <v>7025749.4651274402</v>
      </c>
      <c r="AI68" s="250">
        <f t="shared" si="17"/>
        <v>7359223.5788773187</v>
      </c>
      <c r="AJ68" s="250">
        <f t="shared" si="17"/>
        <v>7708370.9759734403</v>
      </c>
      <c r="AK68" s="250">
        <f t="shared" si="17"/>
        <v>8073928.3007330811</v>
      </c>
      <c r="AL68" s="250">
        <f t="shared" si="17"/>
        <v>8456666.8197564241</v>
      </c>
      <c r="AM68" s="250">
        <f t="shared" si="17"/>
        <v>8857394.0491738636</v>
      </c>
      <c r="AN68" s="250">
        <f t="shared" si="17"/>
        <v>9276955.4583739247</v>
      </c>
      <c r="AO68" s="250">
        <f t="shared" si="17"/>
        <v>9716236.2538063843</v>
      </c>
      <c r="AP68" s="250">
        <f>AP66+AP67</f>
        <v>10176163.246624174</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5000047.5</v>
      </c>
      <c r="C70" s="250">
        <f t="shared" si="19"/>
        <v>-113750</v>
      </c>
      <c r="D70" s="250">
        <f t="shared" si="19"/>
        <v>195337.71638677077</v>
      </c>
      <c r="E70" s="250">
        <f t="shared" si="19"/>
        <v>422326.9862530785</v>
      </c>
      <c r="F70" s="250">
        <f t="shared" si="19"/>
        <v>729473.6509553364</v>
      </c>
      <c r="G70" s="250">
        <f t="shared" si="19"/>
        <v>1064171.0466880845</v>
      </c>
      <c r="H70" s="250">
        <f t="shared" si="19"/>
        <v>1428333.830046973</v>
      </c>
      <c r="I70" s="250">
        <f t="shared" si="19"/>
        <v>2146011.0315064117</v>
      </c>
      <c r="J70" s="250">
        <f t="shared" si="19"/>
        <v>2253316.7444316577</v>
      </c>
      <c r="K70" s="250">
        <f t="shared" si="19"/>
        <v>2365594.020308834</v>
      </c>
      <c r="L70" s="250">
        <f t="shared" si="19"/>
        <v>2483076.5225966824</v>
      </c>
      <c r="M70" s="250">
        <f t="shared" si="19"/>
        <v>2606008.8969365042</v>
      </c>
      <c r="N70" s="250">
        <f t="shared" si="19"/>
        <v>2734647.2873147419</v>
      </c>
      <c r="O70" s="250">
        <f t="shared" si="19"/>
        <v>2869259.8764852011</v>
      </c>
      <c r="P70" s="250">
        <f t="shared" si="19"/>
        <v>3010127.4517911165</v>
      </c>
      <c r="Q70" s="250">
        <f t="shared" si="19"/>
        <v>3157543.9975808547</v>
      </c>
      <c r="R70" s="250">
        <f t="shared" si="19"/>
        <v>3311817.3154671541</v>
      </c>
      <c r="S70" s="250">
        <f t="shared" si="19"/>
        <v>3473269.6737385551</v>
      </c>
      <c r="T70" s="250">
        <f t="shared" si="19"/>
        <v>3642238.4872931554</v>
      </c>
      <c r="U70" s="250">
        <f t="shared" si="19"/>
        <v>3819077.029529267</v>
      </c>
      <c r="V70" s="250">
        <f t="shared" si="19"/>
        <v>4004155.1776949195</v>
      </c>
      <c r="W70" s="250">
        <f t="shared" si="19"/>
        <v>4197860.1932688029</v>
      </c>
      <c r="X70" s="250">
        <f t="shared" si="19"/>
        <v>4400597.5390191032</v>
      </c>
      <c r="Y70" s="250">
        <f t="shared" si="19"/>
        <v>4612791.7344641127</v>
      </c>
      <c r="Z70" s="250">
        <f t="shared" si="19"/>
        <v>4834887.2515394809</v>
      </c>
      <c r="AA70" s="250">
        <f t="shared" si="19"/>
        <v>5067349.4523618361</v>
      </c>
      <c r="AB70" s="250">
        <f t="shared" si="19"/>
        <v>5310665.5710672857</v>
      </c>
      <c r="AC70" s="250">
        <f t="shared" si="19"/>
        <v>5565345.7417963361</v>
      </c>
      <c r="AD70" s="250">
        <f t="shared" si="19"/>
        <v>5831924.0749940965</v>
      </c>
      <c r="AE70" s="250">
        <f t="shared" si="19"/>
        <v>6110959.7842965964</v>
      </c>
      <c r="AF70" s="250">
        <f t="shared" si="19"/>
        <v>6403038.3663807586</v>
      </c>
      <c r="AG70" s="250">
        <f t="shared" si="19"/>
        <v>6707245.0584895425</v>
      </c>
      <c r="AH70" s="250">
        <f t="shared" si="19"/>
        <v>7025749.4651274402</v>
      </c>
      <c r="AI70" s="250">
        <f t="shared" si="19"/>
        <v>7359223.5788773187</v>
      </c>
      <c r="AJ70" s="250">
        <f t="shared" si="19"/>
        <v>7708370.9759734403</v>
      </c>
      <c r="AK70" s="250">
        <f t="shared" si="19"/>
        <v>8073928.3007330811</v>
      </c>
      <c r="AL70" s="250">
        <f t="shared" si="19"/>
        <v>8456666.8197564241</v>
      </c>
      <c r="AM70" s="250">
        <f t="shared" si="19"/>
        <v>8857394.0491738636</v>
      </c>
      <c r="AN70" s="250">
        <f t="shared" si="19"/>
        <v>9276955.4583739247</v>
      </c>
      <c r="AO70" s="250">
        <f t="shared" si="19"/>
        <v>9716236.2538063843</v>
      </c>
      <c r="AP70" s="250">
        <f>AP68+AP69</f>
        <v>10176163.246624174</v>
      </c>
    </row>
    <row r="71" spans="1:45" x14ac:dyDescent="0.2">
      <c r="A71" s="251" t="s">
        <v>253</v>
      </c>
      <c r="B71" s="243">
        <f t="shared" ref="B71:AP71" si="20">-B70*$B$36</f>
        <v>-1000009.5</v>
      </c>
      <c r="C71" s="243">
        <f t="shared" si="20"/>
        <v>22750</v>
      </c>
      <c r="D71" s="243">
        <f t="shared" si="20"/>
        <v>-39067.543277354154</v>
      </c>
      <c r="E71" s="243">
        <f t="shared" si="20"/>
        <v>-84465.397250615701</v>
      </c>
      <c r="F71" s="243">
        <f t="shared" si="20"/>
        <v>-145894.7301910673</v>
      </c>
      <c r="G71" s="243">
        <f t="shared" si="20"/>
        <v>-212834.20933761692</v>
      </c>
      <c r="H71" s="243">
        <f t="shared" si="20"/>
        <v>-285666.7660093946</v>
      </c>
      <c r="I71" s="243">
        <f t="shared" si="20"/>
        <v>-429202.20630128239</v>
      </c>
      <c r="J71" s="243">
        <f t="shared" si="20"/>
        <v>-450663.34888633154</v>
      </c>
      <c r="K71" s="243">
        <f t="shared" si="20"/>
        <v>-473118.80406176683</v>
      </c>
      <c r="L71" s="243">
        <f t="shared" si="20"/>
        <v>-496615.3045193365</v>
      </c>
      <c r="M71" s="243">
        <f t="shared" si="20"/>
        <v>-521201.77938730083</v>
      </c>
      <c r="N71" s="243">
        <f t="shared" si="20"/>
        <v>-546929.4574629484</v>
      </c>
      <c r="O71" s="243">
        <f t="shared" si="20"/>
        <v>-573851.97529704019</v>
      </c>
      <c r="P71" s="243">
        <f t="shared" si="20"/>
        <v>-602025.49035822332</v>
      </c>
      <c r="Q71" s="243">
        <f t="shared" si="20"/>
        <v>-631508.79951617098</v>
      </c>
      <c r="R71" s="243">
        <f t="shared" si="20"/>
        <v>-662363.46309343085</v>
      </c>
      <c r="S71" s="243">
        <f t="shared" si="20"/>
        <v>-694653.93474771106</v>
      </c>
      <c r="T71" s="243">
        <f t="shared" si="20"/>
        <v>-728447.69745863113</v>
      </c>
      <c r="U71" s="243">
        <f t="shared" si="20"/>
        <v>-763815.40590585349</v>
      </c>
      <c r="V71" s="243">
        <f t="shared" si="20"/>
        <v>-800831.035538984</v>
      </c>
      <c r="W71" s="243">
        <f t="shared" si="20"/>
        <v>-839572.03865376068</v>
      </c>
      <c r="X71" s="243">
        <f t="shared" si="20"/>
        <v>-880119.50780382066</v>
      </c>
      <c r="Y71" s="243">
        <f t="shared" si="20"/>
        <v>-922558.34689282253</v>
      </c>
      <c r="Z71" s="243">
        <f t="shared" si="20"/>
        <v>-966977.45030789624</v>
      </c>
      <c r="AA71" s="243">
        <f t="shared" si="20"/>
        <v>-1013469.8904723673</v>
      </c>
      <c r="AB71" s="243">
        <f t="shared" si="20"/>
        <v>-1062133.1142134571</v>
      </c>
      <c r="AC71" s="243">
        <f t="shared" si="20"/>
        <v>-1113069.1483592673</v>
      </c>
      <c r="AD71" s="243">
        <f t="shared" si="20"/>
        <v>-1166384.8149988193</v>
      </c>
      <c r="AE71" s="243">
        <f t="shared" si="20"/>
        <v>-1222191.9568593192</v>
      </c>
      <c r="AF71" s="243">
        <f t="shared" si="20"/>
        <v>-1280607.6732761518</v>
      </c>
      <c r="AG71" s="243">
        <f t="shared" si="20"/>
        <v>-1341449.0116979086</v>
      </c>
      <c r="AH71" s="243">
        <f t="shared" si="20"/>
        <v>-1405149.8930254881</v>
      </c>
      <c r="AI71" s="243">
        <f t="shared" si="20"/>
        <v>-1471844.7157754637</v>
      </c>
      <c r="AJ71" s="243">
        <f t="shared" si="20"/>
        <v>-1541674.1951946882</v>
      </c>
      <c r="AK71" s="243">
        <f t="shared" si="20"/>
        <v>-1614785.6601466164</v>
      </c>
      <c r="AL71" s="243">
        <f t="shared" si="20"/>
        <v>-1691333.3639512849</v>
      </c>
      <c r="AM71" s="243">
        <f t="shared" si="20"/>
        <v>-1771478.8098347727</v>
      </c>
      <c r="AN71" s="243">
        <f t="shared" si="20"/>
        <v>-1855391.0916747851</v>
      </c>
      <c r="AO71" s="243">
        <f t="shared" si="20"/>
        <v>-1943247.250761277</v>
      </c>
      <c r="AP71" s="243">
        <f t="shared" si="20"/>
        <v>-2035232.6493248348</v>
      </c>
    </row>
    <row r="72" spans="1:45" ht="15" thickBot="1" x14ac:dyDescent="0.25">
      <c r="A72" s="256" t="s">
        <v>257</v>
      </c>
      <c r="B72" s="257">
        <f t="shared" ref="B72:AO72" si="21">B70+B71</f>
        <v>4000038</v>
      </c>
      <c r="C72" s="257">
        <f t="shared" si="21"/>
        <v>-91000</v>
      </c>
      <c r="D72" s="257">
        <f t="shared" si="21"/>
        <v>156270.17310941662</v>
      </c>
      <c r="E72" s="257">
        <f t="shared" si="21"/>
        <v>337861.5890024628</v>
      </c>
      <c r="F72" s="257">
        <f t="shared" si="21"/>
        <v>583578.92076426907</v>
      </c>
      <c r="G72" s="257">
        <f t="shared" si="21"/>
        <v>851336.83735046757</v>
      </c>
      <c r="H72" s="257">
        <f t="shared" si="21"/>
        <v>1142667.0640375784</v>
      </c>
      <c r="I72" s="257">
        <f t="shared" si="21"/>
        <v>1716808.8252051293</v>
      </c>
      <c r="J72" s="257">
        <f t="shared" si="21"/>
        <v>1802653.3955453262</v>
      </c>
      <c r="K72" s="257">
        <f t="shared" si="21"/>
        <v>1892475.2162470673</v>
      </c>
      <c r="L72" s="257">
        <f t="shared" si="21"/>
        <v>1986461.218077346</v>
      </c>
      <c r="M72" s="257">
        <f t="shared" si="21"/>
        <v>2084807.1175492033</v>
      </c>
      <c r="N72" s="257">
        <f t="shared" si="21"/>
        <v>2187717.8298517936</v>
      </c>
      <c r="O72" s="257">
        <f t="shared" si="21"/>
        <v>2295407.9011881608</v>
      </c>
      <c r="P72" s="257">
        <f t="shared" si="21"/>
        <v>2408101.9614328933</v>
      </c>
      <c r="Q72" s="257">
        <f t="shared" si="21"/>
        <v>2526035.1980646839</v>
      </c>
      <c r="R72" s="257">
        <f t="shared" si="21"/>
        <v>2649453.8523737234</v>
      </c>
      <c r="S72" s="257">
        <f t="shared" si="21"/>
        <v>2778615.7389908442</v>
      </c>
      <c r="T72" s="257">
        <f t="shared" si="21"/>
        <v>2913790.7898345245</v>
      </c>
      <c r="U72" s="257">
        <f t="shared" si="21"/>
        <v>3055261.6236234135</v>
      </c>
      <c r="V72" s="257">
        <f t="shared" si="21"/>
        <v>3203324.1421559355</v>
      </c>
      <c r="W72" s="257">
        <f t="shared" si="21"/>
        <v>3358288.1546150423</v>
      </c>
      <c r="X72" s="257">
        <f t="shared" si="21"/>
        <v>3520478.0312152826</v>
      </c>
      <c r="Y72" s="257">
        <f t="shared" si="21"/>
        <v>3690233.3875712901</v>
      </c>
      <c r="Z72" s="257">
        <f t="shared" si="21"/>
        <v>3867909.8012315845</v>
      </c>
      <c r="AA72" s="257">
        <f t="shared" si="21"/>
        <v>4053879.5618894687</v>
      </c>
      <c r="AB72" s="257">
        <f t="shared" si="21"/>
        <v>4248532.4568538284</v>
      </c>
      <c r="AC72" s="257">
        <f t="shared" si="21"/>
        <v>4452276.5934370691</v>
      </c>
      <c r="AD72" s="257">
        <f t="shared" si="21"/>
        <v>4665539.259995277</v>
      </c>
      <c r="AE72" s="257">
        <f t="shared" si="21"/>
        <v>4888767.827437277</v>
      </c>
      <c r="AF72" s="257">
        <f t="shared" si="21"/>
        <v>5122430.6931046071</v>
      </c>
      <c r="AG72" s="257">
        <f t="shared" si="21"/>
        <v>5365796.0467916336</v>
      </c>
      <c r="AH72" s="257">
        <f t="shared" si="21"/>
        <v>5620599.5721019525</v>
      </c>
      <c r="AI72" s="257">
        <f t="shared" si="21"/>
        <v>5887378.8631018549</v>
      </c>
      <c r="AJ72" s="257">
        <f t="shared" si="21"/>
        <v>6166696.7807787526</v>
      </c>
      <c r="AK72" s="257">
        <f t="shared" si="21"/>
        <v>6459142.6405864647</v>
      </c>
      <c r="AL72" s="257">
        <f t="shared" si="21"/>
        <v>6765333.4558051396</v>
      </c>
      <c r="AM72" s="257">
        <f t="shared" si="21"/>
        <v>7085915.2393390909</v>
      </c>
      <c r="AN72" s="257">
        <f t="shared" si="21"/>
        <v>7421564.3666991396</v>
      </c>
      <c r="AO72" s="257">
        <f t="shared" si="21"/>
        <v>7772989.0030451072</v>
      </c>
      <c r="AP72" s="257">
        <f>AP70+AP71</f>
        <v>8140930.5972993392</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5000047.5</v>
      </c>
      <c r="C75" s="250">
        <f t="shared" si="24"/>
        <v>-113750</v>
      </c>
      <c r="D75" s="250">
        <f>D68</f>
        <v>195337.71638677077</v>
      </c>
      <c r="E75" s="250">
        <f t="shared" si="24"/>
        <v>422326.9862530785</v>
      </c>
      <c r="F75" s="250">
        <f t="shared" si="24"/>
        <v>729473.6509553364</v>
      </c>
      <c r="G75" s="250">
        <f t="shared" si="24"/>
        <v>1064171.0466880845</v>
      </c>
      <c r="H75" s="250">
        <f t="shared" si="24"/>
        <v>1428333.830046973</v>
      </c>
      <c r="I75" s="250">
        <f t="shared" si="24"/>
        <v>2146011.0315064117</v>
      </c>
      <c r="J75" s="250">
        <f t="shared" si="24"/>
        <v>2253316.7444316577</v>
      </c>
      <c r="K75" s="250">
        <f t="shared" si="24"/>
        <v>2365594.020308834</v>
      </c>
      <c r="L75" s="250">
        <f t="shared" si="24"/>
        <v>2483076.5225966824</v>
      </c>
      <c r="M75" s="250">
        <f t="shared" si="24"/>
        <v>2606008.8969365042</v>
      </c>
      <c r="N75" s="250">
        <f t="shared" si="24"/>
        <v>2734647.2873147419</v>
      </c>
      <c r="O75" s="250">
        <f t="shared" si="24"/>
        <v>2869259.8764852011</v>
      </c>
      <c r="P75" s="250">
        <f t="shared" si="24"/>
        <v>3010127.4517911165</v>
      </c>
      <c r="Q75" s="250">
        <f t="shared" si="24"/>
        <v>3157543.9975808547</v>
      </c>
      <c r="R75" s="250">
        <f t="shared" si="24"/>
        <v>3311817.3154671541</v>
      </c>
      <c r="S75" s="250">
        <f t="shared" si="24"/>
        <v>3473269.6737385551</v>
      </c>
      <c r="T75" s="250">
        <f t="shared" si="24"/>
        <v>3642238.4872931554</v>
      </c>
      <c r="U75" s="250">
        <f t="shared" si="24"/>
        <v>3819077.029529267</v>
      </c>
      <c r="V75" s="250">
        <f t="shared" si="24"/>
        <v>4004155.1776949195</v>
      </c>
      <c r="W75" s="250">
        <f t="shared" si="24"/>
        <v>4197860.1932688029</v>
      </c>
      <c r="X75" s="250">
        <f t="shared" si="24"/>
        <v>4400597.5390191032</v>
      </c>
      <c r="Y75" s="250">
        <f t="shared" si="24"/>
        <v>4612791.7344641127</v>
      </c>
      <c r="Z75" s="250">
        <f t="shared" si="24"/>
        <v>4834887.2515394809</v>
      </c>
      <c r="AA75" s="250">
        <f t="shared" si="24"/>
        <v>5067349.4523618361</v>
      </c>
      <c r="AB75" s="250">
        <f t="shared" si="24"/>
        <v>5310665.5710672857</v>
      </c>
      <c r="AC75" s="250">
        <f t="shared" si="24"/>
        <v>5565345.7417963361</v>
      </c>
      <c r="AD75" s="250">
        <f t="shared" si="24"/>
        <v>5831924.0749940965</v>
      </c>
      <c r="AE75" s="250">
        <f t="shared" si="24"/>
        <v>6110959.7842965964</v>
      </c>
      <c r="AF75" s="250">
        <f t="shared" si="24"/>
        <v>6403038.3663807586</v>
      </c>
      <c r="AG75" s="250">
        <f t="shared" si="24"/>
        <v>6707245.0584895425</v>
      </c>
      <c r="AH75" s="250">
        <f t="shared" si="24"/>
        <v>7025749.4651274402</v>
      </c>
      <c r="AI75" s="250">
        <f t="shared" si="24"/>
        <v>7359223.5788773187</v>
      </c>
      <c r="AJ75" s="250">
        <f t="shared" si="24"/>
        <v>7708370.9759734403</v>
      </c>
      <c r="AK75" s="250">
        <f t="shared" si="24"/>
        <v>8073928.3007330811</v>
      </c>
      <c r="AL75" s="250">
        <f t="shared" si="24"/>
        <v>8456666.8197564241</v>
      </c>
      <c r="AM75" s="250">
        <f t="shared" si="24"/>
        <v>8857394.0491738636</v>
      </c>
      <c r="AN75" s="250">
        <f t="shared" si="24"/>
        <v>9276955.4583739247</v>
      </c>
      <c r="AO75" s="250">
        <f t="shared" si="24"/>
        <v>9716236.2538063843</v>
      </c>
      <c r="AP75" s="250">
        <f>AP68</f>
        <v>10176163.246624174</v>
      </c>
    </row>
    <row r="76" spans="1:45" x14ac:dyDescent="0.2">
      <c r="A76" s="251" t="s">
        <v>255</v>
      </c>
      <c r="B76" s="243">
        <f t="shared" ref="B76:AO76" si="25">-B67</f>
        <v>0</v>
      </c>
      <c r="C76" s="243">
        <f>-C67</f>
        <v>69444.444444444453</v>
      </c>
      <c r="D76" s="243">
        <f t="shared" si="25"/>
        <v>69444.444444444453</v>
      </c>
      <c r="E76" s="243">
        <f t="shared" si="25"/>
        <v>69444.444444444453</v>
      </c>
      <c r="F76" s="243">
        <f>-C67</f>
        <v>69444.444444444453</v>
      </c>
      <c r="G76" s="243">
        <f t="shared" si="25"/>
        <v>69444.444444444453</v>
      </c>
      <c r="H76" s="243">
        <f t="shared" si="25"/>
        <v>69444.444444444453</v>
      </c>
      <c r="I76" s="243">
        <f t="shared" si="25"/>
        <v>69444.444444444453</v>
      </c>
      <c r="J76" s="243">
        <f t="shared" si="25"/>
        <v>69444.444444444453</v>
      </c>
      <c r="K76" s="243">
        <f t="shared" si="25"/>
        <v>69444.444444444453</v>
      </c>
      <c r="L76" s="243">
        <f>-L67</f>
        <v>69444.444444444453</v>
      </c>
      <c r="M76" s="243">
        <f>-M67</f>
        <v>69444.444444444453</v>
      </c>
      <c r="N76" s="243">
        <f t="shared" si="25"/>
        <v>69444.444444444453</v>
      </c>
      <c r="O76" s="243">
        <f t="shared" si="25"/>
        <v>69444.444444444453</v>
      </c>
      <c r="P76" s="243">
        <f t="shared" si="25"/>
        <v>69444.444444444453</v>
      </c>
      <c r="Q76" s="243">
        <f t="shared" si="25"/>
        <v>69444.444444444453</v>
      </c>
      <c r="R76" s="243">
        <f t="shared" si="25"/>
        <v>69444.444444444453</v>
      </c>
      <c r="S76" s="243">
        <f t="shared" si="25"/>
        <v>69444.444444444453</v>
      </c>
      <c r="T76" s="243">
        <f t="shared" si="25"/>
        <v>69444.444444444453</v>
      </c>
      <c r="U76" s="243">
        <f t="shared" si="25"/>
        <v>69444.444444444453</v>
      </c>
      <c r="V76" s="243">
        <f t="shared" si="25"/>
        <v>69444.444444444453</v>
      </c>
      <c r="W76" s="243">
        <f t="shared" si="25"/>
        <v>69444.444444444453</v>
      </c>
      <c r="X76" s="243">
        <f t="shared" si="25"/>
        <v>69444.444444444453</v>
      </c>
      <c r="Y76" s="243">
        <f t="shared" si="25"/>
        <v>69444.444444444453</v>
      </c>
      <c r="Z76" s="243">
        <f t="shared" si="25"/>
        <v>69444.444444444453</v>
      </c>
      <c r="AA76" s="243">
        <f t="shared" si="25"/>
        <v>69444.444444444453</v>
      </c>
      <c r="AB76" s="243">
        <f t="shared" si="25"/>
        <v>69444.444444444453</v>
      </c>
      <c r="AC76" s="243">
        <f t="shared" si="25"/>
        <v>69444.444444444453</v>
      </c>
      <c r="AD76" s="243">
        <f t="shared" si="25"/>
        <v>69444.444444444453</v>
      </c>
      <c r="AE76" s="243">
        <f t="shared" si="25"/>
        <v>69444.444444444453</v>
      </c>
      <c r="AF76" s="243">
        <f t="shared" si="25"/>
        <v>69444.444444444453</v>
      </c>
      <c r="AG76" s="243">
        <f t="shared" si="25"/>
        <v>69444.444444444453</v>
      </c>
      <c r="AH76" s="243">
        <f t="shared" si="25"/>
        <v>69444.444444444453</v>
      </c>
      <c r="AI76" s="243">
        <f t="shared" si="25"/>
        <v>69444.444444444453</v>
      </c>
      <c r="AJ76" s="243">
        <f t="shared" si="25"/>
        <v>69444.444444444453</v>
      </c>
      <c r="AK76" s="243">
        <f t="shared" si="25"/>
        <v>69444.444444444453</v>
      </c>
      <c r="AL76" s="243">
        <f t="shared" si="25"/>
        <v>69444.444444444453</v>
      </c>
      <c r="AM76" s="243">
        <f t="shared" si="25"/>
        <v>69444.444444444453</v>
      </c>
      <c r="AN76" s="243">
        <f t="shared" si="25"/>
        <v>69444.444444444453</v>
      </c>
      <c r="AO76" s="243">
        <f t="shared" si="25"/>
        <v>69444.444444444453</v>
      </c>
      <c r="AP76" s="243">
        <f>-AP67</f>
        <v>69444.444444444453</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-1000009.5</v>
      </c>
      <c r="C78" s="243">
        <f>IF(SUM($B$71:C71)+SUM($A$78:B78)&gt;0,0,SUM($B$71:C71)-SUM($A$78:B78))</f>
        <v>22750</v>
      </c>
      <c r="D78" s="243">
        <f>IF(SUM($B$71:D71)+SUM($A$78:C78)&gt;0,0,SUM($B$71:D71)-SUM($A$78:C78))</f>
        <v>-39067.543277354212</v>
      </c>
      <c r="E78" s="243">
        <f>IF(SUM($B$71:E71)+SUM($A$78:D78)&gt;0,0,SUM($B$71:E71)-SUM($A$78:D78))</f>
        <v>-84465.397250615759</v>
      </c>
      <c r="F78" s="243">
        <f>IF(SUM($B$71:F71)+SUM($A$78:E78)&gt;0,0,SUM($B$71:F71)-SUM($A$78:E78))</f>
        <v>-145894.73019106733</v>
      </c>
      <c r="G78" s="243">
        <f>IF(SUM($B$71:G71)+SUM($A$78:F78)&gt;0,0,SUM($B$71:G71)-SUM($A$78:F78))</f>
        <v>-212834.2093376168</v>
      </c>
      <c r="H78" s="243">
        <f>IF(SUM($B$71:H71)+SUM($A$78:G78)&gt;0,0,SUM($B$71:H71)-SUM($A$78:G78))</f>
        <v>-285666.76600939455</v>
      </c>
      <c r="I78" s="243">
        <f>IF(SUM($B$71:I71)+SUM($A$78:H78)&gt;0,0,SUM($B$71:I71)-SUM($A$78:H78))</f>
        <v>-429202.20630128263</v>
      </c>
      <c r="J78" s="243">
        <f>IF(SUM($B$71:J71)+SUM($A$78:I78)&gt;0,0,SUM($B$71:J71)-SUM($A$78:I78))</f>
        <v>-450663.34888633154</v>
      </c>
      <c r="K78" s="243">
        <f>IF(SUM($B$71:K71)+SUM($A$78:J78)&gt;0,0,SUM($B$71:K71)-SUM($A$78:J78))</f>
        <v>-473118.80406176671</v>
      </c>
      <c r="L78" s="243">
        <f>IF(SUM($B$71:L71)+SUM($A$78:K78)&gt;0,0,SUM($B$71:L71)-SUM($A$78:K78))</f>
        <v>-496615.30451933667</v>
      </c>
      <c r="M78" s="243">
        <f>IF(SUM($B$71:M71)+SUM($A$78:L78)&gt;0,0,SUM($B$71:M71)-SUM($A$78:L78))</f>
        <v>-521201.77938730083</v>
      </c>
      <c r="N78" s="243">
        <f>IF(SUM($B$71:N71)+SUM($A$78:M78)&gt;0,0,SUM($B$71:N71)-SUM($A$78:M78))</f>
        <v>-546929.45746294875</v>
      </c>
      <c r="O78" s="243">
        <f>IF(SUM($B$71:O71)+SUM($A$78:N78)&gt;0,0,SUM($B$71:O71)-SUM($A$78:N78))</f>
        <v>-573851.97529704031</v>
      </c>
      <c r="P78" s="243">
        <f>IF(SUM($B$71:P71)+SUM($A$78:O78)&gt;0,0,SUM($B$71:P71)-SUM($A$78:O78))</f>
        <v>-602025.49035822321</v>
      </c>
      <c r="Q78" s="243">
        <f>IF(SUM($B$71:Q71)+SUM($A$78:P78)&gt;0,0,SUM($B$71:Q71)-SUM($A$78:P78))</f>
        <v>-631508.79951617122</v>
      </c>
      <c r="R78" s="243">
        <f>IF(SUM($B$71:R71)+SUM($A$78:Q78)&gt;0,0,SUM($B$71:R71)-SUM($A$78:Q78))</f>
        <v>-662363.46309343074</v>
      </c>
      <c r="S78" s="243">
        <f>IF(SUM($B$71:S71)+SUM($A$78:R78)&gt;0,0,SUM($B$71:S71)-SUM($A$78:R78))</f>
        <v>-694653.93474771082</v>
      </c>
      <c r="T78" s="243">
        <f>IF(SUM($B$71:T71)+SUM($A$78:S78)&gt;0,0,SUM($B$71:T71)-SUM($A$78:S78))</f>
        <v>-728447.69745863136</v>
      </c>
      <c r="U78" s="243">
        <f>IF(SUM($B$71:U71)+SUM($A$78:T78)&gt;0,0,SUM($B$71:U71)-SUM($A$78:T78))</f>
        <v>-763815.40590585396</v>
      </c>
      <c r="V78" s="243">
        <f>IF(SUM($B$71:V71)+SUM($A$78:U78)&gt;0,0,SUM($B$71:V71)-SUM($A$78:U78))</f>
        <v>-800831.03553898446</v>
      </c>
      <c r="W78" s="243">
        <f>IF(SUM($B$71:W71)+SUM($A$78:V78)&gt;0,0,SUM($B$71:W71)-SUM($A$78:V78))</f>
        <v>-839572.03865376115</v>
      </c>
      <c r="X78" s="243">
        <f>IF(SUM($B$71:X71)+SUM($A$78:W78)&gt;0,0,SUM($B$71:X71)-SUM($A$78:W78))</f>
        <v>-880119.50780382007</v>
      </c>
      <c r="Y78" s="243">
        <f>IF(SUM($B$71:Y71)+SUM($A$78:X78)&gt;0,0,SUM($B$71:Y71)-SUM($A$78:X78))</f>
        <v>-922558.34689282253</v>
      </c>
      <c r="Z78" s="243">
        <f>IF(SUM($B$71:Z71)+SUM($A$78:Y78)&gt;0,0,SUM($B$71:Z71)-SUM($A$78:Y78))</f>
        <v>-966977.45030789636</v>
      </c>
      <c r="AA78" s="243">
        <f>IF(SUM($B$71:AA71)+SUM($A$78:Z78)&gt;0,0,SUM($B$71:AA71)-SUM($A$78:Z78))</f>
        <v>-1013469.8904723674</v>
      </c>
      <c r="AB78" s="243">
        <f>IF(SUM($B$71:AB71)+SUM($A$78:AA78)&gt;0,0,SUM($B$71:AB71)-SUM($A$78:AA78))</f>
        <v>-1062133.1142134573</v>
      </c>
      <c r="AC78" s="243">
        <f>IF(SUM($B$71:AC71)+SUM($A$78:AB78)&gt;0,0,SUM($B$71:AC71)-SUM($A$78:AB78))</f>
        <v>-1113069.1483592689</v>
      </c>
      <c r="AD78" s="243">
        <f>IF(SUM($B$71:AD71)+SUM($A$78:AC78)&gt;0,0,SUM($B$71:AD71)-SUM($A$78:AC78))</f>
        <v>-1166384.8149988204</v>
      </c>
      <c r="AE78" s="243">
        <f>IF(SUM($B$71:AE71)+SUM($A$78:AD78)&gt;0,0,SUM($B$71:AE71)-SUM($A$78:AD78))</f>
        <v>-1222191.9568593204</v>
      </c>
      <c r="AF78" s="243">
        <f>IF(SUM($B$71:AF71)+SUM($A$78:AE78)&gt;0,0,SUM($B$71:AF71)-SUM($A$78:AE78))</f>
        <v>-1280607.6732761525</v>
      </c>
      <c r="AG78" s="243">
        <f>IF(SUM($B$71:AG71)+SUM($A$78:AF78)&gt;0,0,SUM($B$71:AG71)-SUM($A$78:AF78))</f>
        <v>-1341449.011697907</v>
      </c>
      <c r="AH78" s="243">
        <f>IF(SUM($B$71:AH71)+SUM($A$78:AG78)&gt;0,0,SUM($B$71:AH71)-SUM($A$78:AG78))</f>
        <v>-1405149.8930254877</v>
      </c>
      <c r="AI78" s="243">
        <f>IF(SUM($B$71:AI71)+SUM($A$78:AH78)&gt;0,0,SUM($B$71:AI71)-SUM($A$78:AH78))</f>
        <v>-1471844.7157754637</v>
      </c>
      <c r="AJ78" s="243">
        <f>IF(SUM($B$71:AJ71)+SUM($A$78:AI78)&gt;0,0,SUM($B$71:AJ71)-SUM($A$78:AI78))</f>
        <v>-1541674.1951946877</v>
      </c>
      <c r="AK78" s="243">
        <f>IF(SUM($B$71:AK71)+SUM($A$78:AJ78)&gt;0,0,SUM($B$71:AK71)-SUM($A$78:AJ78))</f>
        <v>-1614785.6601466164</v>
      </c>
      <c r="AL78" s="243">
        <f>IF(SUM($B$71:AL71)+SUM($A$78:AK78)&gt;0,0,SUM($B$71:AL71)-SUM($A$78:AK78))</f>
        <v>-1691333.3639512844</v>
      </c>
      <c r="AM78" s="243">
        <f>IF(SUM($B$71:AM71)+SUM($A$78:AL78)&gt;0,0,SUM($B$71:AM71)-SUM($A$78:AL78))</f>
        <v>-1771478.8098347709</v>
      </c>
      <c r="AN78" s="243">
        <f>IF(SUM($B$71:AN71)+SUM($A$78:AM78)&gt;0,0,SUM($B$71:AN71)-SUM($A$78:AM78))</f>
        <v>-1855391.0916747861</v>
      </c>
      <c r="AO78" s="243">
        <f>IF(SUM($B$71:AO71)+SUM($A$78:AN78)&gt;0,0,SUM($B$71:AO71)-SUM($A$78:AN78))</f>
        <v>-1943247.2507612742</v>
      </c>
      <c r="AP78" s="243">
        <f>IF(SUM($B$71:AP71)+SUM($A$78:AO78)&gt;0,0,SUM($B$71:AP71)-SUM($A$78:AO78))</f>
        <v>-2035232.6493248343</v>
      </c>
    </row>
    <row r="79" spans="1:45" x14ac:dyDescent="0.2">
      <c r="A79" s="251" t="s">
        <v>252</v>
      </c>
      <c r="B79" s="243">
        <f ca="1">IF(((SUM($B$59:B59)+SUM($B$61:B64))+SUM($B$81:B81))&lt;0,((SUM($B$59:B59)+SUM($B$61:B64))+SUM($B$81:B81))*0.2-SUM($A$79:A79),IF(SUM(A$79:$B79)&lt;0,0-SUM(A$79:$B79),0))</f>
        <v>-2390660.4</v>
      </c>
      <c r="C79" s="243">
        <f ca="1">IF(((SUM($B$59:C59)+SUM($B$61:C64))+SUM($B$81:C81))&lt;0,((SUM($B$59:C59)+SUM($B$61:C64))+SUM($B$81:C81))*0.18-SUM($A$79:B79),IF(SUM($B$79:B79)&lt;0,0-SUM($B$79:B79),0))</f>
        <v>239066.04000000004</v>
      </c>
      <c r="D79" s="243">
        <f ca="1">IF(((SUM($B$59:D59)+SUM($B$61:D64))+SUM($B$81:D81))&lt;0,((SUM($B$59:D59)+SUM($B$61:D64))+SUM($B$81:D81))*0.2-SUM($A$79:C79),IF(SUM($B$79:C79)&lt;0,0-SUM($B$79:C79),0))</f>
        <v>-200010.80970044527</v>
      </c>
      <c r="E79" s="243">
        <f ca="1">IF(((SUM($B$59:E59)+SUM($B$61:E64))+SUM($B$81:E81))&lt;0,((SUM($B$59:E59)+SUM($B$61:E64))+SUM($B$81:E81))*0.2-SUM($A$79:D79),IF(SUM($B$79:D79)&lt;0,0-SUM($B$79:D79),0))</f>
        <v>63336.132534939796</v>
      </c>
      <c r="F79" s="243">
        <f ca="1">IF(((SUM($B$59:F59)+SUM($B$61:F64))+SUM($B$81:F81))&lt;0,((SUM($B$59:F59)+SUM($B$61:F64))+SUM($B$81:F81))*0.2-SUM($A$79:E79),IF(SUM($B$79:E79)&lt;0,0-SUM($B$79:E79),0))</f>
        <v>101940.47104112245</v>
      </c>
      <c r="G79" s="243">
        <f ca="1">IF(((SUM($B$59:G59)+SUM($B$61:G64))+SUM($B$81:G81))&lt;0,((SUM($B$59:G59)+SUM($B$61:G64))+SUM($B$81:G81))*0.18-SUM($A$79:F79),IF(SUM($B$79:F79)&lt;0,0-SUM($B$79:F79),0))</f>
        <v>348263.1936775439</v>
      </c>
      <c r="H79" s="243">
        <f ca="1">IF(((SUM($B$59:H59)+SUM($B$61:H64))+SUM($B$81:H81))&lt;0,((SUM($B$59:H59)+SUM($B$61:H64))+SUM($B$81:H81))*0.18-SUM($A$79:G79),IF(SUM($B$79:G79)&lt;0,0-SUM($B$79:G79),0))</f>
        <v>170872.67017676472</v>
      </c>
      <c r="I79" s="243">
        <f ca="1">IF(((SUM($B$59:I59)+SUM($B$61:I64))+SUM($B$81:I81))&lt;0,((SUM($B$59:I59)+SUM($B$61:I64))+SUM($B$81:I81))*0.18-SUM($A$79:H79),IF(SUM($B$79:H79)&lt;0,0-SUM($B$79:H79),0))</f>
        <v>252507.17269761302</v>
      </c>
      <c r="J79" s="243">
        <f ca="1">IF(((SUM($B$59:J59)+SUM($B$61:J64))+SUM($B$81:J81))&lt;0,((SUM($B$59:J59)+SUM($B$61:J64))+SUM($B$81:J81))*0.18-SUM($A$79:I79),IF(SUM($B$79:I79)&lt;0,0-SUM($B$79:I79),0))</f>
        <v>264375.00981440092</v>
      </c>
      <c r="K79" s="243">
        <f ca="1">IF(((SUM($B$59:K59)+SUM($B$61:K64))+SUM($B$81:K81))&lt;0,((SUM($B$59:K59)+SUM($B$61:K64))+SUM($B$81:K81))*0.18-SUM($A$79:J79),IF(SUM($B$79:J79)&lt;0,0-SUM($B$79:J79),0))</f>
        <v>276800.63527567754</v>
      </c>
      <c r="L79" s="243">
        <f ca="1">IF(((SUM($B$59:L59)+SUM($B$61:L64))+SUM($B$81:L81))&lt;0,((SUM($B$59:L59)+SUM($B$61:L64))+SUM($B$81:L81))*0.18-SUM($A$79:K79),IF(SUM($B$79:K79)&lt;0,0-SUM($B$79:K79),0))</f>
        <v>289810.26513363502</v>
      </c>
      <c r="M79" s="243">
        <f ca="1">IF(((SUM($B$59:M59)+SUM($B$61:M64))+SUM($B$81:M81))&lt;0,((SUM($B$59:M59)+SUM($B$61:M64))+SUM($B$81:M81))*0.18-SUM($A$79:L79),IF(SUM($B$79:L79)&lt;0,0-SUM($B$79:L79),0))</f>
        <v>303431.34759491577</v>
      </c>
      <c r="N79" s="243">
        <f ca="1">IF(((SUM($B$59:N59)+SUM($B$61:N64))+SUM($B$81:N81))&lt;0,((SUM($B$59:N59)+SUM($B$61:N64))+SUM($B$81:N81))*0.18-SUM($A$79:M79),IF(SUM($B$79:M79)&lt;0,0-SUM($B$79:M79),0))</f>
        <v>280268.271753832</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-2500000</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-2500000</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-15990582</v>
      </c>
      <c r="C83" s="250">
        <f t="shared" ref="C83:V83" ca="1" si="29">SUM(C75:C82)</f>
        <v>65014.413333333447</v>
      </c>
      <c r="D83" s="250">
        <f t="shared" ca="1" si="29"/>
        <v>-207972.60850222665</v>
      </c>
      <c r="E83" s="250">
        <f t="shared" ca="1" si="29"/>
        <v>162366.84934136493</v>
      </c>
      <c r="F83" s="250">
        <f t="shared" ca="1" si="29"/>
        <v>365257.44853894605</v>
      </c>
      <c r="G83" s="250">
        <f t="shared" ca="1" si="29"/>
        <v>789822.02507801238</v>
      </c>
      <c r="H83" s="250">
        <f t="shared" ca="1" si="29"/>
        <v>805599.66651794047</v>
      </c>
      <c r="I83" s="250">
        <f t="shared" ca="1" si="29"/>
        <v>1259923.0869092271</v>
      </c>
      <c r="J83" s="250">
        <f t="shared" ca="1" si="29"/>
        <v>1334405.7734339607</v>
      </c>
      <c r="K83" s="250">
        <f t="shared" ca="1" si="29"/>
        <v>1411925.3076120233</v>
      </c>
      <c r="L83" s="250">
        <f t="shared" ca="1" si="29"/>
        <v>1492624.4212831226</v>
      </c>
      <c r="M83" s="250">
        <f t="shared" ca="1" si="29"/>
        <v>1576652.5546834287</v>
      </c>
      <c r="N83" s="250">
        <f t="shared" ca="1" si="29"/>
        <v>1626741.8225621718</v>
      </c>
      <c r="O83" s="250">
        <f t="shared" ca="1" si="29"/>
        <v>1422704.916069665</v>
      </c>
      <c r="P83" s="250">
        <f t="shared" ca="1" si="29"/>
        <v>1502055.3168849391</v>
      </c>
      <c r="Q83" s="250">
        <f t="shared" ca="1" si="29"/>
        <v>1584671.3479251978</v>
      </c>
      <c r="R83" s="250">
        <f t="shared" ca="1" si="29"/>
        <v>1670706.4938110155</v>
      </c>
      <c r="S83" s="250">
        <f t="shared" ca="1" si="29"/>
        <v>1760321.4529401329</v>
      </c>
      <c r="T83" s="250">
        <f t="shared" ca="1" si="29"/>
        <v>1853684.4765349855</v>
      </c>
      <c r="U83" s="250">
        <f t="shared" ca="1" si="29"/>
        <v>1950971.723625463</v>
      </c>
      <c r="V83" s="250">
        <f t="shared" ca="1" si="29"/>
        <v>2052367.6327158595</v>
      </c>
      <c r="W83" s="250">
        <f ca="1">SUM(W75:W82)</f>
        <v>2158065.3109201714</v>
      </c>
      <c r="X83" s="250">
        <f ca="1">SUM(X75:X82)</f>
        <v>2268266.9413867532</v>
      </c>
      <c r="Y83" s="250">
        <f ca="1">SUM(Y75:Y82)</f>
        <v>2383184.2098719305</v>
      </c>
      <c r="Z83" s="250">
        <f ca="1">SUM(Z75:Z82)</f>
        <v>2503038.7513625771</v>
      </c>
      <c r="AA83" s="250">
        <f t="shared" ref="AA83:AP83" ca="1" si="30">SUM(AA75:AA82)</f>
        <v>2628062.6176899513</v>
      </c>
      <c r="AB83" s="250">
        <f t="shared" ca="1" si="30"/>
        <v>2758498.7671213793</v>
      </c>
      <c r="AC83" s="250">
        <f t="shared" ca="1" si="30"/>
        <v>2894601.5769627499</v>
      </c>
      <c r="AD83" s="250">
        <f t="shared" ca="1" si="30"/>
        <v>3036637.3802533317</v>
      </c>
      <c r="AE83" s="250">
        <f t="shared" ca="1" si="30"/>
        <v>3184885.027685239</v>
      </c>
      <c r="AF83" s="250">
        <f t="shared" ca="1" si="30"/>
        <v>3339636.4759331117</v>
      </c>
      <c r="AG83" s="250">
        <f t="shared" ca="1" si="30"/>
        <v>3491328.4969686344</v>
      </c>
      <c r="AH83" s="250">
        <f t="shared" ca="1" si="30"/>
        <v>3650150.0429928266</v>
      </c>
      <c r="AI83" s="250">
        <f t="shared" ca="1" si="30"/>
        <v>3816436.2016801555</v>
      </c>
      <c r="AJ83" s="250">
        <f t="shared" ca="1" si="30"/>
        <v>3990537.8098257892</v>
      </c>
      <c r="AK83" s="250">
        <f t="shared" ca="1" si="30"/>
        <v>4172822.1935542673</v>
      </c>
      <c r="AL83" s="250">
        <f t="shared" ca="1" si="30"/>
        <v>4363673.9433179852</v>
      </c>
      <c r="AM83" s="250">
        <f t="shared" ca="1" si="30"/>
        <v>4563495.7253205972</v>
      </c>
      <c r="AN83" s="250">
        <f t="shared" ca="1" si="30"/>
        <v>4772709.1310773324</v>
      </c>
      <c r="AO83" s="250">
        <f t="shared" ca="1" si="30"/>
        <v>4991755.5669046296</v>
      </c>
      <c r="AP83" s="250">
        <f t="shared" ca="1" si="30"/>
        <v>5221097.185215815</v>
      </c>
    </row>
    <row r="84" spans="1:44" ht="14.25" x14ac:dyDescent="0.2">
      <c r="A84" s="252" t="s">
        <v>551</v>
      </c>
      <c r="B84" s="250">
        <f ca="1">SUM($B$83:B83)</f>
        <v>-15990582</v>
      </c>
      <c r="C84" s="250">
        <f ca="1">SUM($B$83:C83)</f>
        <v>-15925567.586666666</v>
      </c>
      <c r="D84" s="250">
        <f ca="1">SUM($B$83:D83)</f>
        <v>-16133540.195168892</v>
      </c>
      <c r="E84" s="250">
        <f ca="1">SUM($B$83:E83)</f>
        <v>-15971173.345827527</v>
      </c>
      <c r="F84" s="250">
        <f ca="1">SUM($B$83:F83)</f>
        <v>-15605915.897288581</v>
      </c>
      <c r="G84" s="250">
        <f ca="1">SUM($B$83:G83)</f>
        <v>-14816093.87221057</v>
      </c>
      <c r="H84" s="250">
        <f ca="1">SUM($B$83:H83)</f>
        <v>-14010494.205692628</v>
      </c>
      <c r="I84" s="250">
        <f ca="1">SUM($B$83:I83)</f>
        <v>-12750571.118783401</v>
      </c>
      <c r="J84" s="250">
        <f ca="1">SUM($B$83:J83)</f>
        <v>-11416165.34534944</v>
      </c>
      <c r="K84" s="250">
        <f ca="1">SUM($B$83:K83)</f>
        <v>-10004240.037737418</v>
      </c>
      <c r="L84" s="250">
        <f ca="1">SUM($B$83:L83)</f>
        <v>-8511615.6164542958</v>
      </c>
      <c r="M84" s="250">
        <f ca="1">SUM($B$83:M83)</f>
        <v>-6934963.0617708676</v>
      </c>
      <c r="N84" s="250">
        <f ca="1">SUM($B$83:N83)</f>
        <v>-5308221.2392086955</v>
      </c>
      <c r="O84" s="250">
        <f ca="1">SUM($B$83:O83)</f>
        <v>-3885516.3231390305</v>
      </c>
      <c r="P84" s="250">
        <f ca="1">SUM($B$83:P83)</f>
        <v>-2383461.0062540914</v>
      </c>
      <c r="Q84" s="250">
        <f ca="1">SUM($B$83:Q83)</f>
        <v>-798789.65832889359</v>
      </c>
      <c r="R84" s="250">
        <f ca="1">SUM($B$83:R83)</f>
        <v>871916.83548212191</v>
      </c>
      <c r="S84" s="250">
        <f ca="1">SUM($B$83:S83)</f>
        <v>2632238.2884222548</v>
      </c>
      <c r="T84" s="250">
        <f ca="1">SUM($B$83:T83)</f>
        <v>4485922.7649572399</v>
      </c>
      <c r="U84" s="250">
        <f ca="1">SUM($B$83:U83)</f>
        <v>6436894.4885827024</v>
      </c>
      <c r="V84" s="250">
        <f ca="1">SUM($B$83:V83)</f>
        <v>8489262.1212985627</v>
      </c>
      <c r="W84" s="250">
        <f ca="1">SUM($B$83:W83)</f>
        <v>10647327.432218734</v>
      </c>
      <c r="X84" s="250">
        <f ca="1">SUM($B$83:X83)</f>
        <v>12915594.373605488</v>
      </c>
      <c r="Y84" s="250">
        <f ca="1">SUM($B$83:Y83)</f>
        <v>15298778.583477419</v>
      </c>
      <c r="Z84" s="250">
        <f ca="1">SUM($B$83:Z83)</f>
        <v>17801817.334839996</v>
      </c>
      <c r="AA84" s="250">
        <f ca="1">SUM($B$83:AA83)</f>
        <v>20429879.952529948</v>
      </c>
      <c r="AB84" s="250">
        <f ca="1">SUM($B$83:AB83)</f>
        <v>23188378.719651327</v>
      </c>
      <c r="AC84" s="250">
        <f ca="1">SUM($B$83:AC83)</f>
        <v>26082980.296614077</v>
      </c>
      <c r="AD84" s="250">
        <f ca="1">SUM($B$83:AD83)</f>
        <v>29119617.676867411</v>
      </c>
      <c r="AE84" s="250">
        <f ca="1">SUM($B$83:AE83)</f>
        <v>32304502.70455265</v>
      </c>
      <c r="AF84" s="250">
        <f ca="1">SUM($B$83:AF83)</f>
        <v>35644139.180485763</v>
      </c>
      <c r="AG84" s="250">
        <f ca="1">SUM($B$83:AG83)</f>
        <v>39135467.677454397</v>
      </c>
      <c r="AH84" s="250">
        <f ca="1">SUM($B$83:AH83)</f>
        <v>42785617.720447227</v>
      </c>
      <c r="AI84" s="250">
        <f ca="1">SUM($B$83:AI83)</f>
        <v>46602053.922127381</v>
      </c>
      <c r="AJ84" s="250">
        <f ca="1">SUM($B$83:AJ83)</f>
        <v>50592591.731953174</v>
      </c>
      <c r="AK84" s="250">
        <f ca="1">SUM($B$83:AK83)</f>
        <v>54765413.925507441</v>
      </c>
      <c r="AL84" s="250">
        <f ca="1">SUM($B$83:AL83)</f>
        <v>59129087.868825428</v>
      </c>
      <c r="AM84" s="250">
        <f ca="1">SUM($B$83:AM83)</f>
        <v>63692583.594146028</v>
      </c>
      <c r="AN84" s="250">
        <f ca="1">SUM($B$83:AN83)</f>
        <v>68465292.725223362</v>
      </c>
      <c r="AO84" s="250">
        <f ca="1">SUM($B$83:AO83)</f>
        <v>73457048.292127997</v>
      </c>
      <c r="AP84" s="250">
        <f ca="1">SUM($B$83:AP83)</f>
        <v>78678145.477343813</v>
      </c>
    </row>
    <row r="85" spans="1:44" x14ac:dyDescent="0.2">
      <c r="A85" s="251" t="s">
        <v>434</v>
      </c>
      <c r="B85" s="334">
        <f>1/POWER((1+$B$44),B73)</f>
        <v>0.95402649883562884</v>
      </c>
      <c r="C85" s="334">
        <f t="shared" ref="C85:AP85" si="31">1/POWER((1+$B$44),C73)</f>
        <v>0.86832301705254278</v>
      </c>
      <c r="D85" s="334">
        <f t="shared" si="31"/>
        <v>0.79031857381682236</v>
      </c>
      <c r="E85" s="334">
        <f t="shared" si="31"/>
        <v>0.71932153801476506</v>
      </c>
      <c r="F85" s="334">
        <f t="shared" si="31"/>
        <v>0.65470241013449082</v>
      </c>
      <c r="G85" s="334">
        <f t="shared" si="31"/>
        <v>0.59588824077044755</v>
      </c>
      <c r="H85" s="334">
        <f t="shared" si="31"/>
        <v>0.54235755053285484</v>
      </c>
      <c r="I85" s="334">
        <f t="shared" si="31"/>
        <v>0.49363570631915432</v>
      </c>
      <c r="J85" s="334">
        <f t="shared" si="31"/>
        <v>0.44929071295090039</v>
      </c>
      <c r="K85" s="334">
        <f t="shared" si="31"/>
        <v>0.40892938286238317</v>
      </c>
      <c r="L85" s="334">
        <f t="shared" si="31"/>
        <v>0.37219384987929666</v>
      </c>
      <c r="M85" s="334">
        <f t="shared" si="31"/>
        <v>0.3387583961766602</v>
      </c>
      <c r="N85" s="334">
        <f t="shared" si="31"/>
        <v>0.30832656428202437</v>
      </c>
      <c r="O85" s="334">
        <f t="shared" si="31"/>
        <v>0.28062852851736092</v>
      </c>
      <c r="P85" s="334">
        <f t="shared" si="31"/>
        <v>0.25541870257336935</v>
      </c>
      <c r="Q85" s="334">
        <f t="shared" si="31"/>
        <v>0.23247356200361272</v>
      </c>
      <c r="R85" s="334">
        <f t="shared" si="31"/>
        <v>0.21158966233149432</v>
      </c>
      <c r="S85" s="334">
        <f t="shared" si="31"/>
        <v>0.19258183519750091</v>
      </c>
      <c r="T85" s="334">
        <f t="shared" si="31"/>
        <v>0.17528154655274497</v>
      </c>
      <c r="U85" s="334">
        <f t="shared" si="31"/>
        <v>0.15953540234162647</v>
      </c>
      <c r="V85" s="334">
        <f t="shared" si="31"/>
        <v>0.14520378842416171</v>
      </c>
      <c r="W85" s="334">
        <f t="shared" si="31"/>
        <v>0.13215963267876735</v>
      </c>
      <c r="X85" s="334">
        <f t="shared" si="31"/>
        <v>0.12028727830960895</v>
      </c>
      <c r="Y85" s="334">
        <f t="shared" si="31"/>
        <v>0.10948145836862559</v>
      </c>
      <c r="Z85" s="334">
        <f t="shared" si="31"/>
        <v>9.9646362399768443E-2</v>
      </c>
      <c r="AA85" s="334">
        <f t="shared" si="31"/>
        <v>9.0694786929797461E-2</v>
      </c>
      <c r="AB85" s="334">
        <f t="shared" si="31"/>
        <v>8.2547362273411681E-2</v>
      </c>
      <c r="AC85" s="334">
        <f t="shared" si="31"/>
        <v>7.5131848797134526E-2</v>
      </c>
      <c r="AD85" s="334">
        <f t="shared" si="31"/>
        <v>6.8382496402234039E-2</v>
      </c>
      <c r="AE85" s="334">
        <f t="shared" si="31"/>
        <v>6.2239461547496142E-2</v>
      </c>
      <c r="AF85" s="334">
        <f t="shared" si="31"/>
        <v>5.6648276642847148E-2</v>
      </c>
      <c r="AG85" s="334">
        <f t="shared" si="31"/>
        <v>5.1559367109171889E-2</v>
      </c>
      <c r="AH85" s="334">
        <f t="shared" si="31"/>
        <v>4.6927611822309881E-2</v>
      </c>
      <c r="AI85" s="334">
        <f t="shared" si="31"/>
        <v>4.2711943043879028E-2</v>
      </c>
      <c r="AJ85" s="334">
        <f t="shared" si="31"/>
        <v>3.88749822916893E-2</v>
      </c>
      <c r="AK85" s="334">
        <f t="shared" si="31"/>
        <v>3.5382708921169827E-2</v>
      </c>
      <c r="AL85" s="334">
        <f t="shared" si="31"/>
        <v>3.2204158479266255E-2</v>
      </c>
      <c r="AM85" s="334">
        <f t="shared" si="31"/>
        <v>2.9311148156244884E-2</v>
      </c>
      <c r="AN85" s="334">
        <f t="shared" si="31"/>
        <v>2.6678026901105743E-2</v>
      </c>
      <c r="AO85" s="334">
        <f t="shared" si="31"/>
        <v>2.4281447984987482E-2</v>
      </c>
      <c r="AP85" s="334">
        <f t="shared" si="31"/>
        <v>2.2100161995983875E-2</v>
      </c>
    </row>
    <row r="86" spans="1:44" ht="28.5" x14ac:dyDescent="0.2">
      <c r="A86" s="249" t="s">
        <v>552</v>
      </c>
      <c r="B86" s="250">
        <f ca="1">B83*B85</f>
        <v>-15255438.959804028</v>
      </c>
      <c r="C86" s="250">
        <f ca="1">C83*C85</f>
        <v>56453.511537501166</v>
      </c>
      <c r="D86" s="250">
        <f t="shared" ref="D86:AO86" ca="1" si="32">D83*D85</f>
        <v>-164364.61534444412</v>
      </c>
      <c r="E86" s="250">
        <f t="shared" ca="1" si="32"/>
        <v>116793.97179084226</v>
      </c>
      <c r="F86" s="250">
        <f t="shared" ca="1" si="32"/>
        <v>239134.93187802273</v>
      </c>
      <c r="G86" s="250">
        <f t="shared" ca="1" si="32"/>
        <v>470645.65704548912</v>
      </c>
      <c r="H86" s="250">
        <f t="shared" ca="1" si="32"/>
        <v>436923.06184275489</v>
      </c>
      <c r="I86" s="250">
        <f t="shared" ca="1" si="32"/>
        <v>621943.02291424561</v>
      </c>
      <c r="J86" s="250">
        <f t="shared" ca="1" si="32"/>
        <v>599536.12131194188</v>
      </c>
      <c r="K86" s="250">
        <f t="shared" ca="1" si="32"/>
        <v>577377.74468956527</v>
      </c>
      <c r="L86" s="250">
        <f t="shared" ca="1" si="32"/>
        <v>555545.62978122255</v>
      </c>
      <c r="M86" s="250">
        <f t="shared" ca="1" si="32"/>
        <v>534104.29075239238</v>
      </c>
      <c r="N86" s="250">
        <f t="shared" ca="1" si="32"/>
        <v>501567.71712447295</v>
      </c>
      <c r="O86" s="250">
        <f t="shared" ca="1" si="32"/>
        <v>399251.58711104555</v>
      </c>
      <c r="P86" s="250">
        <f t="shared" ca="1" si="32"/>
        <v>383653.02023218229</v>
      </c>
      <c r="Q86" s="250">
        <f t="shared" ca="1" si="32"/>
        <v>368394.19285723701</v>
      </c>
      <c r="R86" s="250">
        <f t="shared" ca="1" si="32"/>
        <v>353504.22288050759</v>
      </c>
      <c r="S86" s="250">
        <f t="shared" ca="1" si="32"/>
        <v>339005.93594474206</v>
      </c>
      <c r="T86" s="250">
        <f t="shared" ca="1" si="32"/>
        <v>324916.68186786777</v>
      </c>
      <c r="U86" s="250">
        <f t="shared" ca="1" si="32"/>
        <v>311249.05888572469</v>
      </c>
      <c r="V86" s="250">
        <f t="shared" ca="1" si="32"/>
        <v>298011.55550947128</v>
      </c>
      <c r="W86" s="250">
        <f t="shared" ca="1" si="32"/>
        <v>285209.11878799973</v>
      </c>
      <c r="X86" s="250">
        <f t="shared" ca="1" si="32"/>
        <v>272843.65685907385</v>
      </c>
      <c r="Y86" s="250">
        <f t="shared" ca="1" si="32"/>
        <v>260914.48285785964</v>
      </c>
      <c r="Z86" s="250">
        <f t="shared" ca="1" si="32"/>
        <v>249418.70651893926</v>
      </c>
      <c r="AA86" s="250">
        <f t="shared" ca="1" si="32"/>
        <v>238351.57914955591</v>
      </c>
      <c r="AB86" s="250">
        <f t="shared" ca="1" si="32"/>
        <v>227706.79706032798</v>
      </c>
      <c r="AC86" s="250">
        <f t="shared" ca="1" si="32"/>
        <v>217476.76800831247</v>
      </c>
      <c r="AD86" s="250">
        <f t="shared" ca="1" si="32"/>
        <v>207652.84473006285</v>
      </c>
      <c r="AE86" s="250">
        <f t="shared" ca="1" si="32"/>
        <v>198225.52921381162</v>
      </c>
      <c r="AF86" s="250">
        <f t="shared" ca="1" si="32"/>
        <v>189184.65097520206</v>
      </c>
      <c r="AG86" s="250">
        <f t="shared" ca="1" si="32"/>
        <v>180010.68767391914</v>
      </c>
      <c r="AH86" s="250">
        <f t="shared" ca="1" si="32"/>
        <v>171292.8243107551</v>
      </c>
      <c r="AI86" s="250">
        <f t="shared" ca="1" si="32"/>
        <v>163007.40567676083</v>
      </c>
      <c r="AJ86" s="250">
        <f t="shared" ca="1" si="32"/>
        <v>155132.08669129416</v>
      </c>
      <c r="AK86" s="250">
        <f t="shared" ca="1" si="32"/>
        <v>147645.75305432803</v>
      </c>
      <c r="AL86" s="250">
        <f t="shared" ca="1" si="32"/>
        <v>140528.44722245712</v>
      </c>
      <c r="AM86" s="250">
        <f t="shared" ca="1" si="32"/>
        <v>133761.29931526224</v>
      </c>
      <c r="AN86" s="250">
        <f t="shared" ca="1" si="32"/>
        <v>127326.46259003409</v>
      </c>
      <c r="AO86" s="250">
        <f t="shared" ca="1" si="32"/>
        <v>121207.05315156646</v>
      </c>
      <c r="AP86" s="250">
        <f ca="1">AP83*AP85</f>
        <v>115387.09359004494</v>
      </c>
    </row>
    <row r="87" spans="1:44" ht="14.25" x14ac:dyDescent="0.2">
      <c r="A87" s="249" t="s">
        <v>553</v>
      </c>
      <c r="B87" s="250">
        <f ca="1">SUM($B$86:B86)</f>
        <v>-15255438.959804028</v>
      </c>
      <c r="C87" s="250">
        <f ca="1">SUM($B$86:C86)</f>
        <v>-15198985.448266527</v>
      </c>
      <c r="D87" s="250">
        <f ca="1">SUM($B$86:D86)</f>
        <v>-15363350.063610971</v>
      </c>
      <c r="E87" s="250">
        <f ca="1">SUM($B$86:E86)</f>
        <v>-15246556.091820128</v>
      </c>
      <c r="F87" s="250">
        <f ca="1">SUM($B$86:F86)</f>
        <v>-15007421.159942105</v>
      </c>
      <c r="G87" s="250">
        <f ca="1">SUM($B$86:G86)</f>
        <v>-14536775.502896616</v>
      </c>
      <c r="H87" s="250">
        <f ca="1">SUM($B$86:H86)</f>
        <v>-14099852.441053862</v>
      </c>
      <c r="I87" s="250">
        <f ca="1">SUM($B$86:I86)</f>
        <v>-13477909.418139616</v>
      </c>
      <c r="J87" s="250">
        <f ca="1">SUM($B$86:J86)</f>
        <v>-12878373.296827674</v>
      </c>
      <c r="K87" s="250">
        <f ca="1">SUM($B$86:K86)</f>
        <v>-12300995.552138109</v>
      </c>
      <c r="L87" s="250">
        <f ca="1">SUM($B$86:L86)</f>
        <v>-11745449.922356887</v>
      </c>
      <c r="M87" s="250">
        <f ca="1">SUM($B$86:M86)</f>
        <v>-11211345.631604495</v>
      </c>
      <c r="N87" s="250">
        <f ca="1">SUM($B$86:N86)</f>
        <v>-10709777.914480021</v>
      </c>
      <c r="O87" s="250">
        <f ca="1">SUM($B$86:O86)</f>
        <v>-10310526.327368977</v>
      </c>
      <c r="P87" s="250">
        <f ca="1">SUM($B$86:P86)</f>
        <v>-9926873.3071367946</v>
      </c>
      <c r="Q87" s="250">
        <f ca="1">SUM($B$86:Q86)</f>
        <v>-9558479.114279557</v>
      </c>
      <c r="R87" s="250">
        <f ca="1">SUM($B$86:R86)</f>
        <v>-9204974.8913990501</v>
      </c>
      <c r="S87" s="250">
        <f ca="1">SUM($B$86:S86)</f>
        <v>-8865968.9554543085</v>
      </c>
      <c r="T87" s="250">
        <f ca="1">SUM($B$86:T86)</f>
        <v>-8541052.2735864408</v>
      </c>
      <c r="U87" s="250">
        <f ca="1">SUM($B$86:U86)</f>
        <v>-8229803.2147007165</v>
      </c>
      <c r="V87" s="250">
        <f ca="1">SUM($B$86:V86)</f>
        <v>-7931791.6591912452</v>
      </c>
      <c r="W87" s="250">
        <f ca="1">SUM($B$86:W86)</f>
        <v>-7646582.540403245</v>
      </c>
      <c r="X87" s="250">
        <f ca="1">SUM($B$86:X86)</f>
        <v>-7373738.8835441712</v>
      </c>
      <c r="Y87" s="250">
        <f ca="1">SUM($B$86:Y86)</f>
        <v>-7112824.4006863115</v>
      </c>
      <c r="Z87" s="250">
        <f ca="1">SUM($B$86:Z86)</f>
        <v>-6863405.6941673718</v>
      </c>
      <c r="AA87" s="250">
        <f ca="1">SUM($B$86:AA86)</f>
        <v>-6625054.1150178155</v>
      </c>
      <c r="AB87" s="250">
        <f ca="1">SUM($B$86:AB86)</f>
        <v>-6397347.3179574879</v>
      </c>
      <c r="AC87" s="250">
        <f ca="1">SUM($B$86:AC86)</f>
        <v>-6179870.5499491757</v>
      </c>
      <c r="AD87" s="250">
        <f ca="1">SUM($B$86:AD86)</f>
        <v>-5972217.7052191133</v>
      </c>
      <c r="AE87" s="250">
        <f ca="1">SUM($B$86:AE86)</f>
        <v>-5773992.176005302</v>
      </c>
      <c r="AF87" s="250">
        <f ca="1">SUM($B$86:AF86)</f>
        <v>-5584807.5250300998</v>
      </c>
      <c r="AG87" s="250">
        <f ca="1">SUM($B$86:AG86)</f>
        <v>-5404796.8373561809</v>
      </c>
      <c r="AH87" s="250">
        <f ca="1">SUM($B$86:AH86)</f>
        <v>-5233504.0130454255</v>
      </c>
      <c r="AI87" s="250">
        <f ca="1">SUM($B$86:AI86)</f>
        <v>-5070496.6073686648</v>
      </c>
      <c r="AJ87" s="250">
        <f ca="1">SUM($B$86:AJ86)</f>
        <v>-4915364.520677371</v>
      </c>
      <c r="AK87" s="250">
        <f ca="1">SUM($B$86:AK86)</f>
        <v>-4767718.7676230427</v>
      </c>
      <c r="AL87" s="250">
        <f ca="1">SUM($B$86:AL86)</f>
        <v>-4627190.3204005854</v>
      </c>
      <c r="AM87" s="250">
        <f ca="1">SUM($B$86:AM86)</f>
        <v>-4493429.0210853228</v>
      </c>
      <c r="AN87" s="250">
        <f ca="1">SUM($B$86:AN86)</f>
        <v>-4366102.5584952887</v>
      </c>
      <c r="AO87" s="250">
        <f ca="1">SUM($B$86:AO86)</f>
        <v>-4244895.5053437222</v>
      </c>
      <c r="AP87" s="250">
        <f ca="1">SUM($B$86:AP86)</f>
        <v>-4129508.4117536773</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0</v>
      </c>
      <c r="I88" s="259">
        <f ca="1">IF((ISERR(IRR($B$83:I83))),0,IF(IRR($B$83:I83)&lt;0,0,IRR($B$83:I83)))</f>
        <v>0</v>
      </c>
      <c r="J88" s="259">
        <f ca="1">IF((ISERR(IRR($B$83:J83))),0,IF(IRR($B$83:J83)&lt;0,0,IRR($B$83:J83)))</f>
        <v>0</v>
      </c>
      <c r="K88" s="259">
        <f ca="1">IF((ISERR(IRR($B$83:K83))),0,IF(IRR($B$83:K83)&lt;0,0,IRR($B$83:K83)))</f>
        <v>0</v>
      </c>
      <c r="L88" s="259">
        <f ca="1">IF((ISERR(IRR($B$83:L83))),0,IF(IRR($B$83:L83)&lt;0,0,IRR($B$83:L83)))</f>
        <v>0</v>
      </c>
      <c r="M88" s="259">
        <f ca="1">IF((ISERR(IRR($B$83:M83))),0,IF(IRR($B$83:M83)&lt;0,0,IRR($B$83:M83)))</f>
        <v>0</v>
      </c>
      <c r="N88" s="259">
        <f ca="1">IF((ISERR(IRR($B$83:N83))),0,IF(IRR($B$83:N83)&lt;0,0,IRR($B$83:N83)))</f>
        <v>0</v>
      </c>
      <c r="O88" s="259">
        <f ca="1">IF((ISERR(IRR($B$83:O83))),0,IF(IRR($B$83:O83)&lt;0,0,IRR($B$83:O83)))</f>
        <v>0</v>
      </c>
      <c r="P88" s="259">
        <f ca="1">IF((ISERR(IRR($B$83:P83))),0,IF(IRR($B$83:P83)&lt;0,0,IRR($B$83:P83)))</f>
        <v>0</v>
      </c>
      <c r="Q88" s="259">
        <f ca="1">IF((ISERR(IRR($B$83:Q83))),0,IF(IRR($B$83:Q83)&lt;0,0,IRR($B$83:Q83)))</f>
        <v>0</v>
      </c>
      <c r="R88" s="259">
        <f ca="1">IF((ISERR(IRR($B$83:R83))),0,IF(IRR($B$83:R83)&lt;0,0,IRR($B$83:R83)))</f>
        <v>4.8794175590616273E-3</v>
      </c>
      <c r="S88" s="259">
        <f ca="1">IF((ISERR(IRR($B$83:S83))),0,IF(IRR($B$83:S83)&lt;0,0,IRR($B$83:S83)))</f>
        <v>1.3435787101217622E-2</v>
      </c>
      <c r="T88" s="259">
        <f ca="1">IF((ISERR(IRR($B$83:T83))),0,IF(IRR($B$83:T83)&lt;0,0,IRR($B$83:T83)))</f>
        <v>2.0940338284605398E-2</v>
      </c>
      <c r="U88" s="259">
        <f ca="1">IF((ISERR(IRR($B$83:U83))),0,IF(IRR($B$83:U83)&lt;0,0,IRR($B$83:U83)))</f>
        <v>2.7548737164168946E-2</v>
      </c>
      <c r="V88" s="259">
        <f ca="1">IF((ISERR(IRR($B$83:V83))),0,IF(IRR($B$83:V83)&lt;0,0,IRR($B$83:V83)))</f>
        <v>3.3391017150939728E-2</v>
      </c>
      <c r="W88" s="259">
        <f ca="1">IF((ISERR(IRR($B$83:W83))),0,IF(IRR($B$83:W83)&lt;0,0,IRR($B$83:W83)))</f>
        <v>3.8575747580873232E-2</v>
      </c>
      <c r="X88" s="259">
        <f ca="1">IF((ISERR(IRR($B$83:X83))),0,IF(IRR($B$83:X83)&lt;0,0,IRR($B$83:X83)))</f>
        <v>4.3193739697449551E-2</v>
      </c>
      <c r="Y88" s="259">
        <f ca="1">IF((ISERR(IRR($B$83:Y83))),0,IF(IRR($B$83:Y83)&lt;0,0,IRR($B$83:Y83)))</f>
        <v>4.7321185344520122E-2</v>
      </c>
      <c r="Z88" s="259">
        <f ca="1">IF((ISERR(IRR($B$83:Z83))),0,IF(IRR($B$83:Z83)&lt;0,0,IRR($B$83:Z83)))</f>
        <v>5.102225247491754E-2</v>
      </c>
      <c r="AA88" s="259">
        <f ca="1">IF((ISERR(IRR($B$83:AA83))),0,IF(IRR($B$83:AA83)&lt;0,0,IRR($B$83:AA83)))</f>
        <v>5.435120645254754E-2</v>
      </c>
      <c r="AB88" s="259">
        <f ca="1">IF((ISERR(IRR($B$83:AB83))),0,IF(IRR($B$83:AB83)&lt;0,0,IRR($B$83:AB83)))</f>
        <v>5.7354134940386325E-2</v>
      </c>
      <c r="AC88" s="259">
        <f ca="1">IF((ISERR(IRR($B$83:AC83))),0,IF(IRR($B$83:AC83)&lt;0,0,IRR($B$83:AC83)))</f>
        <v>6.0070348633390447E-2</v>
      </c>
      <c r="AD88" s="259">
        <f ca="1">IF((ISERR(IRR($B$83:AD83))),0,IF(IRR($B$83:AD83)&lt;0,0,IRR($B$83:AD83)))</f>
        <v>6.2533519872388865E-2</v>
      </c>
      <c r="AE88" s="259">
        <f ca="1">IF((ISERR(IRR($B$83:AE83))),0,IF(IRR($B$83:AE83)&lt;0,0,IRR($B$83:AE83)))</f>
        <v>6.4772610383578177E-2</v>
      </c>
      <c r="AF88" s="259">
        <f ca="1">IF((ISERR(IRR($B$83:AF83))),0,IF(IRR($B$83:AF83)&lt;0,0,IRR($B$83:AF83)))</f>
        <v>6.6812629627173825E-2</v>
      </c>
      <c r="AG88" s="259">
        <f ca="1">IF((ISERR(IRR($B$83:AG83))),0,IF(IRR($B$83:AG83)&lt;0,0,IRR($B$83:AG83)))</f>
        <v>6.8670189200448872E-2</v>
      </c>
      <c r="AH88" s="259">
        <f ca="1">IF((ISERR(IRR($B$83:AH83))),0,IF(IRR($B$83:AH83)&lt;0,0,IRR($B$83:AH83)))</f>
        <v>7.0365745190396289E-2</v>
      </c>
      <c r="AI88" s="259">
        <f ca="1">IF((ISERR(IRR($B$83:AI83))),0,IF(IRR($B$83:AI83)&lt;0,0,IRR($B$83:AI83)))</f>
        <v>7.191694530545778E-2</v>
      </c>
      <c r="AJ88" s="259">
        <f ca="1">IF((ISERR(IRR($B$83:AJ83))),0,IF(IRR($B$83:AJ83)&lt;0,0,IRR($B$83:AJ83)))</f>
        <v>7.3339088123593354E-2</v>
      </c>
      <c r="AK88" s="259">
        <f ca="1">IF((ISERR(IRR($B$83:AK83))),0,IF(IRR($B$83:AK83)&lt;0,0,IRR($B$83:AK83)))</f>
        <v>7.4645494906609766E-2</v>
      </c>
      <c r="AL88" s="259">
        <f ca="1">IF((ISERR(IRR($B$83:AL83))),0,IF(IRR($B$83:AL83)&lt;0,0,IRR($B$83:AL83)))</f>
        <v>7.5847813025583966E-2</v>
      </c>
      <c r="AM88" s="259">
        <f ca="1">IF((ISERR(IRR($B$83:AM83))),0,IF(IRR($B$83:AM83)&lt;0,0,IRR($B$83:AM83)))</f>
        <v>7.6956265361272314E-2</v>
      </c>
      <c r="AN88" s="259">
        <f ca="1">IF((ISERR(IRR($B$83:AN83))),0,IF(IRR($B$83:AN83)&lt;0,0,IRR($B$83:AN83)))</f>
        <v>7.7979856645354451E-2</v>
      </c>
      <c r="AO88" s="259">
        <f ca="1">IF((ISERR(IRR($B$83:AO83))),0,IF(IRR($B$83:AO83)&lt;0,0,IRR($B$83:AO83)))</f>
        <v>7.8926545205402654E-2</v>
      </c>
      <c r="AP88" s="259">
        <f ca="1">IF((ISERR(IRR($B$83:AP83))),0,IF(IRR($B$83:AP83)&lt;0,0,IRR($B$83:AP83)))</f>
        <v>7.9803386708777957E-2</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0</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16.478114894080999</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0</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0" t="s">
        <v>562</v>
      </c>
      <c r="B97" s="400"/>
      <c r="C97" s="400"/>
      <c r="D97" s="400"/>
      <c r="E97" s="400"/>
      <c r="F97" s="400"/>
      <c r="G97" s="400"/>
      <c r="H97" s="400"/>
      <c r="I97" s="400"/>
      <c r="J97" s="400"/>
      <c r="K97" s="400"/>
      <c r="L97" s="400"/>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x14ac:dyDescent="0.2">
      <c r="C98" s="267"/>
    </row>
    <row r="99" spans="1:71" s="273" customFormat="1" ht="16.5" hidden="1" thickTop="1" x14ac:dyDescent="0.2">
      <c r="A99" s="268" t="s">
        <v>563</v>
      </c>
      <c r="B99" s="269">
        <f>B81*B85</f>
        <v>-2385066.2470890721</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-2385066.2470890721</v>
      </c>
      <c r="AR99" s="272"/>
      <c r="AS99" s="272"/>
    </row>
    <row r="100" spans="1:71" s="276" customFormat="1" hidden="1" x14ac:dyDescent="0.2">
      <c r="A100" s="274">
        <f>AQ99</f>
        <v>-2385066.2470890721</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-4129508.4117536773</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0.78557321074645148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-11.745449922356887</v>
      </c>
      <c r="B105" s="283">
        <f ca="1">L88</f>
        <v>0</v>
      </c>
      <c r="C105" s="284" t="str">
        <f ca="1">G28</f>
        <v>не окупается</v>
      </c>
      <c r="D105" s="284" t="str">
        <f ca="1">G29</f>
        <v>не окупается</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190997.69333400001</v>
      </c>
      <c r="I108" s="290">
        <f t="shared" si="38"/>
        <v>381995.38666800002</v>
      </c>
      <c r="J108" s="290">
        <f t="shared" si="38"/>
        <v>572993.08000200009</v>
      </c>
      <c r="K108" s="290">
        <f t="shared" si="38"/>
        <v>763990.77333600004</v>
      </c>
      <c r="L108" s="290">
        <f t="shared" si="38"/>
        <v>954988.46667000011</v>
      </c>
      <c r="M108" s="290">
        <f t="shared" si="38"/>
        <v>1336983.8533380001</v>
      </c>
      <c r="N108" s="290">
        <f t="shared" si="38"/>
        <v>1336983.8533380001</v>
      </c>
      <c r="O108" s="290">
        <f t="shared" si="38"/>
        <v>1336983.8533380001</v>
      </c>
      <c r="P108" s="290">
        <f t="shared" si="38"/>
        <v>1336983.8533380001</v>
      </c>
      <c r="Q108" s="290">
        <f t="shared" si="38"/>
        <v>1336983.8533380001</v>
      </c>
      <c r="R108" s="290">
        <f t="shared" si="38"/>
        <v>1336983.8533380001</v>
      </c>
      <c r="S108" s="290">
        <f t="shared" si="38"/>
        <v>1336983.8533380001</v>
      </c>
      <c r="T108" s="290">
        <f t="shared" si="38"/>
        <v>1336983.8533380001</v>
      </c>
      <c r="U108" s="290">
        <f t="shared" si="38"/>
        <v>1336983.8533380001</v>
      </c>
      <c r="V108" s="290">
        <f t="shared" si="38"/>
        <v>1336983.8533380001</v>
      </c>
      <c r="W108" s="290">
        <f t="shared" si="38"/>
        <v>1336983.8533380001</v>
      </c>
      <c r="X108" s="290">
        <f t="shared" si="38"/>
        <v>1336983.8533380001</v>
      </c>
      <c r="Y108" s="290">
        <f t="shared" si="38"/>
        <v>1336983.8533380001</v>
      </c>
      <c r="Z108" s="290">
        <f t="shared" si="38"/>
        <v>1336983.8533380001</v>
      </c>
      <c r="AA108" s="290">
        <f t="shared" si="38"/>
        <v>1336983.8533380001</v>
      </c>
      <c r="AB108" s="290">
        <f t="shared" si="38"/>
        <v>1336983.8533380001</v>
      </c>
      <c r="AC108" s="290">
        <f t="shared" si="38"/>
        <v>1336983.8533380001</v>
      </c>
      <c r="AD108" s="290">
        <f t="shared" si="38"/>
        <v>1336983.8533380001</v>
      </c>
      <c r="AE108" s="290">
        <f t="shared" si="38"/>
        <v>1336983.8533380001</v>
      </c>
      <c r="AF108" s="290">
        <f t="shared" si="38"/>
        <v>1336983.8533380001</v>
      </c>
      <c r="AG108" s="290">
        <f t="shared" si="38"/>
        <v>1336983.8533380001</v>
      </c>
      <c r="AH108" s="290">
        <f t="shared" si="38"/>
        <v>1336983.8533380001</v>
      </c>
      <c r="AI108" s="290">
        <f t="shared" si="38"/>
        <v>1336983.8533380001</v>
      </c>
      <c r="AJ108" s="290">
        <f t="shared" si="38"/>
        <v>1336983.8533380001</v>
      </c>
      <c r="AK108" s="290">
        <f t="shared" si="38"/>
        <v>1336983.8533380001</v>
      </c>
      <c r="AL108" s="290">
        <f t="shared" si="38"/>
        <v>1336983.8533380001</v>
      </c>
      <c r="AM108" s="290">
        <f t="shared" si="38"/>
        <v>1336983.8533380001</v>
      </c>
      <c r="AN108" s="290">
        <f t="shared" si="38"/>
        <v>1336983.8533380001</v>
      </c>
      <c r="AO108" s="290">
        <f t="shared" si="38"/>
        <v>1336983.8533380001</v>
      </c>
      <c r="AP108" s="290">
        <f t="shared" si="38"/>
        <v>1336983.8533380001</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5.859000000000001E-2</v>
      </c>
      <c r="I109" s="288">
        <f t="shared" si="39"/>
        <v>0.11718000000000002</v>
      </c>
      <c r="J109" s="288">
        <f t="shared" si="39"/>
        <v>0.17577000000000004</v>
      </c>
      <c r="K109" s="288">
        <f t="shared" si="39"/>
        <v>0.23436000000000004</v>
      </c>
      <c r="L109" s="288">
        <f t="shared" si="39"/>
        <v>0.29295000000000004</v>
      </c>
      <c r="M109" s="288">
        <f t="shared" si="39"/>
        <v>0.41013000000000005</v>
      </c>
      <c r="N109" s="288">
        <f t="shared" si="39"/>
        <v>0.41013000000000005</v>
      </c>
      <c r="O109" s="288">
        <f t="shared" si="39"/>
        <v>0.41013000000000005</v>
      </c>
      <c r="P109" s="288">
        <f t="shared" si="39"/>
        <v>0.41013000000000005</v>
      </c>
      <c r="Q109" s="288">
        <f t="shared" si="39"/>
        <v>0.41013000000000005</v>
      </c>
      <c r="R109" s="288">
        <f t="shared" si="39"/>
        <v>0.41013000000000005</v>
      </c>
      <c r="S109" s="288">
        <f t="shared" si="39"/>
        <v>0.41013000000000005</v>
      </c>
      <c r="T109" s="288">
        <f t="shared" si="39"/>
        <v>0.41013000000000005</v>
      </c>
      <c r="U109" s="288">
        <f t="shared" si="39"/>
        <v>0.41013000000000005</v>
      </c>
      <c r="V109" s="288">
        <f t="shared" si="39"/>
        <v>0.41013000000000005</v>
      </c>
      <c r="W109" s="288">
        <f t="shared" si="39"/>
        <v>0.41013000000000005</v>
      </c>
      <c r="X109" s="288">
        <f t="shared" si="39"/>
        <v>0.41013000000000005</v>
      </c>
      <c r="Y109" s="288">
        <f t="shared" si="39"/>
        <v>0.41013000000000005</v>
      </c>
      <c r="Z109" s="288">
        <f t="shared" si="39"/>
        <v>0.41013000000000005</v>
      </c>
      <c r="AA109" s="288">
        <f t="shared" si="39"/>
        <v>0.41013000000000005</v>
      </c>
      <c r="AB109" s="288">
        <f t="shared" si="39"/>
        <v>0.41013000000000005</v>
      </c>
      <c r="AC109" s="288">
        <f t="shared" si="39"/>
        <v>0.41013000000000005</v>
      </c>
      <c r="AD109" s="288">
        <f t="shared" si="39"/>
        <v>0.41013000000000005</v>
      </c>
      <c r="AE109" s="288">
        <f t="shared" si="39"/>
        <v>0.41013000000000005</v>
      </c>
      <c r="AF109" s="288">
        <f t="shared" si="39"/>
        <v>0.41013000000000005</v>
      </c>
      <c r="AG109" s="288">
        <f t="shared" si="39"/>
        <v>0.41013000000000005</v>
      </c>
      <c r="AH109" s="288">
        <f t="shared" si="39"/>
        <v>0.41013000000000005</v>
      </c>
      <c r="AI109" s="288">
        <f t="shared" si="39"/>
        <v>0.41013000000000005</v>
      </c>
      <c r="AJ109" s="288">
        <f t="shared" si="39"/>
        <v>0.41013000000000005</v>
      </c>
      <c r="AK109" s="288">
        <f t="shared" si="39"/>
        <v>0.41013000000000005</v>
      </c>
      <c r="AL109" s="288">
        <f t="shared" si="39"/>
        <v>0.41013000000000005</v>
      </c>
      <c r="AM109" s="288">
        <f t="shared" si="39"/>
        <v>0.41013000000000005</v>
      </c>
      <c r="AN109" s="288">
        <f t="shared" si="39"/>
        <v>0.41013000000000005</v>
      </c>
      <c r="AO109" s="288">
        <f t="shared" si="39"/>
        <v>0.41013000000000005</v>
      </c>
      <c r="AP109" s="288">
        <f t="shared" si="39"/>
        <v>0.41013000000000005</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1" t="s">
        <v>576</v>
      </c>
      <c r="C116" s="402"/>
      <c r="D116" s="401" t="s">
        <v>577</v>
      </c>
      <c r="E116" s="402"/>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1.26</v>
      </c>
      <c r="H118" s="286" t="s">
        <v>579</v>
      </c>
      <c r="I118" s="286">
        <f>$B$110*G118</f>
        <v>1.1718000000000002</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1.26</v>
      </c>
      <c r="H120" s="286" t="s">
        <v>579</v>
      </c>
      <c r="I120" s="291">
        <f>I118</f>
        <v>1.1718000000000002</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1">
        <f>'6.2. Паспорт фин осв ввод'!F27</f>
        <v>0</v>
      </c>
      <c r="C122" s="191"/>
      <c r="D122" s="390" t="s">
        <v>284</v>
      </c>
      <c r="E122" s="301" t="s">
        <v>584</v>
      </c>
      <c r="F122" s="302">
        <v>35</v>
      </c>
      <c r="G122" s="391"/>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390"/>
      <c r="E123" s="301" t="s">
        <v>585</v>
      </c>
      <c r="F123" s="302">
        <v>30</v>
      </c>
      <c r="G123" s="391"/>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390"/>
      <c r="E124" s="301" t="s">
        <v>588</v>
      </c>
      <c r="F124" s="302">
        <v>30</v>
      </c>
      <c r="G124" s="391"/>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390"/>
      <c r="E125" s="301" t="s">
        <v>589</v>
      </c>
      <c r="F125" s="302">
        <v>30</v>
      </c>
      <c r="G125" s="391"/>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2500000</v>
      </c>
      <c r="C126" s="307">
        <f>'6.2. Паспорт фин осв ввод'!D24*1000000</f>
        <v>2500000</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615</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616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0" zoomScale="80" zoomScaleSheetLayoutView="80" workbookViewId="0">
      <selection activeCell="C25" sqref="C25:D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6" t="str">
        <f>'1. паспорт местоположение'!A5:C5</f>
        <v>Год раскрытия информации: 2023 год</v>
      </c>
      <c r="B5" s="346"/>
      <c r="C5" s="346"/>
      <c r="D5" s="346"/>
      <c r="E5" s="346"/>
      <c r="F5" s="346"/>
      <c r="G5" s="346"/>
      <c r="H5" s="346"/>
      <c r="I5" s="346"/>
      <c r="J5" s="346"/>
      <c r="K5" s="346"/>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3" t="s">
        <v>7</v>
      </c>
      <c r="B7" s="353"/>
      <c r="C7" s="353"/>
      <c r="D7" s="353"/>
      <c r="E7" s="353"/>
      <c r="F7" s="353"/>
      <c r="G7" s="353"/>
      <c r="H7" s="353"/>
      <c r="I7" s="353"/>
      <c r="J7" s="353"/>
      <c r="K7" s="353"/>
    </row>
    <row r="8" spans="1:43" ht="18.75" x14ac:dyDescent="0.25">
      <c r="A8" s="353"/>
      <c r="B8" s="353"/>
      <c r="C8" s="353"/>
      <c r="D8" s="353"/>
      <c r="E8" s="353"/>
      <c r="F8" s="353"/>
      <c r="G8" s="353"/>
      <c r="H8" s="353"/>
      <c r="I8" s="353"/>
      <c r="J8" s="353"/>
      <c r="K8" s="353"/>
    </row>
    <row r="9" spans="1:43" x14ac:dyDescent="0.25">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row>
    <row r="10" spans="1:43" x14ac:dyDescent="0.25">
      <c r="A10" s="357" t="s">
        <v>6</v>
      </c>
      <c r="B10" s="357"/>
      <c r="C10" s="357"/>
      <c r="D10" s="357"/>
      <c r="E10" s="357"/>
      <c r="F10" s="357"/>
      <c r="G10" s="357"/>
      <c r="H10" s="357"/>
      <c r="I10" s="357"/>
      <c r="J10" s="357"/>
      <c r="K10" s="357"/>
    </row>
    <row r="11" spans="1:43" ht="18.75" x14ac:dyDescent="0.25">
      <c r="A11" s="353"/>
      <c r="B11" s="353"/>
      <c r="C11" s="353"/>
      <c r="D11" s="353"/>
      <c r="E11" s="353"/>
      <c r="F11" s="353"/>
      <c r="G11" s="353"/>
      <c r="H11" s="353"/>
      <c r="I11" s="353"/>
      <c r="J11" s="353"/>
      <c r="K11" s="353"/>
    </row>
    <row r="12" spans="1:43" x14ac:dyDescent="0.25">
      <c r="A12" s="358" t="str">
        <f>'1. паспорт местоположение'!A12:C12</f>
        <v>L_21-15</v>
      </c>
      <c r="B12" s="358"/>
      <c r="C12" s="358"/>
      <c r="D12" s="358"/>
      <c r="E12" s="358"/>
      <c r="F12" s="358"/>
      <c r="G12" s="358"/>
      <c r="H12" s="358"/>
      <c r="I12" s="358"/>
      <c r="J12" s="358"/>
      <c r="K12" s="358"/>
    </row>
    <row r="13" spans="1:43" x14ac:dyDescent="0.25">
      <c r="A13" s="357" t="s">
        <v>5</v>
      </c>
      <c r="B13" s="357"/>
      <c r="C13" s="357"/>
      <c r="D13" s="357"/>
      <c r="E13" s="357"/>
      <c r="F13" s="357"/>
      <c r="G13" s="357"/>
      <c r="H13" s="357"/>
      <c r="I13" s="357"/>
      <c r="J13" s="357"/>
      <c r="K13" s="357"/>
    </row>
    <row r="14" spans="1:43" ht="18.75" x14ac:dyDescent="0.25">
      <c r="A14" s="359"/>
      <c r="B14" s="359"/>
      <c r="C14" s="359"/>
      <c r="D14" s="359"/>
      <c r="E14" s="359"/>
      <c r="F14" s="359"/>
      <c r="G14" s="359"/>
      <c r="H14" s="359"/>
      <c r="I14" s="359"/>
      <c r="J14" s="359"/>
      <c r="K14" s="359"/>
    </row>
    <row r="15" spans="1:43" x14ac:dyDescent="0.25">
      <c r="A15" s="351" t="str">
        <f>'1. паспорт местоположение'!A15:C15</f>
        <v>Строительство сетей электроснабжения жд г. Пионерский (Нивелир)</v>
      </c>
      <c r="B15" s="351"/>
      <c r="C15" s="351"/>
      <c r="D15" s="351"/>
      <c r="E15" s="351"/>
      <c r="F15" s="351"/>
      <c r="G15" s="351"/>
      <c r="H15" s="351"/>
      <c r="I15" s="351"/>
      <c r="J15" s="351"/>
      <c r="K15" s="351"/>
    </row>
    <row r="16" spans="1:43" x14ac:dyDescent="0.25">
      <c r="A16" s="347" t="s">
        <v>4</v>
      </c>
      <c r="B16" s="347"/>
      <c r="C16" s="347"/>
      <c r="D16" s="347"/>
      <c r="E16" s="347"/>
      <c r="F16" s="347"/>
      <c r="G16" s="347"/>
      <c r="H16" s="347"/>
      <c r="I16" s="347"/>
      <c r="J16" s="347"/>
      <c r="K16" s="347"/>
    </row>
    <row r="17" spans="1:11" ht="15.75" customHeight="1" x14ac:dyDescent="0.25"/>
    <row r="18" spans="1:11" x14ac:dyDescent="0.25">
      <c r="K18" s="24"/>
    </row>
    <row r="19" spans="1:11" ht="15.75" customHeight="1" x14ac:dyDescent="0.25">
      <c r="A19" s="415" t="s">
        <v>392</v>
      </c>
      <c r="B19" s="415"/>
      <c r="C19" s="415"/>
      <c r="D19" s="415"/>
      <c r="E19" s="415"/>
      <c r="F19" s="415"/>
      <c r="G19" s="415"/>
      <c r="H19" s="415"/>
      <c r="I19" s="415"/>
      <c r="J19" s="415"/>
      <c r="K19" s="415"/>
    </row>
    <row r="20" spans="1:11" x14ac:dyDescent="0.25">
      <c r="A20" s="35"/>
      <c r="B20" s="35"/>
    </row>
    <row r="21" spans="1:11" ht="28.5" customHeight="1" x14ac:dyDescent="0.25">
      <c r="A21" s="410" t="s">
        <v>199</v>
      </c>
      <c r="B21" s="410" t="s">
        <v>483</v>
      </c>
      <c r="C21" s="410" t="s">
        <v>351</v>
      </c>
      <c r="D21" s="410"/>
      <c r="E21" s="410"/>
      <c r="F21" s="410"/>
      <c r="G21" s="410"/>
      <c r="H21" s="410"/>
      <c r="I21" s="410" t="s">
        <v>198</v>
      </c>
      <c r="J21" s="411" t="s">
        <v>352</v>
      </c>
      <c r="K21" s="410" t="s">
        <v>197</v>
      </c>
    </row>
    <row r="22" spans="1:11" ht="58.5" customHeight="1" x14ac:dyDescent="0.25">
      <c r="A22" s="410"/>
      <c r="B22" s="410"/>
      <c r="C22" s="414" t="s">
        <v>534</v>
      </c>
      <c r="D22" s="414"/>
      <c r="E22" s="414" t="s">
        <v>9</v>
      </c>
      <c r="F22" s="414"/>
      <c r="G22" s="414" t="s">
        <v>535</v>
      </c>
      <c r="H22" s="414"/>
      <c r="I22" s="410"/>
      <c r="J22" s="412"/>
      <c r="K22" s="410"/>
    </row>
    <row r="23" spans="1:11" ht="31.5" x14ac:dyDescent="0.25">
      <c r="A23" s="410"/>
      <c r="B23" s="410"/>
      <c r="C23" s="156" t="s">
        <v>196</v>
      </c>
      <c r="D23" s="156" t="s">
        <v>195</v>
      </c>
      <c r="E23" s="156" t="s">
        <v>196</v>
      </c>
      <c r="F23" s="156" t="s">
        <v>195</v>
      </c>
      <c r="G23" s="156" t="s">
        <v>196</v>
      </c>
      <c r="H23" s="156" t="s">
        <v>195</v>
      </c>
      <c r="I23" s="410"/>
      <c r="J23" s="413"/>
      <c r="K23" s="410"/>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c r="D26" s="162">
        <v>44896</v>
      </c>
      <c r="E26" s="173">
        <v>42859</v>
      </c>
      <c r="F26" s="173">
        <v>42859</v>
      </c>
      <c r="G26" s="162"/>
      <c r="H26" s="162">
        <v>44896</v>
      </c>
      <c r="I26" s="174"/>
      <c r="J26" s="152"/>
      <c r="K26" s="153"/>
    </row>
    <row r="27" spans="1:11" ht="31.5" x14ac:dyDescent="0.25">
      <c r="A27" s="156" t="s">
        <v>486</v>
      </c>
      <c r="B27" s="165" t="s">
        <v>487</v>
      </c>
      <c r="C27" s="162" t="s">
        <v>435</v>
      </c>
      <c r="D27" s="162" t="s">
        <v>435</v>
      </c>
      <c r="E27" s="173">
        <v>42807</v>
      </c>
      <c r="F27" s="173">
        <v>42807</v>
      </c>
      <c r="G27" s="162" t="s">
        <v>435</v>
      </c>
      <c r="H27" s="162" t="s">
        <v>435</v>
      </c>
      <c r="I27" s="174"/>
      <c r="J27" s="152"/>
      <c r="K27" s="153"/>
    </row>
    <row r="28" spans="1:11" ht="63" x14ac:dyDescent="0.25">
      <c r="A28" s="156" t="s">
        <v>489</v>
      </c>
      <c r="B28" s="165" t="s">
        <v>488</v>
      </c>
      <c r="C28" s="162" t="s">
        <v>435</v>
      </c>
      <c r="D28" s="162" t="s">
        <v>435</v>
      </c>
      <c r="E28" s="173" t="s">
        <v>435</v>
      </c>
      <c r="F28" s="173" t="s">
        <v>435</v>
      </c>
      <c r="G28" s="162" t="s">
        <v>435</v>
      </c>
      <c r="H28" s="162" t="s">
        <v>435</v>
      </c>
      <c r="I28" s="174"/>
      <c r="J28" s="152"/>
      <c r="K28" s="153"/>
    </row>
    <row r="29" spans="1:11" ht="31.5" x14ac:dyDescent="0.25">
      <c r="A29" s="156" t="s">
        <v>491</v>
      </c>
      <c r="B29" s="165" t="s">
        <v>490</v>
      </c>
      <c r="C29" s="162" t="s">
        <v>435</v>
      </c>
      <c r="D29" s="162" t="s">
        <v>435</v>
      </c>
      <c r="E29" s="173" t="s">
        <v>435</v>
      </c>
      <c r="F29" s="173" t="s">
        <v>435</v>
      </c>
      <c r="G29" s="162" t="s">
        <v>435</v>
      </c>
      <c r="H29" s="162" t="s">
        <v>435</v>
      </c>
      <c r="I29" s="174"/>
      <c r="J29" s="152"/>
      <c r="K29" s="153"/>
    </row>
    <row r="30" spans="1:11" ht="31.5" x14ac:dyDescent="0.25">
      <c r="A30" s="156" t="s">
        <v>493</v>
      </c>
      <c r="B30" s="165" t="s">
        <v>492</v>
      </c>
      <c r="C30" s="162" t="s">
        <v>435</v>
      </c>
      <c r="D30" s="162" t="s">
        <v>435</v>
      </c>
      <c r="E30" s="173" t="s">
        <v>435</v>
      </c>
      <c r="F30" s="173" t="s">
        <v>435</v>
      </c>
      <c r="G30" s="162" t="s">
        <v>435</v>
      </c>
      <c r="H30" s="162" t="s">
        <v>435</v>
      </c>
      <c r="I30" s="174"/>
      <c r="J30" s="152"/>
      <c r="K30" s="153"/>
    </row>
    <row r="31" spans="1:11" ht="31.5" x14ac:dyDescent="0.25">
      <c r="A31" s="156" t="s">
        <v>495</v>
      </c>
      <c r="B31" s="165" t="s">
        <v>494</v>
      </c>
      <c r="C31" s="162" t="s">
        <v>435</v>
      </c>
      <c r="D31" s="162" t="s">
        <v>435</v>
      </c>
      <c r="E31" s="173">
        <v>41806</v>
      </c>
      <c r="F31" s="173">
        <v>41806</v>
      </c>
      <c r="G31" s="162" t="s">
        <v>435</v>
      </c>
      <c r="H31" s="162" t="s">
        <v>435</v>
      </c>
      <c r="I31" s="174"/>
      <c r="J31" s="152"/>
      <c r="K31" s="153"/>
    </row>
    <row r="32" spans="1:11" ht="31.5" x14ac:dyDescent="0.25">
      <c r="A32" s="156" t="s">
        <v>497</v>
      </c>
      <c r="B32" s="165" t="s">
        <v>496</v>
      </c>
      <c r="C32" s="162" t="s">
        <v>435</v>
      </c>
      <c r="D32" s="162" t="s">
        <v>435</v>
      </c>
      <c r="E32" s="173">
        <v>42597</v>
      </c>
      <c r="F32" s="173">
        <v>42597</v>
      </c>
      <c r="G32" s="162" t="s">
        <v>435</v>
      </c>
      <c r="H32" s="162" t="s">
        <v>435</v>
      </c>
      <c r="I32" s="174"/>
      <c r="J32" s="152"/>
      <c r="K32" s="153"/>
    </row>
    <row r="33" spans="1:11" ht="47.25" x14ac:dyDescent="0.25">
      <c r="A33" s="156" t="s">
        <v>499</v>
      </c>
      <c r="B33" s="165" t="s">
        <v>498</v>
      </c>
      <c r="C33" s="162" t="s">
        <v>435</v>
      </c>
      <c r="D33" s="162" t="s">
        <v>435</v>
      </c>
      <c r="E33" s="173">
        <v>42720</v>
      </c>
      <c r="F33" s="173">
        <v>42720</v>
      </c>
      <c r="G33" s="162" t="s">
        <v>435</v>
      </c>
      <c r="H33" s="162" t="s">
        <v>435</v>
      </c>
      <c r="I33" s="174"/>
      <c r="J33" s="152"/>
      <c r="K33" s="153"/>
    </row>
    <row r="34" spans="1:11" ht="63" x14ac:dyDescent="0.25">
      <c r="A34" s="156" t="s">
        <v>501</v>
      </c>
      <c r="B34" s="165" t="s">
        <v>500</v>
      </c>
      <c r="C34" s="162" t="s">
        <v>435</v>
      </c>
      <c r="D34" s="162" t="s">
        <v>435</v>
      </c>
      <c r="E34" s="173" t="s">
        <v>435</v>
      </c>
      <c r="F34" s="173" t="s">
        <v>435</v>
      </c>
      <c r="G34" s="162" t="s">
        <v>435</v>
      </c>
      <c r="H34" s="162" t="s">
        <v>435</v>
      </c>
      <c r="I34" s="174"/>
      <c r="J34" s="154"/>
      <c r="K34" s="154"/>
    </row>
    <row r="35" spans="1:11" ht="31.5" x14ac:dyDescent="0.25">
      <c r="A35" s="156" t="s">
        <v>502</v>
      </c>
      <c r="B35" s="165" t="s">
        <v>193</v>
      </c>
      <c r="C35" s="162">
        <v>44636</v>
      </c>
      <c r="D35" s="162">
        <v>44772</v>
      </c>
      <c r="E35" s="173">
        <v>42731</v>
      </c>
      <c r="F35" s="173">
        <v>42731</v>
      </c>
      <c r="G35" s="162">
        <v>44636</v>
      </c>
      <c r="H35" s="162">
        <v>44772</v>
      </c>
      <c r="I35" s="174"/>
      <c r="J35" s="154"/>
      <c r="K35" s="154"/>
    </row>
    <row r="36" spans="1:11" ht="31.5" x14ac:dyDescent="0.25">
      <c r="A36" s="156" t="s">
        <v>504</v>
      </c>
      <c r="B36" s="165" t="s">
        <v>503</v>
      </c>
      <c r="C36" s="162" t="s">
        <v>435</v>
      </c>
      <c r="D36" s="162" t="s">
        <v>435</v>
      </c>
      <c r="E36" s="173">
        <v>42993</v>
      </c>
      <c r="F36" s="173">
        <v>42993</v>
      </c>
      <c r="G36" s="162" t="s">
        <v>435</v>
      </c>
      <c r="H36" s="162" t="s">
        <v>435</v>
      </c>
      <c r="I36" s="174"/>
      <c r="J36" s="164"/>
      <c r="K36" s="153"/>
    </row>
    <row r="37" spans="1:11" x14ac:dyDescent="0.25">
      <c r="A37" s="156" t="s">
        <v>505</v>
      </c>
      <c r="B37" s="165" t="s">
        <v>192</v>
      </c>
      <c r="C37" s="162" t="s">
        <v>435</v>
      </c>
      <c r="D37" s="162" t="s">
        <v>435</v>
      </c>
      <c r="E37" s="173">
        <v>43054</v>
      </c>
      <c r="F37" s="173">
        <v>43305</v>
      </c>
      <c r="G37" s="162" t="s">
        <v>435</v>
      </c>
      <c r="H37" s="162" t="s">
        <v>435</v>
      </c>
      <c r="I37" s="174"/>
      <c r="J37" s="155"/>
      <c r="K37" s="153"/>
    </row>
    <row r="38" spans="1:11" x14ac:dyDescent="0.25">
      <c r="A38" s="163" t="s">
        <v>506</v>
      </c>
      <c r="B38" s="166" t="s">
        <v>191</v>
      </c>
      <c r="C38" s="162"/>
      <c r="D38" s="162"/>
      <c r="E38" s="173"/>
      <c r="F38" s="173"/>
      <c r="G38" s="162"/>
      <c r="H38" s="162"/>
      <c r="I38" s="174"/>
      <c r="J38" s="153"/>
      <c r="K38" s="153"/>
    </row>
    <row r="39" spans="1:11" ht="63" x14ac:dyDescent="0.25">
      <c r="A39" s="156" t="s">
        <v>508</v>
      </c>
      <c r="B39" s="165" t="s">
        <v>507</v>
      </c>
      <c r="C39" s="162"/>
      <c r="D39" s="162"/>
      <c r="E39" s="173">
        <v>42843</v>
      </c>
      <c r="F39" s="173">
        <v>42843</v>
      </c>
      <c r="G39" s="162"/>
      <c r="H39" s="162"/>
      <c r="I39" s="174"/>
      <c r="J39" s="153"/>
      <c r="K39" s="153"/>
    </row>
    <row r="40" spans="1:11" x14ac:dyDescent="0.25">
      <c r="A40" s="156" t="s">
        <v>510</v>
      </c>
      <c r="B40" s="165" t="s">
        <v>509</v>
      </c>
      <c r="C40" s="162">
        <v>44636</v>
      </c>
      <c r="D40" s="162">
        <v>44864</v>
      </c>
      <c r="E40" s="173">
        <v>43038</v>
      </c>
      <c r="F40" s="173">
        <v>43038</v>
      </c>
      <c r="G40" s="162">
        <v>44636</v>
      </c>
      <c r="H40" s="162">
        <v>44864</v>
      </c>
      <c r="I40" s="174"/>
      <c r="J40" s="153"/>
      <c r="K40" s="153"/>
    </row>
    <row r="41" spans="1:11" ht="47.25" x14ac:dyDescent="0.25">
      <c r="A41" s="156" t="s">
        <v>512</v>
      </c>
      <c r="B41" s="166" t="s">
        <v>511</v>
      </c>
      <c r="C41" s="162"/>
      <c r="D41" s="162"/>
      <c r="E41" s="173"/>
      <c r="F41" s="173"/>
      <c r="G41" s="162"/>
      <c r="H41" s="162"/>
      <c r="I41" s="174"/>
      <c r="J41" s="153"/>
      <c r="K41" s="153"/>
    </row>
    <row r="42" spans="1:11" ht="31.5" x14ac:dyDescent="0.25">
      <c r="A42" s="156" t="s">
        <v>514</v>
      </c>
      <c r="B42" s="165" t="s">
        <v>513</v>
      </c>
      <c r="C42" s="162" t="s">
        <v>435</v>
      </c>
      <c r="D42" s="162" t="s">
        <v>435</v>
      </c>
      <c r="E42" s="173">
        <v>43070</v>
      </c>
      <c r="F42" s="173">
        <v>43097</v>
      </c>
      <c r="G42" s="162" t="s">
        <v>435</v>
      </c>
      <c r="H42" s="162" t="s">
        <v>435</v>
      </c>
      <c r="I42" s="174"/>
      <c r="J42" s="153"/>
      <c r="K42" s="153"/>
    </row>
    <row r="43" spans="1:11" x14ac:dyDescent="0.25">
      <c r="A43" s="156" t="s">
        <v>515</v>
      </c>
      <c r="B43" s="165" t="s">
        <v>190</v>
      </c>
      <c r="C43" s="185">
        <v>44650</v>
      </c>
      <c r="D43" s="185">
        <v>44864</v>
      </c>
      <c r="E43" s="173">
        <v>43054</v>
      </c>
      <c r="F43" s="173">
        <v>43218</v>
      </c>
      <c r="G43" s="162">
        <v>44650</v>
      </c>
      <c r="H43" s="162">
        <v>44864</v>
      </c>
      <c r="I43" s="174"/>
      <c r="J43" s="153"/>
      <c r="K43" s="153"/>
    </row>
    <row r="44" spans="1:11" x14ac:dyDescent="0.25">
      <c r="A44" s="156" t="s">
        <v>516</v>
      </c>
      <c r="B44" s="165" t="s">
        <v>189</v>
      </c>
      <c r="C44" s="185">
        <v>44864</v>
      </c>
      <c r="D44" s="185">
        <v>44896</v>
      </c>
      <c r="E44" s="173">
        <v>43084</v>
      </c>
      <c r="F44" s="173">
        <v>43266</v>
      </c>
      <c r="G44" s="162">
        <v>44864</v>
      </c>
      <c r="H44" s="162">
        <v>44896</v>
      </c>
      <c r="I44" s="174"/>
      <c r="J44" s="153"/>
      <c r="K44" s="153"/>
    </row>
    <row r="45" spans="1:11" ht="78.75" x14ac:dyDescent="0.25">
      <c r="A45" s="156" t="s">
        <v>518</v>
      </c>
      <c r="B45" s="165" t="s">
        <v>517</v>
      </c>
      <c r="C45" s="185" t="s">
        <v>435</v>
      </c>
      <c r="D45" s="185" t="s">
        <v>435</v>
      </c>
      <c r="E45" s="173"/>
      <c r="F45" s="173"/>
      <c r="G45" s="185" t="s">
        <v>435</v>
      </c>
      <c r="H45" s="185" t="s">
        <v>435</v>
      </c>
      <c r="I45" s="174"/>
      <c r="J45" s="153"/>
      <c r="K45" s="153"/>
    </row>
    <row r="46" spans="1:11" ht="157.5" x14ac:dyDescent="0.25">
      <c r="A46" s="156" t="s">
        <v>520</v>
      </c>
      <c r="B46" s="165" t="s">
        <v>519</v>
      </c>
      <c r="C46" s="185" t="s">
        <v>435</v>
      </c>
      <c r="D46" s="185" t="s">
        <v>435</v>
      </c>
      <c r="E46" s="173">
        <v>43319</v>
      </c>
      <c r="F46" s="173">
        <v>43319</v>
      </c>
      <c r="G46" s="185" t="s">
        <v>435</v>
      </c>
      <c r="H46" s="185" t="s">
        <v>435</v>
      </c>
      <c r="I46" s="174"/>
      <c r="J46" s="153"/>
      <c r="K46" s="153"/>
    </row>
    <row r="47" spans="1:11" x14ac:dyDescent="0.25">
      <c r="A47" s="156" t="s">
        <v>530</v>
      </c>
      <c r="B47" s="165" t="s">
        <v>188</v>
      </c>
      <c r="C47" s="186">
        <v>44896</v>
      </c>
      <c r="D47" s="185">
        <v>44926</v>
      </c>
      <c r="E47" s="173">
        <v>43220</v>
      </c>
      <c r="F47" s="173">
        <v>43318</v>
      </c>
      <c r="G47" s="186">
        <v>44896</v>
      </c>
      <c r="H47" s="186">
        <v>44926</v>
      </c>
      <c r="I47" s="174"/>
      <c r="J47" s="153"/>
      <c r="K47" s="153"/>
    </row>
    <row r="48" spans="1:11" ht="31.5" x14ac:dyDescent="0.25">
      <c r="A48" s="156" t="s">
        <v>521</v>
      </c>
      <c r="B48" s="166" t="s">
        <v>187</v>
      </c>
      <c r="C48" s="162"/>
      <c r="D48" s="162"/>
      <c r="E48" s="173"/>
      <c r="F48" s="173"/>
      <c r="G48" s="162"/>
      <c r="H48" s="162"/>
      <c r="I48" s="174"/>
      <c r="J48" s="153"/>
      <c r="K48" s="153"/>
    </row>
    <row r="49" spans="1:11" ht="31.5" x14ac:dyDescent="0.25">
      <c r="A49" s="156" t="s">
        <v>531</v>
      </c>
      <c r="B49" s="165" t="s">
        <v>186</v>
      </c>
      <c r="C49" s="162">
        <v>44896</v>
      </c>
      <c r="D49" s="162">
        <v>44926</v>
      </c>
      <c r="E49" s="173">
        <v>43318</v>
      </c>
      <c r="F49" s="173">
        <v>43320</v>
      </c>
      <c r="G49" s="186">
        <v>44896</v>
      </c>
      <c r="H49" s="186">
        <v>44926</v>
      </c>
      <c r="I49" s="174"/>
      <c r="J49" s="153"/>
      <c r="K49" s="153"/>
    </row>
    <row r="50" spans="1:11" ht="78.75" x14ac:dyDescent="0.25">
      <c r="A50" s="163" t="s">
        <v>523</v>
      </c>
      <c r="B50" s="165" t="s">
        <v>522</v>
      </c>
      <c r="C50" s="162">
        <v>44896</v>
      </c>
      <c r="D50" s="162">
        <v>44926</v>
      </c>
      <c r="E50" s="173">
        <v>43343</v>
      </c>
      <c r="F50" s="173">
        <v>43343</v>
      </c>
      <c r="G50" s="186">
        <v>44896</v>
      </c>
      <c r="H50" s="162">
        <v>44926</v>
      </c>
      <c r="I50" s="174"/>
      <c r="J50" s="153"/>
      <c r="K50" s="153"/>
    </row>
    <row r="51" spans="1:11" ht="63" x14ac:dyDescent="0.25">
      <c r="A51" s="156" t="s">
        <v>525</v>
      </c>
      <c r="B51" s="165" t="s">
        <v>524</v>
      </c>
      <c r="C51" s="162">
        <v>44896</v>
      </c>
      <c r="D51" s="162">
        <v>44926</v>
      </c>
      <c r="E51" s="173">
        <v>43343</v>
      </c>
      <c r="F51" s="173">
        <v>43343</v>
      </c>
      <c r="G51" s="186">
        <v>44896</v>
      </c>
      <c r="H51" s="162">
        <v>44926</v>
      </c>
      <c r="I51" s="174"/>
      <c r="J51" s="153"/>
      <c r="K51" s="153"/>
    </row>
    <row r="52" spans="1:11" ht="63" x14ac:dyDescent="0.25">
      <c r="A52" s="156" t="s">
        <v>526</v>
      </c>
      <c r="B52" s="165" t="s">
        <v>185</v>
      </c>
      <c r="C52" s="162">
        <v>44896</v>
      </c>
      <c r="D52" s="162">
        <v>44926</v>
      </c>
      <c r="E52" s="173"/>
      <c r="F52" s="173"/>
      <c r="G52" s="186">
        <v>44896</v>
      </c>
      <c r="H52" s="162">
        <v>44926</v>
      </c>
      <c r="I52" s="174"/>
      <c r="J52" s="153"/>
      <c r="K52" s="153"/>
    </row>
    <row r="53" spans="1:11" ht="31.5" x14ac:dyDescent="0.25">
      <c r="A53" s="156" t="s">
        <v>528</v>
      </c>
      <c r="B53" s="165" t="s">
        <v>527</v>
      </c>
      <c r="C53" s="187">
        <v>44896</v>
      </c>
      <c r="D53" s="187">
        <v>44926</v>
      </c>
      <c r="E53" s="173">
        <v>43343</v>
      </c>
      <c r="F53" s="173">
        <v>43343</v>
      </c>
      <c r="G53" s="186">
        <v>44896</v>
      </c>
      <c r="H53" s="162">
        <v>44926</v>
      </c>
      <c r="I53" s="174"/>
      <c r="J53" s="153"/>
      <c r="K53" s="153"/>
    </row>
    <row r="54" spans="1:11" ht="31.5" x14ac:dyDescent="0.25">
      <c r="A54" s="156" t="s">
        <v>532</v>
      </c>
      <c r="B54" s="165" t="s">
        <v>184</v>
      </c>
      <c r="C54" s="187">
        <v>44896</v>
      </c>
      <c r="D54" s="187">
        <v>44926</v>
      </c>
      <c r="E54" s="173">
        <v>43353</v>
      </c>
      <c r="F54" s="173">
        <v>43353</v>
      </c>
      <c r="G54" s="186">
        <v>44896</v>
      </c>
      <c r="H54" s="162">
        <v>44926</v>
      </c>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2023-02-24T14:03:37Z</dcterms:modified>
</cp:coreProperties>
</file>