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Пользователь\Desktop\2023\2023 _кор ИПР\05.04.2023\паспорта,карты,ф 20, ст-сти\M 22-20\M 22-20_паспорт_карта\"/>
    </mc:Choice>
  </mc:AlternateContent>
  <xr:revisionPtr revIDLastSave="0" documentId="13_ncr:1_{53CAC914-C3AF-452A-9FF3-4B06A196C6F9}" xr6:coauthVersionLast="47" xr6:coauthVersionMax="47" xr10:uidLastSave="{00000000-0000-0000-0000-000000000000}"/>
  <bookViews>
    <workbookView xWindow="510" yWindow="600" windowWidth="28290" windowHeight="1560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ПС'!$A$2:$T$62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81" i="30" l="1"/>
  <c r="N25" i="29"/>
  <c r="N26" i="29"/>
  <c r="N27" i="29"/>
  <c r="N28" i="29"/>
  <c r="N29" i="29"/>
  <c r="N30" i="29"/>
  <c r="N31" i="29"/>
  <c r="F31" i="29" s="1"/>
  <c r="N32" i="29"/>
  <c r="N33" i="29"/>
  <c r="N34" i="29"/>
  <c r="N35" i="29"/>
  <c r="F35" i="29" s="1"/>
  <c r="N36" i="29"/>
  <c r="N37" i="29"/>
  <c r="N38" i="29"/>
  <c r="N39" i="29"/>
  <c r="F39" i="29" s="1"/>
  <c r="N40" i="29"/>
  <c r="N41" i="29"/>
  <c r="N42" i="29"/>
  <c r="N43" i="29"/>
  <c r="F43" i="29" s="1"/>
  <c r="N44" i="29"/>
  <c r="F44" i="29" s="1"/>
  <c r="N45" i="29"/>
  <c r="N46" i="29"/>
  <c r="N47" i="29"/>
  <c r="N48" i="29"/>
  <c r="F48" i="29" s="1"/>
  <c r="N49" i="29"/>
  <c r="N50" i="29"/>
  <c r="N51" i="29"/>
  <c r="F51" i="29" s="1"/>
  <c r="N52" i="29"/>
  <c r="N53" i="29"/>
  <c r="N54" i="29"/>
  <c r="N55" i="29"/>
  <c r="N56" i="29"/>
  <c r="N57" i="29"/>
  <c r="N58" i="29"/>
  <c r="N59" i="29"/>
  <c r="F59" i="29" s="1"/>
  <c r="N60" i="29"/>
  <c r="F60" i="29" s="1"/>
  <c r="N61" i="29"/>
  <c r="N62" i="29"/>
  <c r="N63" i="29"/>
  <c r="N64" i="29"/>
  <c r="F64" i="29" s="1"/>
  <c r="N24" i="29"/>
  <c r="F24" i="29"/>
  <c r="E28" i="29"/>
  <c r="R27" i="14"/>
  <c r="K26" i="5"/>
  <c r="G26" i="5"/>
  <c r="F30" i="29"/>
  <c r="E45" i="29"/>
  <c r="F29" i="29"/>
  <c r="F32" i="29"/>
  <c r="F33" i="29"/>
  <c r="F34" i="29"/>
  <c r="F36" i="29"/>
  <c r="F37" i="29"/>
  <c r="F38" i="29"/>
  <c r="F40" i="29"/>
  <c r="F42" i="29"/>
  <c r="F46" i="29"/>
  <c r="F47" i="29"/>
  <c r="F50" i="29"/>
  <c r="F53" i="29"/>
  <c r="F55" i="29"/>
  <c r="F57" i="29"/>
  <c r="F61" i="29"/>
  <c r="F62" i="29"/>
  <c r="F63" i="29"/>
  <c r="F25" i="29"/>
  <c r="F26" i="29"/>
  <c r="F27" i="29"/>
  <c r="E25" i="29"/>
  <c r="E26" i="29"/>
  <c r="E27" i="29"/>
  <c r="E29" i="29"/>
  <c r="E31" i="29"/>
  <c r="E32" i="29"/>
  <c r="E33" i="29"/>
  <c r="E34" i="29"/>
  <c r="E35" i="29"/>
  <c r="E36" i="29"/>
  <c r="E37" i="29"/>
  <c r="E38" i="29"/>
  <c r="E39" i="29"/>
  <c r="E40" i="29"/>
  <c r="E42" i="29"/>
  <c r="E43" i="29"/>
  <c r="E44" i="29"/>
  <c r="E46" i="29"/>
  <c r="E47" i="29"/>
  <c r="E48" i="29"/>
  <c r="E50" i="29"/>
  <c r="E51" i="29"/>
  <c r="E53" i="29"/>
  <c r="E55" i="29"/>
  <c r="E57" i="29"/>
  <c r="E59" i="29"/>
  <c r="E60" i="29"/>
  <c r="E61" i="29"/>
  <c r="E62" i="29"/>
  <c r="E63" i="29"/>
  <c r="E64" i="29"/>
  <c r="E54" i="29"/>
  <c r="F54" i="29" l="1"/>
  <c r="B24" i="26"/>
  <c r="F45" i="29"/>
  <c r="E24" i="29"/>
  <c r="F28" i="29"/>
  <c r="E58" i="29"/>
  <c r="E52" i="29"/>
  <c r="F41" i="29"/>
  <c r="F56" i="29"/>
  <c r="F49" i="29"/>
  <c r="E56" i="29"/>
  <c r="E41" i="29"/>
  <c r="E30" i="29"/>
  <c r="E49" i="29"/>
  <c r="D92" i="30"/>
  <c r="E92" i="30" s="1"/>
  <c r="F92" i="30" s="1"/>
  <c r="G92" i="30" s="1"/>
  <c r="H92" i="30" s="1"/>
  <c r="I92" i="30" s="1"/>
  <c r="J92" i="30" s="1"/>
  <c r="K92" i="30" s="1"/>
  <c r="L92" i="30" s="1"/>
  <c r="C92" i="30"/>
  <c r="F52" i="29" l="1"/>
  <c r="F58" i="29"/>
  <c r="C51" i="7"/>
  <c r="B25" i="26"/>
  <c r="H140" i="30"/>
  <c r="H141" i="30" s="1"/>
  <c r="C73" i="30" s="1"/>
  <c r="I118" i="30"/>
  <c r="B27" i="26"/>
  <c r="C50" i="7" l="1"/>
  <c r="C126" i="30"/>
  <c r="A15" i="6" l="1"/>
  <c r="AC64" i="29" l="1"/>
  <c r="AC61" i="29"/>
  <c r="AC57" i="29"/>
  <c r="AC54" i="29"/>
  <c r="AC52" i="29"/>
  <c r="AC50" i="29"/>
  <c r="AC45" i="29"/>
  <c r="AC42" i="29"/>
  <c r="AC37" i="29"/>
  <c r="AC34" i="29"/>
  <c r="AC33" i="29"/>
  <c r="AC28" i="29"/>
  <c r="Z27" i="29"/>
  <c r="AA24" i="29"/>
  <c r="V27" i="29"/>
  <c r="AC27" i="29" s="1"/>
  <c r="W24" i="29"/>
  <c r="AC30" i="29"/>
  <c r="AC29" i="29"/>
  <c r="K24" i="29"/>
  <c r="B22" i="26" l="1"/>
  <c r="D81" i="30" l="1"/>
  <c r="AC58" i="29" l="1"/>
  <c r="AC59" i="29"/>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A12" i="26"/>
  <c r="C67" i="30" l="1"/>
  <c r="D67" i="30" s="1"/>
  <c r="E67" i="30" s="1"/>
  <c r="F67" i="30" s="1"/>
  <c r="G67" i="30" s="1"/>
  <c r="H67" i="30" s="1"/>
  <c r="I67" i="30" s="1"/>
  <c r="J67" i="30" s="1"/>
  <c r="K67" i="30" s="1"/>
  <c r="L67" i="30" s="1"/>
  <c r="C99" i="30"/>
  <c r="AQ99" i="30" s="1"/>
  <c r="A100" i="30" s="1"/>
  <c r="AQ81" i="30"/>
  <c r="B59" i="30"/>
  <c r="B29" i="30"/>
  <c r="B119" i="26"/>
  <c r="B117" i="26"/>
  <c r="B67" i="26"/>
  <c r="B63" i="26"/>
  <c r="B59" i="26"/>
  <c r="B55" i="26"/>
  <c r="A15" i="26"/>
  <c r="B21" i="26" s="1"/>
  <c r="B23" i="26" s="1"/>
  <c r="A9" i="26"/>
  <c r="B121" i="26" s="1"/>
  <c r="A5" i="26"/>
  <c r="J65" i="30" l="1"/>
  <c r="G65" i="30"/>
  <c r="F65" i="30"/>
  <c r="C65" i="30"/>
  <c r="C60" i="30" s="1"/>
  <c r="C66" i="30" s="1"/>
  <c r="C68" i="30" s="1"/>
  <c r="C75" i="30" s="1"/>
  <c r="D65" i="30"/>
  <c r="D60" i="30" s="1"/>
  <c r="D66" i="30" s="1"/>
  <c r="K65" i="30"/>
  <c r="H65" i="30"/>
  <c r="E65" i="30"/>
  <c r="L65" i="30"/>
  <c r="I65" i="30"/>
  <c r="C76" i="30"/>
  <c r="F76" i="30"/>
  <c r="B66" i="30"/>
  <c r="B68" i="30" s="1"/>
  <c r="B80" i="30"/>
  <c r="C80" i="30"/>
  <c r="B54" i="30"/>
  <c r="E61" i="30"/>
  <c r="F61" i="30"/>
  <c r="G61" i="30"/>
  <c r="G60" i="30" s="1"/>
  <c r="G66" i="30" s="1"/>
  <c r="H61" i="30"/>
  <c r="I61" i="30"/>
  <c r="J61" i="30"/>
  <c r="J60" i="30" s="1"/>
  <c r="J66" i="30" s="1"/>
  <c r="K61" i="30"/>
  <c r="L61" i="30"/>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I60" i="30" l="1"/>
  <c r="I66" i="30" s="1"/>
  <c r="F60" i="30"/>
  <c r="F66" i="30" s="1"/>
  <c r="F68" i="30" s="1"/>
  <c r="F75" i="30" s="1"/>
  <c r="L60" i="30"/>
  <c r="L66" i="30" s="1"/>
  <c r="H60" i="30"/>
  <c r="H66" i="30" s="1"/>
  <c r="K60" i="30"/>
  <c r="K66" i="30" s="1"/>
  <c r="E60" i="30"/>
  <c r="E66" i="30" s="1"/>
  <c r="E68" i="30" s="1"/>
  <c r="E75" i="30" s="1"/>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AC24" i="29" l="1"/>
  <c r="O89" i="30" l="1"/>
  <c r="O84" i="30"/>
  <c r="C90" i="30"/>
  <c r="C87" i="30"/>
  <c r="E86" i="30"/>
  <c r="E83" i="30"/>
  <c r="E79" i="30"/>
  <c r="AN89" i="30"/>
  <c r="AN84" i="30"/>
  <c r="AJ90" i="30"/>
  <c r="AJ87" i="30"/>
  <c r="R89" i="30"/>
  <c r="R84" i="30"/>
  <c r="AM89" i="30"/>
  <c r="AM84" i="30"/>
  <c r="K86" i="30"/>
  <c r="K83" i="30"/>
  <c r="K79" i="30"/>
  <c r="D90" i="30"/>
  <c r="D87" i="30"/>
  <c r="AM86" i="30"/>
  <c r="AM83" i="30"/>
  <c r="AM79" i="30"/>
  <c r="G86" i="30"/>
  <c r="G83" i="30"/>
  <c r="G79" i="30"/>
  <c r="AJ89" i="30"/>
  <c r="AJ84" i="30"/>
  <c r="AA86" i="30"/>
  <c r="AA83" i="30"/>
  <c r="AA79" i="30"/>
  <c r="AA90" i="30"/>
  <c r="AA87" i="30"/>
  <c r="AI90" i="30"/>
  <c r="AI87" i="30"/>
  <c r="AK86" i="30"/>
  <c r="AK83" i="30"/>
  <c r="AK79" i="30"/>
  <c r="AF89" i="30"/>
  <c r="AF84" i="30"/>
  <c r="E89" i="30"/>
  <c r="E84" i="30"/>
  <c r="L86" i="30"/>
  <c r="L83" i="30"/>
  <c r="L79" i="30"/>
  <c r="B105" i="30"/>
  <c r="L88" i="30"/>
  <c r="AK89" i="30"/>
  <c r="AK84" i="30"/>
  <c r="G89" i="30"/>
  <c r="G84" i="30"/>
  <c r="AE86" i="30"/>
  <c r="AE83" i="30"/>
  <c r="AE79" i="30"/>
  <c r="AL90" i="30"/>
  <c r="AL87" i="30"/>
  <c r="AI89" i="30"/>
  <c r="AI84" i="30"/>
  <c r="C86" i="30"/>
  <c r="C83" i="30"/>
  <c r="C79" i="30"/>
  <c r="AC90" i="30"/>
  <c r="AC87" i="30"/>
  <c r="AD90" i="30"/>
  <c r="AD87" i="30"/>
  <c r="D89" i="30"/>
  <c r="D84" i="30"/>
  <c r="D86" i="30"/>
  <c r="D83" i="30"/>
  <c r="D79" i="30"/>
  <c r="AL89" i="30"/>
  <c r="AL84" i="30"/>
  <c r="AB89" i="30"/>
  <c r="AB84" i="30"/>
  <c r="S89" i="30"/>
  <c r="S84" i="30"/>
  <c r="N90" i="30"/>
  <c r="N87" i="30"/>
  <c r="E90" i="30"/>
  <c r="E87" i="30"/>
  <c r="AC86" i="30"/>
  <c r="AC83" i="30"/>
  <c r="AC79" i="30"/>
  <c r="T89" i="30"/>
  <c r="T84" i="30"/>
  <c r="AF90" i="30"/>
  <c r="AF87" i="30"/>
  <c r="Y90" i="30"/>
  <c r="Y87" i="30"/>
  <c r="M89" i="30"/>
  <c r="M84" i="30"/>
  <c r="V86" i="30"/>
  <c r="V83" i="30"/>
  <c r="V79" i="30"/>
  <c r="L89" i="30"/>
  <c r="L84" i="30"/>
  <c r="Z86" i="30"/>
  <c r="Z83" i="30"/>
  <c r="Z79" i="30"/>
  <c r="AE90" i="30"/>
  <c r="AE87" i="30"/>
  <c r="V90" i="30"/>
  <c r="V87" i="30"/>
  <c r="AK90" i="30"/>
  <c r="AK87" i="30"/>
  <c r="AD86" i="30"/>
  <c r="AD83" i="30"/>
  <c r="AD79" i="30"/>
  <c r="AP89" i="30"/>
  <c r="AP84" i="30"/>
  <c r="AP86" i="30"/>
  <c r="AP83" i="30"/>
  <c r="AP79" i="30"/>
  <c r="F90" i="30"/>
  <c r="F87" i="30"/>
  <c r="P86" i="30"/>
  <c r="P83" i="30"/>
  <c r="P79" i="30"/>
  <c r="U89" i="30"/>
  <c r="U84" i="30"/>
  <c r="Y89" i="30"/>
  <c r="Y84" i="30"/>
  <c r="H79" i="30"/>
  <c r="H83" i="30"/>
  <c r="H86" i="30"/>
  <c r="R90" i="30"/>
  <c r="R87" i="30"/>
  <c r="AH89" i="30"/>
  <c r="AH84" i="30"/>
  <c r="J89" i="30"/>
  <c r="J84" i="30"/>
  <c r="W79" i="30"/>
  <c r="W83" i="30"/>
  <c r="W86" i="30"/>
  <c r="I89" i="30"/>
  <c r="I84" i="30"/>
  <c r="AN79" i="30"/>
  <c r="AN83" i="30"/>
  <c r="AN86" i="30"/>
  <c r="O79" i="30"/>
  <c r="O83" i="30"/>
  <c r="O86" i="30"/>
  <c r="AO79" i="30"/>
  <c r="AO83" i="30"/>
  <c r="AO86" i="30"/>
  <c r="AH90" i="30"/>
  <c r="AH87" i="30"/>
  <c r="AB86" i="30"/>
  <c r="AB83" i="30"/>
  <c r="AB79" i="30"/>
  <c r="AO90" i="30"/>
  <c r="AO87" i="30"/>
  <c r="AO89" i="30"/>
  <c r="AO84" i="30"/>
  <c r="AJ86" i="30"/>
  <c r="AJ83" i="30"/>
  <c r="AJ79" i="30"/>
  <c r="Z89" i="30"/>
  <c r="Z84" i="30"/>
  <c r="P90" i="30"/>
  <c r="P87" i="30"/>
  <c r="T90" i="30"/>
  <c r="T87" i="30"/>
  <c r="U86" i="30"/>
  <c r="U83" i="30"/>
  <c r="U79" i="30"/>
  <c r="K89" i="30"/>
  <c r="K84" i="30"/>
  <c r="X86" i="30"/>
  <c r="X83" i="30"/>
  <c r="X79" i="30"/>
  <c r="X90" i="30"/>
  <c r="X87" i="30"/>
  <c r="O90" i="30"/>
  <c r="O87" i="30"/>
  <c r="G90" i="30"/>
  <c r="G87" i="30"/>
  <c r="J90" i="30"/>
  <c r="J87" i="30"/>
  <c r="H89" i="30"/>
  <c r="H84" i="30"/>
  <c r="AA89" i="30"/>
  <c r="AA84" i="30"/>
  <c r="W90" i="30"/>
  <c r="W87" i="30"/>
  <c r="D105" i="30"/>
  <c r="B87" i="30"/>
  <c r="B90" i="30"/>
  <c r="G29" i="30"/>
  <c r="N89" i="30"/>
  <c r="N84" i="30"/>
  <c r="F89" i="30"/>
  <c r="F84" i="30"/>
  <c r="AP90" i="30"/>
  <c r="A105" i="30"/>
  <c r="G30" i="30"/>
  <c r="W89" i="30"/>
  <c r="W84" i="30"/>
  <c r="R86" i="30"/>
  <c r="R83" i="30"/>
  <c r="R79" i="30"/>
  <c r="AD89" i="30"/>
  <c r="AD84" i="30"/>
  <c r="S90" i="30"/>
  <c r="S87" i="30"/>
  <c r="AH79" i="30"/>
  <c r="AH83" i="30"/>
  <c r="AH86" i="30"/>
  <c r="AI79" i="30"/>
  <c r="AI83" i="30"/>
  <c r="AI86" i="30"/>
  <c r="J79" i="30"/>
  <c r="J83" i="30"/>
  <c r="J86" i="30"/>
  <c r="I90" i="30"/>
  <c r="I87" i="30"/>
  <c r="K90" i="30"/>
  <c r="K87" i="30"/>
  <c r="S79" i="30"/>
  <c r="S83" i="30"/>
  <c r="S86" i="30"/>
  <c r="AG90" i="30"/>
  <c r="AG87" i="30"/>
  <c r="X89" i="30"/>
  <c r="X84" i="30"/>
  <c r="T79" i="30"/>
  <c r="T83" i="30"/>
  <c r="T86" i="30"/>
  <c r="I79" i="30"/>
  <c r="I83" i="30"/>
  <c r="I86" i="30"/>
  <c r="Q90" i="30"/>
  <c r="Q87" i="30"/>
  <c r="Z90" i="30"/>
  <c r="Z87" i="30"/>
  <c r="C89" i="30"/>
  <c r="C84" i="30"/>
  <c r="Q79" i="30"/>
  <c r="Q83" i="30"/>
  <c r="Q86" i="30"/>
  <c r="AG79" i="30"/>
  <c r="AG83" i="30"/>
  <c r="AG86" i="30"/>
  <c r="AM90" i="30"/>
  <c r="AM87" i="30"/>
  <c r="AB90" i="30"/>
  <c r="AB87" i="30"/>
  <c r="L87" i="30"/>
  <c r="L90" i="30"/>
  <c r="P89" i="30"/>
  <c r="P84" i="30"/>
  <c r="B84" i="30"/>
  <c r="B89" i="30"/>
  <c r="G28" i="30"/>
  <c r="C105" i="30"/>
  <c r="AN90" i="30"/>
  <c r="AN87" i="30"/>
  <c r="Y79" i="30"/>
  <c r="Y83" i="30"/>
  <c r="Y86" i="30"/>
  <c r="M79" i="30"/>
  <c r="M83" i="30"/>
  <c r="M86" i="30"/>
  <c r="AP87" i="30"/>
  <c r="A101" i="30"/>
  <c r="B102" i="30"/>
  <c r="N79" i="30"/>
  <c r="N83" i="30"/>
  <c r="N86" i="30"/>
  <c r="Q89" i="30"/>
  <c r="Q84" i="30"/>
  <c r="V89" i="30"/>
  <c r="V84" i="30"/>
  <c r="M90" i="30"/>
  <c r="M87" i="30"/>
  <c r="AL79" i="30"/>
  <c r="AL83" i="30"/>
  <c r="AL86" i="30"/>
  <c r="U90" i="30"/>
  <c r="U87" i="30"/>
  <c r="AC89" i="30"/>
  <c r="AC84" i="30"/>
  <c r="AE89" i="30"/>
  <c r="AE84" i="30"/>
  <c r="H90" i="30"/>
  <c r="B86" i="30"/>
  <c r="H87" i="30"/>
  <c r="AF79" i="30"/>
  <c r="AF83" i="30"/>
  <c r="AF86" i="30"/>
  <c r="AG89" i="30"/>
  <c r="AG84" i="30"/>
  <c r="X88" i="30"/>
  <c r="AM88" i="30"/>
  <c r="D88" i="30"/>
  <c r="AA88" i="30"/>
  <c r="V88" i="30"/>
  <c r="B88" i="30"/>
  <c r="U88" i="30"/>
  <c r="AP88" i="30"/>
  <c r="AE88" i="30"/>
  <c r="AK88" i="30"/>
  <c r="AB88" i="30"/>
  <c r="J88" i="30"/>
  <c r="Z88" i="30"/>
  <c r="S88" i="30"/>
  <c r="H88" i="30"/>
  <c r="Q88" i="30"/>
  <c r="C88" i="30"/>
  <c r="AI88" i="30"/>
  <c r="N88" i="30"/>
  <c r="P88" i="30"/>
  <c r="I88" i="30"/>
  <c r="E88" i="30"/>
  <c r="F88" i="30"/>
  <c r="AH88" i="30"/>
  <c r="M88" i="30"/>
  <c r="AN88" i="30"/>
  <c r="AD88" i="30"/>
  <c r="AG88" i="30"/>
  <c r="R88" i="30"/>
  <c r="O88" i="30"/>
  <c r="AJ88" i="30"/>
  <c r="G88" i="30"/>
  <c r="Y88" i="30"/>
  <c r="AL88" i="30"/>
  <c r="AO88" i="30"/>
  <c r="AC88" i="30"/>
  <c r="T88" i="30"/>
  <c r="W88" i="30"/>
  <c r="AF88" i="30"/>
  <c r="B83" i="30"/>
  <c r="K88" i="30"/>
  <c r="B79" i="30"/>
  <c r="F79" i="30"/>
  <c r="F83" i="30"/>
  <c r="F86" i="30"/>
</calcChain>
</file>

<file path=xl/sharedStrings.xml><?xml version="1.0" encoding="utf-8"?>
<sst xmlns="http://schemas.openxmlformats.org/spreadsheetml/2006/main" count="1307" uniqueCount="656">
  <si>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</si>
  <si>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</si>
  <si>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</si>
  <si>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</si>
  <si>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</si>
  <si>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</si>
  <si>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</si>
  <si>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</si>
  <si>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</si>
  <si>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</si>
  <si>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</si>
  <si>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</si>
  <si>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</si>
  <si>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</si>
  <si>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</si>
  <si>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</si>
  <si>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</si>
  <si>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</si>
  <si>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</si>
  <si>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</si>
  <si>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</si>
  <si>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</si>
  <si>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</si>
  <si>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</si>
  <si>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</si>
  <si>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</si>
  <si>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</si>
  <si>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</si>
  <si>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</si>
  <si>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</si>
  <si>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</si>
  <si>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</si>
  <si>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</si>
  <si>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</si>
  <si>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</si>
  <si>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</si>
  <si>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</si>
  <si>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</si>
  <si>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</si>
  <si>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</si>
  <si>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</si>
  <si>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</si>
  <si>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</si>
  <si>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</si>
  <si>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</si>
  <si>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</si>
  <si>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</si>
  <si>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</si>
  <si>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</si>
  <si>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</si>
  <si>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</si>
  <si>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</si>
  <si>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</si>
  <si>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</si>
  <si>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</si>
  <si>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</si>
  <si>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</si>
  <si>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</si>
  <si>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</si>
  <si>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</si>
  <si>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</si>
  <si>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</si>
  <si>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</si>
  <si>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</si>
  <si>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</si>
  <si>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</si>
  <si>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</si>
  <si>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</si>
  <si>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</si>
  <si>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</si>
  <si>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</si>
  <si>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</si>
  <si>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</si>
  <si>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</si>
  <si>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</si>
  <si>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</si>
  <si>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</si>
  <si>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</si>
  <si>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</si>
  <si>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</si>
  <si>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</si>
  <si>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</si>
  <si>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</si>
  <si>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</si>
  <si>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</si>
  <si>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</si>
  <si>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</si>
  <si>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</si>
  <si>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</si>
  <si>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</si>
  <si>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</si>
  <si>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</si>
  <si>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</si>
  <si>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</si>
  <si>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</si>
  <si>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</si>
  <si>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</si>
  <si>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</si>
  <si>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</si>
  <si>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</si>
  <si>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</si>
  <si>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</si>
  <si>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</si>
  <si>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</si>
  <si>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</si>
  <si>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</si>
  <si>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</si>
  <si>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</si>
  <si>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</si>
  <si>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</si>
  <si>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</si>
  <si>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</si>
  <si>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</si>
  <si>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</si>
  <si>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</si>
  <si>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</si>
  <si>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</si>
  <si>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</si>
  <si>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</si>
  <si>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</si>
  <si>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</si>
  <si>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</si>
  <si>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</si>
  <si>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</si>
  <si>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</si>
  <si>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</si>
  <si>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</si>
  <si>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</si>
  <si>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</si>
  <si>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</si>
  <si>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</si>
  <si>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</si>
  <si>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</si>
  <si>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</si>
  <si>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</si>
  <si>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</si>
  <si>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</si>
  <si>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</si>
  <si>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</si>
  <si>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</si>
  <si>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</si>
  <si>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</si>
  <si>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</si>
  <si>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</si>
  <si>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</si>
  <si>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</si>
  <si>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</si>
  <si>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</si>
  <si>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</si>
  <si>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</si>
  <si>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</si>
  <si>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</si>
  <si>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</si>
  <si>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</si>
  <si>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</si>
  <si>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</si>
  <si>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</si>
  <si>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</si>
  <si>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</si>
  <si>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</si>
  <si>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</si>
  <si>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</si>
  <si>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</si>
  <si>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</si>
  <si>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</si>
  <si>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</si>
  <si>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</si>
  <si>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</si>
  <si>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</si>
  <si>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</si>
  <si>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</si>
  <si>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</si>
  <si>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</si>
  <si>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</si>
  <si>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</si>
  <si>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</si>
  <si>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</si>
  <si>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</si>
  <si>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</si>
  <si>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</si>
  <si>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</si>
  <si>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</si>
  <si>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</si>
  <si>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</si>
  <si>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</si>
  <si>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</si>
  <si>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</si>
  <si>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</si>
  <si>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</si>
  <si>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</si>
  <si>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</si>
  <si>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</si>
  <si>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</si>
  <si>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</si>
  <si>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</si>
  <si>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</si>
  <si>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</si>
  <si>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</si>
  <si>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</si>
  <si>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</si>
  <si>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</si>
  <si>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</si>
  <si>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</si>
  <si>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</si>
  <si>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</si>
  <si>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</si>
  <si>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</si>
  <si>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</si>
  <si>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</si>
  <si>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</si>
  <si>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</si>
  <si>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</si>
  <si>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</si>
  <si>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</si>
  <si>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</si>
  <si>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</si>
  <si>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</si>
  <si>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</si>
  <si>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</si>
  <si>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</si>
  <si>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</si>
  <si>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</si>
  <si>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</si>
  <si>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</si>
  <si>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</si>
  <si>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</si>
  <si>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</si>
  <si>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</si>
  <si>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</si>
  <si>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</si>
  <si>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</si>
  <si>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</si>
  <si>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</si>
  <si>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</si>
  <si>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</si>
  <si>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</si>
  <si>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</si>
  <si>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</si>
  <si>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</si>
  <si>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</si>
  <si>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</si>
  <si>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</si>
  <si>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</si>
  <si>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</si>
  <si>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</si>
  <si>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</si>
  <si>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</si>
  <si>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</si>
  <si>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</si>
  <si>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</si>
  <si>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</si>
  <si>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</si>
  <si>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</si>
  <si>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</si>
  <si>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</si>
  <si>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</si>
  <si>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</si>
  <si>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</si>
  <si>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</si>
  <si>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</si>
  <si>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</si>
  <si>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</si>
  <si>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</si>
  <si>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</si>
  <si>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</si>
  <si>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</si>
  <si>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</si>
  <si>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</si>
  <si>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</si>
  <si>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</si>
  <si>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</si>
  <si>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</si>
  <si>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</si>
  <si>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</si>
  <si>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</si>
  <si>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</si>
  <si>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</si>
  <si>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</si>
  <si>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</si>
  <si>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</si>
  <si>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</si>
  <si>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</si>
  <si>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</si>
  <si>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</si>
  <si>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</si>
  <si>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</si>
  <si>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</si>
  <si>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</si>
  <si>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</si>
  <si>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</si>
  <si>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</si>
  <si>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</si>
  <si>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</si>
  <si>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</si>
  <si>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</si>
  <si>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</si>
  <si>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</si>
  <si>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</si>
  <si>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</si>
  <si>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</si>
  <si>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</si>
  <si>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</si>
  <si>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</si>
  <si>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</si>
  <si>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</si>
  <si>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</si>
  <si>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</si>
  <si>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</si>
  <si>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</si>
  <si>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</si>
  <si>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</si>
  <si>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</si>
  <si>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</si>
  <si>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</si>
  <si>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</si>
  <si>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</si>
  <si>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</si>
  <si>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</si>
  <si>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</si>
  <si>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</si>
  <si>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</si>
  <si>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</si>
  <si>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</si>
  <si>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</si>
  <si>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</si>
  <si>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</si>
  <si>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</si>
  <si>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</si>
  <si>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</si>
  <si>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</si>
  <si>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</si>
  <si>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</si>
  <si>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</si>
  <si>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</si>
  <si>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</si>
  <si>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</si>
  <si>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</si>
  <si>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</si>
  <si>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</si>
  <si>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</si>
  <si>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</si>
  <si>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</si>
  <si>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</si>
  <si>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</si>
  <si>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</si>
  <si>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</si>
  <si>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</si>
  <si>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</si>
  <si>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</si>
  <si>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</si>
  <si>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</si>
  <si>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</si>
  <si>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</si>
  <si>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</si>
  <si>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</si>
  <si>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</si>
  <si>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</si>
  <si>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</si>
  <si>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</si>
  <si>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</si>
  <si>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</si>
  <si>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</si>
  <si>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</si>
  <si>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</si>
  <si>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</si>
  <si>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</si>
  <si>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</si>
  <si>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</si>
  <si>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</si>
  <si>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</si>
  <si>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</si>
  <si>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</si>
  <si>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</si>
  <si>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</si>
  <si>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</si>
  <si>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</si>
  <si>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</si>
  <si>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</si>
  <si>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</si>
  <si>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</si>
  <si>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</si>
  <si>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</si>
  <si>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</si>
  <si>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</si>
  <si>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</si>
  <si>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</si>
  <si>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</si>
  <si>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</si>
  <si>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</si>
  <si>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</si>
  <si>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</si>
  <si>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</si>
  <si>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</si>
  <si>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</si>
  <si>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</si>
  <si>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</si>
  <si>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</si>
  <si>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</si>
  <si>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</si>
  <si>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</si>
  <si>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</si>
  <si>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</si>
  <si>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</si>
  <si>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</si>
  <si>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</si>
  <si>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</si>
  <si>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</si>
  <si>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</si>
  <si>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</si>
  <si>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</si>
  <si>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</si>
  <si>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</si>
  <si>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</si>
  <si>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</si>
  <si>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</si>
  <si>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</si>
  <si>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</si>
  <si>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</si>
  <si>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</si>
  <si>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</si>
  <si>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</si>
  <si>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</si>
  <si>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</si>
  <si>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</si>
  <si>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</si>
  <si>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</si>
  <si>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</si>
  <si>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</si>
  <si>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</si>
  <si>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</si>
  <si>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</si>
  <si>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</si>
  <si>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</si>
  <si>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</si>
  <si>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</si>
  <si>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</si>
  <si>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</si>
  <si>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</si>
  <si>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</si>
  <si>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</si>
  <si>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</si>
  <si>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</si>
  <si>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</si>
  <si>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</si>
  <si>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</si>
  <si>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</si>
  <si>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</si>
  <si>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</si>
  <si>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</si>
  <si>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</si>
  <si>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</si>
  <si>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</si>
  <si>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</si>
  <si>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</si>
  <si>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</si>
  <si>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</si>
  <si>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</si>
  <si>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</si>
  <si>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</si>
  <si>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</si>
  <si>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</si>
  <si>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</si>
  <si>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</si>
  <si>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</si>
  <si>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</si>
  <si>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</si>
  <si>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</si>
  <si>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</si>
  <si>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</si>
  <si>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</si>
  <si>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</si>
  <si>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</si>
  <si>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</si>
  <si>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</si>
  <si>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</si>
  <si>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</si>
  <si>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</si>
  <si>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</si>
  <si>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</si>
  <si>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</si>
  <si>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</si>
  <si>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</si>
  <si>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</si>
  <si>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</si>
  <si>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</si>
  <si>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</si>
  <si>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</si>
  <si>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</si>
  <si>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</si>
  <si>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</si>
  <si>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</si>
  <si>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</si>
  <si>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</si>
  <si>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</si>
  <si>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</si>
  <si>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</si>
  <si>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</si>
  <si>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</si>
  <si>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</si>
  <si>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</si>
  <si>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</si>
  <si>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</si>
  <si>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</si>
  <si>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</si>
  <si>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</si>
  <si>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</si>
  <si>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</si>
  <si>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</si>
  <si>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</si>
  <si>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</si>
  <si>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</si>
  <si>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</si>
  <si>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</si>
  <si>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</si>
  <si>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</si>
  <si>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</si>
  <si>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</si>
  <si>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</si>
  <si>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</si>
  <si>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</si>
  <si>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</si>
  <si>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</si>
  <si>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</si>
  <si>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</si>
  <si>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</si>
  <si>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</si>
  <si>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</si>
  <si>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</si>
  <si>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</si>
  <si>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</si>
  <si>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</si>
  <si>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</si>
  <si>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</si>
  <si>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</si>
  <si>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</si>
  <si>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</si>
  <si>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</si>
  <si>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</si>
  <si>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</si>
  <si>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</si>
  <si>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</si>
  <si>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</si>
  <si>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</si>
  <si>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</si>
  <si>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</si>
  <si>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</si>
  <si>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</si>
  <si>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</si>
  <si>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</si>
  <si>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</si>
  <si>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</si>
  <si>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</si>
  <si>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</si>
  <si>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</si>
  <si>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</si>
  <si>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</si>
  <si>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</si>
  <si>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</si>
  <si>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</si>
  <si>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</si>
  <si>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</si>
  <si>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</si>
  <si>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</si>
  <si>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</si>
  <si>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</si>
  <si>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</si>
  <si>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</si>
  <si>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</si>
  <si>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</si>
  <si>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</si>
  <si>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</si>
  <si>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</si>
  <si>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</si>
  <si>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</si>
  <si>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</si>
  <si>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</si>
  <si>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</si>
  <si>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</si>
  <si>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</si>
  <si>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</si>
  <si>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</si>
  <si>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</si>
  <si>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</si>
  <si>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</si>
  <si>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</si>
  <si>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</si>
  <si>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</si>
  <si>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</si>
  <si>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</si>
  <si>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</si>
  <si>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</si>
  <si>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</si>
  <si>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</si>
  <si>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</si>
  <si>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</si>
  <si>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</si>
  <si>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</si>
  <si>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</si>
  <si>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</si>
  <si>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</si>
  <si>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</si>
  <si>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</si>
  <si>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</si>
  <si>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</si>
  <si>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</si>
  <si>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</si>
  <si>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</si>
  <si>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</si>
  <si>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</si>
  <si>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</si>
  <si>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</si>
  <si>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</si>
  <si>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 xml:space="preserve">15  </t>
  </si>
  <si>
    <t>0,4</t>
  </si>
  <si>
    <t xml:space="preserve">Трансформатор  </t>
  </si>
  <si>
    <t>Т-1</t>
  </si>
  <si>
    <t>РУ-15кВ</t>
  </si>
  <si>
    <t>ячейки РУ-15кВ 5шт</t>
  </si>
  <si>
    <t>ячейки с элегазовыми выключателями нагрузки</t>
  </si>
  <si>
    <t>ячейки РУ-0,4кВ</t>
  </si>
  <si>
    <t>шкафы НКУ-0,4 с автоматическими выключателями и АВР</t>
  </si>
  <si>
    <t>РУ-0,4</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</si>
  <si>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</si>
  <si>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</si>
  <si>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</si>
  <si>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</si>
  <si>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</si>
  <si>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</si>
  <si>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</si>
  <si>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</si>
  <si>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</si>
  <si>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</si>
  <si>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</si>
  <si>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ТП 1</t>
  </si>
  <si>
    <t>З</t>
  </si>
  <si>
    <t>завершен</t>
  </si>
  <si>
    <t>введен</t>
  </si>
  <si>
    <t>г. Пионерский</t>
  </si>
  <si>
    <t>Пионерский</t>
  </si>
  <si>
    <t>квартал жилых домов</t>
  </si>
  <si>
    <t>Электроснабжение квартала жилых домов</t>
  </si>
  <si>
    <t>строительство сетей электроснабжения квартала жилых домов, создание 3-й категории надёжности электроснабжения.</t>
  </si>
  <si>
    <t>Год раскрытия информации: 2023 год</t>
  </si>
  <si>
    <t>M_22-20</t>
  </si>
  <si>
    <t>Строительство сетей электроснабжения многоквартирных ж/домов в г.Пионерском, ул. Октябрьская  КН:39:19:010314:37</t>
  </si>
  <si>
    <t>показатель увеличения мощности силовых трансформаторов на подстанциях в рамках осуществления технологического присоединения к электрическим сетям Ртп_тр 2х400 кВА,  показатель увеличения протяженности линий электропередачи в рамках осуществления технологического приоединения к электрическим сетям,   2 КЛ 15 кВ  протяженностью  по 200 м</t>
  </si>
  <si>
    <t>103-11/21тп от19.01.2022</t>
  </si>
  <si>
    <t xml:space="preserve"> техприсоединение</t>
  </si>
  <si>
    <t>Строительство   ТП 15/0,4 кВ №16  с трансформатором 400 кВА, 2 КЛ 15 кВ сеч 3х240 мм2 протяженностью 2х200 м,</t>
  </si>
  <si>
    <t>ТМГ-15/0,4кВ 400кВА</t>
  </si>
  <si>
    <t>2022</t>
  </si>
  <si>
    <t>КЛ 15кВ от 1 с ТП 15/0, кВ  №13 до проектируемой 1 с ТП 15/0,4 кВ  № 16</t>
  </si>
  <si>
    <t>КЛ 15кВ от 2 с ТП 15/0, кВ  №13 до проектируемой 2 с ТП 15/0,4 кВ  № 16</t>
  </si>
  <si>
    <t>АПВПу2г    3*(1*240/50) 15 кВ</t>
  </si>
  <si>
    <t>СтроительствоТП 15/0,4 кВ, 2 КЛ 15 кВ , протяженностью 2x0,2 км</t>
  </si>
  <si>
    <t>2 КЛ 15 кВ сеч 3 (1х240/50 мм2, протяженностью 200 м,  ТП 1х400 кВА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</si>
</sst>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 numFmtId="179" formatCode="0.0000000"/>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6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68" fontId="94" fillId="0" borderId="0" xfId="67" applyNumberFormat="1" applyFont="1" applyAlignment="1">
      <alignment horizontal="center"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5" fillId="0" borderId="48" xfId="67" applyNumberFormat="1" applyFont="1" applyBorder="1" applyAlignment="1">
      <alignment vertical="center"/>
    </xf>
    <xf numFmtId="3" fontId="96" fillId="0" borderId="48" xfId="67" applyNumberFormat="1" applyFont="1" applyBorder="1" applyAlignment="1">
      <alignment vertical="center"/>
    </xf>
    <xf numFmtId="3" fontId="95" fillId="0" borderId="49" xfId="67" applyNumberFormat="1" applyFont="1" applyBorder="1" applyAlignment="1">
      <alignment vertical="center"/>
    </xf>
    <xf numFmtId="0" fontId="71" fillId="0" borderId="47" xfId="62" applyFont="1" applyBorder="1"/>
    <xf numFmtId="0" fontId="97"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7" fillId="0" borderId="0" xfId="62" applyFont="1"/>
    <xf numFmtId="0" fontId="81" fillId="0" borderId="0" xfId="67" applyFont="1" applyAlignment="1">
      <alignment vertical="center" wrapText="1"/>
    </xf>
    <xf numFmtId="174" fontId="95" fillId="0" borderId="1" xfId="67" applyNumberFormat="1" applyFont="1" applyBorder="1" applyAlignment="1">
      <alignment vertical="center"/>
    </xf>
    <xf numFmtId="0" fontId="90" fillId="0" borderId="0" xfId="67" applyFont="1" applyAlignment="1">
      <alignment vertical="center" wrapText="1"/>
    </xf>
    <xf numFmtId="0" fontId="98"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49" fontId="10" fillId="0" borderId="1" xfId="62" applyNumberFormat="1" applyFont="1" applyBorder="1" applyAlignment="1">
      <alignment horizontal="center" vertical="center" wrapText="1"/>
    </xf>
    <xf numFmtId="0" fontId="100"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Border="1" applyAlignment="1">
      <alignment horizontal="center" vertical="center"/>
    </xf>
    <xf numFmtId="2" fontId="39" fillId="0" borderId="4" xfId="1" applyNumberFormat="1" applyFont="1" applyBorder="1" applyAlignment="1">
      <alignment horizontal="center" vertical="center" wrapText="1"/>
    </xf>
    <xf numFmtId="175" fontId="103" fillId="0" borderId="1" xfId="2" applyNumberFormat="1" applyFont="1" applyBorder="1" applyAlignment="1">
      <alignment horizontal="center" vertical="center" wrapText="1"/>
    </xf>
    <xf numFmtId="179" fontId="39" fillId="0" borderId="0" xfId="2" applyNumberFormat="1"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1"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8" t="s">
        <v>642</v>
      </c>
      <c r="B5" s="348"/>
      <c r="C5" s="348"/>
      <c r="D5" s="84"/>
      <c r="E5" s="84"/>
      <c r="F5" s="84"/>
      <c r="G5" s="84"/>
      <c r="H5" s="84"/>
      <c r="I5" s="84"/>
      <c r="J5" s="84"/>
    </row>
    <row r="6" spans="1:22" s="8" customFormat="1" ht="18.75" x14ac:dyDescent="0.3">
      <c r="A6" s="13"/>
      <c r="H6" s="12"/>
    </row>
    <row r="7" spans="1:22" s="8" customFormat="1" ht="18.75" x14ac:dyDescent="0.2">
      <c r="A7" s="352" t="s">
        <v>7</v>
      </c>
      <c r="B7" s="352"/>
      <c r="C7" s="35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3" t="s">
        <v>544</v>
      </c>
      <c r="B9" s="353"/>
      <c r="C9" s="353"/>
      <c r="D9" s="7"/>
      <c r="E9" s="7"/>
      <c r="F9" s="7"/>
      <c r="G9" s="7"/>
      <c r="H9" s="7"/>
      <c r="I9" s="10"/>
      <c r="J9" s="10"/>
      <c r="K9" s="10"/>
      <c r="L9" s="10"/>
      <c r="M9" s="10"/>
      <c r="N9" s="10"/>
      <c r="O9" s="10"/>
      <c r="P9" s="10"/>
      <c r="Q9" s="10"/>
      <c r="R9" s="10"/>
      <c r="S9" s="10"/>
      <c r="T9" s="10"/>
      <c r="U9" s="10"/>
      <c r="V9" s="10"/>
    </row>
    <row r="10" spans="1:22" s="8" customFormat="1" ht="18.75" x14ac:dyDescent="0.2">
      <c r="A10" s="349" t="s">
        <v>6</v>
      </c>
      <c r="B10" s="349"/>
      <c r="C10" s="34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3" t="s">
        <v>643</v>
      </c>
      <c r="B12" s="353"/>
      <c r="C12" s="353"/>
      <c r="D12" s="7"/>
      <c r="E12" s="7"/>
      <c r="F12" s="7"/>
      <c r="G12" s="7"/>
      <c r="H12" s="7"/>
      <c r="I12" s="10"/>
      <c r="J12" s="10"/>
      <c r="K12" s="10"/>
      <c r="L12" s="10"/>
      <c r="M12" s="10"/>
      <c r="N12" s="10"/>
      <c r="O12" s="10"/>
      <c r="P12" s="10"/>
      <c r="Q12" s="10"/>
      <c r="R12" s="10"/>
      <c r="S12" s="10"/>
      <c r="T12" s="10"/>
      <c r="U12" s="10"/>
      <c r="V12" s="10"/>
    </row>
    <row r="13" spans="1:22" s="8" customFormat="1" ht="18.75" x14ac:dyDescent="0.2">
      <c r="A13" s="349" t="s">
        <v>5</v>
      </c>
      <c r="B13" s="349"/>
      <c r="C13" s="34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8.25" customHeight="1" x14ac:dyDescent="0.2">
      <c r="A15" s="350" t="s">
        <v>644</v>
      </c>
      <c r="B15" s="350"/>
      <c r="C15" s="350"/>
      <c r="D15" s="7"/>
      <c r="E15" s="7"/>
      <c r="F15" s="7"/>
      <c r="G15" s="7"/>
      <c r="H15" s="7"/>
      <c r="I15" s="7"/>
      <c r="J15" s="7"/>
      <c r="K15" s="7"/>
      <c r="L15" s="7"/>
      <c r="M15" s="7"/>
      <c r="N15" s="7"/>
      <c r="O15" s="7"/>
      <c r="P15" s="7"/>
      <c r="Q15" s="7"/>
      <c r="R15" s="7"/>
      <c r="S15" s="7"/>
      <c r="T15" s="7"/>
      <c r="U15" s="7"/>
      <c r="V15" s="7"/>
    </row>
    <row r="16" spans="1:22" s="3" customFormat="1" ht="15" customHeight="1" x14ac:dyDescent="0.2">
      <c r="A16" s="349" t="s">
        <v>4</v>
      </c>
      <c r="B16" s="349"/>
      <c r="C16" s="34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0" t="s">
        <v>408</v>
      </c>
      <c r="B18" s="351"/>
      <c r="C18" s="35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629</v>
      </c>
      <c r="D22" s="5"/>
      <c r="E22" s="5"/>
      <c r="F22" s="5"/>
      <c r="G22" s="5"/>
      <c r="H22" s="5"/>
      <c r="I22" s="4"/>
      <c r="J22" s="4"/>
      <c r="K22" s="4"/>
      <c r="L22" s="4"/>
      <c r="M22" s="4"/>
      <c r="N22" s="4"/>
      <c r="O22" s="4"/>
      <c r="P22" s="4"/>
      <c r="Q22" s="4"/>
      <c r="R22" s="4"/>
      <c r="S22" s="4"/>
    </row>
    <row r="23" spans="1:22" s="3" customFormat="1" ht="31.5" x14ac:dyDescent="0.2">
      <c r="A23" s="15" t="s">
        <v>61</v>
      </c>
      <c r="B23" s="18" t="s">
        <v>533</v>
      </c>
      <c r="C23" s="328" t="s">
        <v>630</v>
      </c>
      <c r="D23" s="5"/>
      <c r="E23" s="5"/>
      <c r="F23" s="5"/>
      <c r="G23" s="5"/>
      <c r="H23" s="5"/>
      <c r="I23" s="4"/>
      <c r="J23" s="4"/>
      <c r="K23" s="4"/>
      <c r="L23" s="4"/>
      <c r="M23" s="4"/>
      <c r="N23" s="4"/>
      <c r="O23" s="4"/>
      <c r="P23" s="4"/>
      <c r="Q23" s="4"/>
      <c r="R23" s="4"/>
      <c r="S23" s="4"/>
    </row>
    <row r="24" spans="1:22" s="3" customFormat="1" ht="22.5" customHeight="1" x14ac:dyDescent="0.2">
      <c r="A24" s="345"/>
      <c r="B24" s="346"/>
      <c r="C24" s="34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604</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605</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637</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606</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607</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608</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609</v>
      </c>
    </row>
    <row r="37" spans="1:18" ht="43.5" customHeight="1" x14ac:dyDescent="0.25">
      <c r="A37" s="15" t="s">
        <v>368</v>
      </c>
      <c r="B37" s="22" t="s">
        <v>366</v>
      </c>
      <c r="C37" s="16" t="s">
        <v>542</v>
      </c>
    </row>
    <row r="38" spans="1:18" ht="43.5" customHeight="1" x14ac:dyDescent="0.25">
      <c r="A38" s="15" t="s">
        <v>379</v>
      </c>
      <c r="B38" s="22" t="s">
        <v>209</v>
      </c>
      <c r="C38" s="16" t="s">
        <v>609</v>
      </c>
    </row>
    <row r="39" spans="1:18" ht="23.25" customHeight="1" x14ac:dyDescent="0.25">
      <c r="A39" s="345"/>
      <c r="B39" s="346"/>
      <c r="C39" s="347"/>
    </row>
    <row r="40" spans="1:18" ht="78.75" x14ac:dyDescent="0.25">
      <c r="A40" s="15" t="s">
        <v>369</v>
      </c>
      <c r="B40" s="22" t="s">
        <v>420</v>
      </c>
      <c r="C40" s="16" t="s">
        <v>645</v>
      </c>
    </row>
    <row r="41" spans="1:18" ht="169.5" customHeight="1" x14ac:dyDescent="0.25">
      <c r="A41" s="15" t="s">
        <v>380</v>
      </c>
      <c r="B41" s="22" t="s">
        <v>403</v>
      </c>
      <c r="C41" s="122" t="s">
        <v>537</v>
      </c>
    </row>
    <row r="42" spans="1:18" ht="162.75" customHeight="1" x14ac:dyDescent="0.25">
      <c r="A42" s="15" t="s">
        <v>370</v>
      </c>
      <c r="B42" s="22" t="s">
        <v>417</v>
      </c>
      <c r="C42" s="22" t="s">
        <v>537</v>
      </c>
    </row>
    <row r="43" spans="1:18" ht="186" customHeight="1" x14ac:dyDescent="0.25">
      <c r="A43" s="15" t="s">
        <v>383</v>
      </c>
      <c r="B43" s="22" t="s">
        <v>384</v>
      </c>
      <c r="C43" s="87" t="s">
        <v>541</v>
      </c>
    </row>
    <row r="44" spans="1:18" ht="111" customHeight="1" x14ac:dyDescent="0.25">
      <c r="A44" s="15" t="s">
        <v>371</v>
      </c>
      <c r="B44" s="22" t="s">
        <v>409</v>
      </c>
      <c r="C44" s="2" t="s">
        <v>542</v>
      </c>
    </row>
    <row r="45" spans="1:18" ht="120" customHeight="1" x14ac:dyDescent="0.25">
      <c r="A45" s="15" t="s">
        <v>404</v>
      </c>
      <c r="B45" s="22" t="s">
        <v>410</v>
      </c>
      <c r="C45" s="95" t="s">
        <v>537</v>
      </c>
    </row>
    <row r="46" spans="1:18" ht="101.25" customHeight="1" x14ac:dyDescent="0.25">
      <c r="A46" s="15" t="s">
        <v>372</v>
      </c>
      <c r="B46" s="22" t="s">
        <v>411</v>
      </c>
      <c r="C46" s="95" t="s">
        <v>537</v>
      </c>
    </row>
    <row r="47" spans="1:18" ht="18.75" customHeight="1" x14ac:dyDescent="0.25">
      <c r="A47" s="345"/>
      <c r="B47" s="346"/>
      <c r="C47" s="347"/>
    </row>
    <row r="48" spans="1:18" ht="75.75" hidden="1" customHeight="1" x14ac:dyDescent="0.25">
      <c r="A48" s="15" t="s">
        <v>405</v>
      </c>
      <c r="B48" s="22" t="s">
        <v>418</v>
      </c>
      <c r="C48" s="171" t="str">
        <f>CONCATENATE(ROUND('6.2. Паспорт фин осв ввод факт'!AB24,2)," млн.руб.")</f>
        <v>294,53 млн.руб.</v>
      </c>
      <c r="D48" s="1" t="s">
        <v>539</v>
      </c>
    </row>
    <row r="49" spans="1:4" ht="71.25" hidden="1" customHeight="1" x14ac:dyDescent="0.25">
      <c r="A49" s="15" t="s">
        <v>373</v>
      </c>
      <c r="B49" s="22" t="s">
        <v>419</v>
      </c>
      <c r="C49" s="171" t="str">
        <f>CONCATENATE(ROUND('6.2. Паспорт фин осв ввод факт'!AB30,2)," млн.руб.")</f>
        <v>249,6 млн.руб.</v>
      </c>
      <c r="D49" s="1" t="s">
        <v>539</v>
      </c>
    </row>
    <row r="50" spans="1:4" ht="75.75" customHeight="1" x14ac:dyDescent="0.25">
      <c r="A50" s="15" t="s">
        <v>405</v>
      </c>
      <c r="B50" s="22" t="s">
        <v>418</v>
      </c>
      <c r="C50" s="336">
        <f>'6.2. Паспорт фин осв ввод'!D24</f>
        <v>6.1000091999999997</v>
      </c>
      <c r="D50" s="1" t="s">
        <v>540</v>
      </c>
    </row>
    <row r="51" spans="1:4" ht="71.25" customHeight="1" x14ac:dyDescent="0.25">
      <c r="A51" s="15" t="s">
        <v>373</v>
      </c>
      <c r="B51" s="22" t="s">
        <v>419</v>
      </c>
      <c r="C51" s="336">
        <f>'6.2. Паспорт фин осв ввод'!D30</f>
        <v>5.0833409999999999</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18" t="str">
        <f>'1. паспорт местоположение'!A5:C5</f>
        <v>Год раскрытия информации: 2023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c r="AA4" s="418"/>
      <c r="AB4" s="418"/>
      <c r="AC4" s="418"/>
    </row>
    <row r="5" spans="1:29" ht="18.75" x14ac:dyDescent="0.3">
      <c r="AC5" s="12"/>
    </row>
    <row r="6" spans="1:29" ht="18.75" x14ac:dyDescent="0.25">
      <c r="A6" s="352" t="s">
        <v>7</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19" t="str">
        <f>'1. паспорт местоположение'!A9:C9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row>
    <row r="9" spans="1:29" ht="18.75" customHeight="1" x14ac:dyDescent="0.25">
      <c r="A9" s="349" t="s">
        <v>6</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19" t="str">
        <f>'1. паспорт местоположение'!A12:C12</f>
        <v>M_22-20</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row>
    <row r="12" spans="1:29" x14ac:dyDescent="0.25">
      <c r="A12" s="349" t="s">
        <v>5</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0" t="str">
        <f>'1. паспорт местоположение'!A15:C15</f>
        <v>Строительство сетей электроснабжения многоквартирных ж/домов в г.Пионерском, ул. Октябрьская  КН:39:19:010314:37</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row>
    <row r="15" spans="1:29" ht="15.75" customHeight="1" x14ac:dyDescent="0.25">
      <c r="A15" s="349" t="s">
        <v>4</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row>
    <row r="16" spans="1:29"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row>
    <row r="18" spans="1:32" x14ac:dyDescent="0.25">
      <c r="A18" s="426" t="s">
        <v>393</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row>
    <row r="20" spans="1:32" ht="33" customHeight="1" x14ac:dyDescent="0.25">
      <c r="A20" s="422" t="s">
        <v>183</v>
      </c>
      <c r="B20" s="422" t="s">
        <v>182</v>
      </c>
      <c r="C20" s="417" t="s">
        <v>181</v>
      </c>
      <c r="D20" s="417"/>
      <c r="E20" s="425" t="s">
        <v>180</v>
      </c>
      <c r="F20" s="425"/>
      <c r="G20" s="422" t="s">
        <v>423</v>
      </c>
      <c r="H20" s="428" t="s">
        <v>424</v>
      </c>
      <c r="I20" s="429"/>
      <c r="J20" s="429"/>
      <c r="K20" s="429"/>
      <c r="L20" s="428" t="s">
        <v>425</v>
      </c>
      <c r="M20" s="429"/>
      <c r="N20" s="429"/>
      <c r="O20" s="429"/>
      <c r="P20" s="428" t="s">
        <v>426</v>
      </c>
      <c r="Q20" s="429"/>
      <c r="R20" s="429"/>
      <c r="S20" s="429"/>
      <c r="T20" s="428" t="s">
        <v>438</v>
      </c>
      <c r="U20" s="429"/>
      <c r="V20" s="429"/>
      <c r="W20" s="429"/>
      <c r="X20" s="428" t="s">
        <v>439</v>
      </c>
      <c r="Y20" s="429"/>
      <c r="Z20" s="429"/>
      <c r="AA20" s="429"/>
      <c r="AB20" s="427" t="s">
        <v>179</v>
      </c>
      <c r="AC20" s="427"/>
      <c r="AD20" s="49"/>
      <c r="AE20" s="49"/>
      <c r="AF20" s="49"/>
    </row>
    <row r="21" spans="1:32" ht="99.75" customHeight="1" x14ac:dyDescent="0.25">
      <c r="A21" s="423"/>
      <c r="B21" s="423"/>
      <c r="C21" s="417"/>
      <c r="D21" s="417"/>
      <c r="E21" s="425"/>
      <c r="F21" s="425"/>
      <c r="G21" s="423"/>
      <c r="H21" s="417" t="s">
        <v>2</v>
      </c>
      <c r="I21" s="417"/>
      <c r="J21" s="417" t="s">
        <v>9</v>
      </c>
      <c r="K21" s="417"/>
      <c r="L21" s="417" t="s">
        <v>2</v>
      </c>
      <c r="M21" s="417"/>
      <c r="N21" s="417" t="s">
        <v>9</v>
      </c>
      <c r="O21" s="417"/>
      <c r="P21" s="417" t="s">
        <v>2</v>
      </c>
      <c r="Q21" s="417"/>
      <c r="R21" s="417" t="s">
        <v>178</v>
      </c>
      <c r="S21" s="417"/>
      <c r="T21" s="417" t="s">
        <v>2</v>
      </c>
      <c r="U21" s="417"/>
      <c r="V21" s="417" t="s">
        <v>178</v>
      </c>
      <c r="W21" s="417"/>
      <c r="X21" s="417" t="s">
        <v>2</v>
      </c>
      <c r="Y21" s="417"/>
      <c r="Z21" s="417" t="s">
        <v>178</v>
      </c>
      <c r="AA21" s="417"/>
      <c r="AB21" s="427"/>
      <c r="AC21" s="427"/>
    </row>
    <row r="22" spans="1:32" ht="89.25" customHeight="1" x14ac:dyDescent="0.25">
      <c r="A22" s="424"/>
      <c r="B22" s="424"/>
      <c r="C22" s="46" t="s">
        <v>2</v>
      </c>
      <c r="D22" s="46" t="s">
        <v>178</v>
      </c>
      <c r="E22" s="48" t="s">
        <v>437</v>
      </c>
      <c r="F22" s="48" t="s">
        <v>482</v>
      </c>
      <c r="G22" s="424"/>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2"/>
      <c r="C66" s="432"/>
      <c r="D66" s="432"/>
      <c r="E66" s="432"/>
      <c r="F66" s="432"/>
      <c r="G66" s="432"/>
      <c r="H66" s="432"/>
      <c r="I66" s="432"/>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2"/>
      <c r="C68" s="432"/>
      <c r="D68" s="432"/>
      <c r="E68" s="432"/>
      <c r="F68" s="432"/>
      <c r="G68" s="432"/>
      <c r="H68" s="432"/>
      <c r="I68" s="432"/>
      <c r="J68" s="35"/>
      <c r="K68" s="35"/>
    </row>
    <row r="70" spans="1:28" ht="36.75" customHeight="1" x14ac:dyDescent="0.25">
      <c r="B70" s="432"/>
      <c r="C70" s="432"/>
      <c r="D70" s="432"/>
      <c r="E70" s="432"/>
      <c r="F70" s="432"/>
      <c r="G70" s="432"/>
      <c r="H70" s="432"/>
      <c r="I70" s="432"/>
      <c r="J70" s="35"/>
      <c r="K70" s="35"/>
    </row>
    <row r="71" spans="1:28" x14ac:dyDescent="0.25">
      <c r="N71" s="36"/>
      <c r="V71" s="36"/>
    </row>
    <row r="72" spans="1:28" ht="51" customHeight="1" x14ac:dyDescent="0.25">
      <c r="B72" s="432"/>
      <c r="C72" s="432"/>
      <c r="D72" s="432"/>
      <c r="E72" s="432"/>
      <c r="F72" s="432"/>
      <c r="G72" s="432"/>
      <c r="H72" s="432"/>
      <c r="I72" s="432"/>
      <c r="J72" s="35"/>
      <c r="K72" s="35"/>
      <c r="N72" s="36"/>
      <c r="V72" s="36"/>
    </row>
    <row r="73" spans="1:28" ht="32.25" customHeight="1" x14ac:dyDescent="0.25">
      <c r="B73" s="432"/>
      <c r="C73" s="432"/>
      <c r="D73" s="432"/>
      <c r="E73" s="432"/>
      <c r="F73" s="432"/>
      <c r="G73" s="432"/>
      <c r="H73" s="432"/>
      <c r="I73" s="432"/>
      <c r="J73" s="35"/>
      <c r="K73" s="35"/>
    </row>
    <row r="74" spans="1:28" ht="51.75" customHeight="1" x14ac:dyDescent="0.25">
      <c r="B74" s="432"/>
      <c r="C74" s="432"/>
      <c r="D74" s="432"/>
      <c r="E74" s="432"/>
      <c r="F74" s="432"/>
      <c r="G74" s="432"/>
      <c r="H74" s="432"/>
      <c r="I74" s="432"/>
      <c r="J74" s="35"/>
      <c r="K74" s="35"/>
    </row>
    <row r="75" spans="1:28" ht="21.75" customHeight="1" x14ac:dyDescent="0.25">
      <c r="B75" s="430"/>
      <c r="C75" s="430"/>
      <c r="D75" s="430"/>
      <c r="E75" s="430"/>
      <c r="F75" s="430"/>
      <c r="G75" s="430"/>
      <c r="H75" s="430"/>
      <c r="I75" s="430"/>
      <c r="J75" s="34"/>
      <c r="K75" s="34"/>
    </row>
    <row r="76" spans="1:28" ht="23.25" customHeight="1" x14ac:dyDescent="0.25"/>
    <row r="77" spans="1:28" ht="18.75" customHeight="1" x14ac:dyDescent="0.25">
      <c r="B77" s="431"/>
      <c r="C77" s="431"/>
      <c r="D77" s="431"/>
      <c r="E77" s="431"/>
      <c r="F77" s="431"/>
      <c r="G77" s="431"/>
      <c r="H77" s="431"/>
      <c r="I77" s="431"/>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J64">
    <cfRule type="cellIs" dxfId="8" priority="6" operator="notEqual">
      <formula>0</formula>
    </cfRule>
  </conditionalFormatting>
  <conditionalFormatting sqref="E31:I44 K58:M64 O58:Q64">
    <cfRule type="cellIs" dxfId="7" priority="24" operator="notEqual">
      <formula>0</formula>
    </cfRule>
  </conditionalFormatting>
  <conditionalFormatting sqref="K24:M51">
    <cfRule type="cellIs" dxfId="6" priority="17" operator="notEqual">
      <formula>0</formula>
    </cfRule>
  </conditionalFormatting>
  <conditionalFormatting sqref="K52:Q57">
    <cfRule type="cellIs" dxfId="5" priority="13" operator="notEqual">
      <formula>0</formula>
    </cfRule>
  </conditionalFormatting>
  <conditionalFormatting sqref="N24:N64">
    <cfRule type="cellIs" dxfId="4" priority="2" operator="notEqual">
      <formula>0</formula>
    </cfRule>
  </conditionalFormatting>
  <conditionalFormatting sqref="O31:Q51">
    <cfRule type="cellIs" dxfId="3" priority="1" operator="notEqual">
      <formula>0</formula>
    </cfRule>
  </conditionalFormatting>
  <conditionalFormatting sqref="O24:Y30">
    <cfRule type="cellIs" dxfId="2" priority="23" operator="notEqual">
      <formula>0</formula>
    </cfRule>
  </conditionalFormatting>
  <conditionalFormatting sqref="R31:Y64">
    <cfRule type="cellIs" dxfId="1" priority="26" operator="notEqual">
      <formula>0</formula>
    </cfRule>
  </conditionalFormatting>
  <conditionalFormatting sqref="Z24:AC64">
    <cfRule type="cellIs" dxfId="0" priority="5"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abSelected="1" topLeftCell="A23" zoomScale="70" zoomScaleNormal="70" zoomScaleSheetLayoutView="70" workbookViewId="0">
      <selection activeCell="E46" sqref="E46"/>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3" width="9.28515625" style="32" customWidth="1"/>
    <col min="14" max="14" width="15.85546875" style="32" customWidth="1"/>
    <col min="15"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30" width="17.85546875" style="32" customWidth="1"/>
    <col min="31"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8" t="str">
        <f>'6.1. Паспорт сетевой график'!A5:K5</f>
        <v>Год раскрытия информации: 2023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row>
    <row r="5" spans="1:29" ht="18.75" x14ac:dyDescent="0.3">
      <c r="AC5" s="12"/>
    </row>
    <row r="6" spans="1:29" ht="18.75" x14ac:dyDescent="0.25">
      <c r="A6" s="358" t="s">
        <v>7</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c r="AB6" s="358"/>
      <c r="AC6" s="358"/>
    </row>
    <row r="7" spans="1:29" ht="18.75" x14ac:dyDescent="0.25">
      <c r="A7" s="107"/>
      <c r="B7" s="107"/>
      <c r="C7" s="107"/>
      <c r="D7" s="107"/>
      <c r="E7" s="107"/>
      <c r="F7" s="107"/>
      <c r="G7" s="107"/>
      <c r="H7" s="167"/>
      <c r="I7" s="167"/>
      <c r="J7" s="167"/>
      <c r="K7" s="167"/>
      <c r="L7" s="167"/>
      <c r="M7" s="167"/>
      <c r="N7" s="167"/>
      <c r="O7" s="167"/>
      <c r="P7" s="167"/>
      <c r="Q7" s="167"/>
      <c r="R7" s="167"/>
      <c r="S7" s="167"/>
      <c r="T7" s="167"/>
      <c r="U7" s="167"/>
      <c r="V7" s="167"/>
      <c r="W7" s="167"/>
      <c r="X7" s="167"/>
      <c r="Y7" s="167"/>
      <c r="Z7" s="167"/>
      <c r="AA7" s="167"/>
      <c r="AB7" s="167"/>
      <c r="AC7" s="167"/>
    </row>
    <row r="8" spans="1:29" x14ac:dyDescent="0.25">
      <c r="A8" s="353" t="str">
        <f>'6.1. Паспорт сетевой график'!A9</f>
        <v xml:space="preserve">Акционерное общество "Западная энергетическая компания" </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row>
    <row r="9" spans="1:29" ht="18.75" customHeight="1" x14ac:dyDescent="0.25">
      <c r="A9" s="354" t="s">
        <v>6</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row>
    <row r="10" spans="1:29" ht="18.75" x14ac:dyDescent="0.3">
      <c r="A10" s="107"/>
      <c r="B10" s="107"/>
      <c r="C10" s="107"/>
      <c r="D10" s="107"/>
      <c r="E10" s="107"/>
      <c r="F10" s="107"/>
      <c r="G10" s="107"/>
      <c r="H10" s="167"/>
      <c r="I10" s="167"/>
      <c r="J10" s="167"/>
      <c r="K10" s="167"/>
      <c r="L10" s="167"/>
      <c r="M10" s="167"/>
      <c r="N10" s="167"/>
      <c r="O10" s="167"/>
      <c r="P10" s="167"/>
      <c r="Q10" s="167"/>
      <c r="R10" s="167"/>
      <c r="S10" s="167"/>
      <c r="T10" s="167"/>
      <c r="U10" s="167"/>
      <c r="V10" s="50"/>
      <c r="W10" s="167"/>
      <c r="X10" s="167"/>
      <c r="Y10" s="167"/>
      <c r="Z10" s="167"/>
      <c r="AA10" s="167"/>
      <c r="AB10" s="167"/>
      <c r="AC10" s="167"/>
    </row>
    <row r="11" spans="1:29" x14ac:dyDescent="0.25">
      <c r="A11" s="353" t="str">
        <f>'6.1. Паспорт сетевой график'!A12</f>
        <v>M_22-20</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row>
    <row r="12" spans="1:29" x14ac:dyDescent="0.25">
      <c r="A12" s="354" t="s">
        <v>5</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80" t="str">
        <f>'6.1. Паспорт сетевой график'!A15</f>
        <v>Строительство сетей электроснабжения многоквартирных ж/домов в г.Пионерском, ул. Октябрьская  КН:39:19:010314:37</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row>
    <row r="15" spans="1:29" ht="15.75" customHeight="1" x14ac:dyDescent="0.25">
      <c r="A15" s="354" t="s">
        <v>4</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row>
    <row r="16" spans="1:29"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row>
    <row r="17" spans="1:32" ht="18.75" x14ac:dyDescent="0.3">
      <c r="U17" s="50"/>
      <c r="V17" s="50"/>
      <c r="W17" s="50"/>
      <c r="X17" s="50"/>
      <c r="Y17" s="167"/>
      <c r="Z17" s="167"/>
      <c r="AA17" s="167"/>
      <c r="AB17" s="167"/>
      <c r="AC17" s="167"/>
      <c r="AF17" s="167"/>
    </row>
    <row r="18" spans="1:32" x14ac:dyDescent="0.25">
      <c r="A18" s="426" t="s">
        <v>393</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row>
    <row r="19" spans="1:32" ht="49.5" hidden="1" customHeight="1" x14ac:dyDescent="0.25">
      <c r="E19" s="48" t="s">
        <v>598</v>
      </c>
      <c r="F19" s="48" t="s">
        <v>599</v>
      </c>
      <c r="G19" s="48" t="s">
        <v>600</v>
      </c>
      <c r="H19" s="32" t="s">
        <v>601</v>
      </c>
      <c r="L19" s="32" t="s">
        <v>602</v>
      </c>
      <c r="P19" s="32" t="s">
        <v>603</v>
      </c>
    </row>
    <row r="20" spans="1:32" ht="33" customHeight="1" x14ac:dyDescent="0.25">
      <c r="A20" s="422" t="s">
        <v>183</v>
      </c>
      <c r="B20" s="422" t="s">
        <v>182</v>
      </c>
      <c r="C20" s="417" t="s">
        <v>181</v>
      </c>
      <c r="D20" s="417"/>
      <c r="E20" s="425" t="s">
        <v>180</v>
      </c>
      <c r="F20" s="425"/>
      <c r="G20" s="422" t="s">
        <v>623</v>
      </c>
      <c r="H20" s="428">
        <v>2020</v>
      </c>
      <c r="I20" s="429"/>
      <c r="J20" s="429"/>
      <c r="K20" s="433"/>
      <c r="L20" s="428">
        <v>2021</v>
      </c>
      <c r="M20" s="429"/>
      <c r="N20" s="429"/>
      <c r="O20" s="433"/>
      <c r="P20" s="428">
        <v>2022</v>
      </c>
      <c r="Q20" s="429"/>
      <c r="R20" s="429"/>
      <c r="S20" s="433"/>
      <c r="T20" s="428">
        <v>2023</v>
      </c>
      <c r="U20" s="429"/>
      <c r="V20" s="429"/>
      <c r="W20" s="433"/>
      <c r="X20" s="428">
        <v>2024</v>
      </c>
      <c r="Y20" s="429"/>
      <c r="Z20" s="429"/>
      <c r="AA20" s="429"/>
      <c r="AB20" s="427" t="s">
        <v>179</v>
      </c>
      <c r="AC20" s="427"/>
      <c r="AD20" s="49"/>
      <c r="AE20" s="49"/>
      <c r="AF20" s="49"/>
    </row>
    <row r="21" spans="1:32" ht="99.75" customHeight="1" x14ac:dyDescent="0.25">
      <c r="A21" s="423"/>
      <c r="B21" s="423"/>
      <c r="C21" s="417"/>
      <c r="D21" s="417"/>
      <c r="E21" s="425"/>
      <c r="F21" s="425"/>
      <c r="G21" s="423"/>
      <c r="H21" s="417" t="s">
        <v>2</v>
      </c>
      <c r="I21" s="417"/>
      <c r="J21" s="417" t="s">
        <v>627</v>
      </c>
      <c r="K21" s="417"/>
      <c r="L21" s="417" t="s">
        <v>2</v>
      </c>
      <c r="M21" s="417"/>
      <c r="N21" s="417" t="s">
        <v>627</v>
      </c>
      <c r="O21" s="417"/>
      <c r="P21" s="417" t="s">
        <v>2</v>
      </c>
      <c r="Q21" s="417"/>
      <c r="R21" s="417" t="s">
        <v>627</v>
      </c>
      <c r="S21" s="417"/>
      <c r="T21" s="417" t="s">
        <v>2</v>
      </c>
      <c r="U21" s="417"/>
      <c r="V21" s="417" t="s">
        <v>178</v>
      </c>
      <c r="W21" s="417"/>
      <c r="X21" s="417" t="s">
        <v>2</v>
      </c>
      <c r="Y21" s="417"/>
      <c r="Z21" s="417" t="s">
        <v>178</v>
      </c>
      <c r="AA21" s="417"/>
      <c r="AB21" s="427"/>
      <c r="AC21" s="427"/>
    </row>
    <row r="22" spans="1:32" ht="89.25" customHeight="1" x14ac:dyDescent="0.25">
      <c r="A22" s="424"/>
      <c r="B22" s="424"/>
      <c r="C22" s="46" t="s">
        <v>2</v>
      </c>
      <c r="D22" s="46" t="s">
        <v>9</v>
      </c>
      <c r="E22" s="48" t="s">
        <v>545</v>
      </c>
      <c r="F22" s="48" t="s">
        <v>628</v>
      </c>
      <c r="G22" s="424"/>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610</v>
      </c>
      <c r="AC22" s="46" t="s">
        <v>536</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6">
        <v>6.1000091999999997</v>
      </c>
      <c r="D24" s="96">
        <v>6.1000091999999997</v>
      </c>
      <c r="E24" s="96">
        <f>D24</f>
        <v>6.1000091999999997</v>
      </c>
      <c r="F24" s="98">
        <f>D24-G24-J24-N24</f>
        <v>0</v>
      </c>
      <c r="G24" s="98">
        <v>0</v>
      </c>
      <c r="H24" s="96" t="s">
        <v>537</v>
      </c>
      <c r="I24" s="96">
        <f>SUM(I25:I29)</f>
        <v>0</v>
      </c>
      <c r="J24" s="98">
        <v>0</v>
      </c>
      <c r="K24" s="96">
        <f>SUM(K25:K29)</f>
        <v>0</v>
      </c>
      <c r="L24" s="96">
        <v>6.1000091999999997</v>
      </c>
      <c r="M24" s="96">
        <f t="shared" ref="M24:Y24" si="0">SUM(M25:M29)</f>
        <v>0</v>
      </c>
      <c r="N24" s="96">
        <f>D24</f>
        <v>6.1000091999999997</v>
      </c>
      <c r="O24" s="96">
        <v>3</v>
      </c>
      <c r="P24" s="98">
        <v>0</v>
      </c>
      <c r="Q24" s="96">
        <f t="shared" si="0"/>
        <v>0</v>
      </c>
      <c r="R24" s="98">
        <v>0</v>
      </c>
      <c r="S24" s="96">
        <v>0</v>
      </c>
      <c r="T24" s="98">
        <v>0</v>
      </c>
      <c r="U24" s="96">
        <f t="shared" si="0"/>
        <v>0</v>
      </c>
      <c r="V24" s="96">
        <v>0</v>
      </c>
      <c r="W24" s="96">
        <f t="shared" ref="W24" si="1">SUM(W25:W29)</f>
        <v>0</v>
      </c>
      <c r="X24" s="98">
        <v>0</v>
      </c>
      <c r="Y24" s="96">
        <f t="shared" si="0"/>
        <v>0</v>
      </c>
      <c r="Z24" s="96">
        <v>0</v>
      </c>
      <c r="AA24" s="96">
        <f t="shared" ref="AA24" si="2">SUM(AA25:AA29)</f>
        <v>0</v>
      </c>
      <c r="AB24" s="96">
        <v>6.1000091999999997</v>
      </c>
      <c r="AC24" s="96">
        <f>SUM(J24,N24,R24,V24,Z24)</f>
        <v>6.1000091999999997</v>
      </c>
    </row>
    <row r="25" spans="1:32" ht="24" customHeight="1" x14ac:dyDescent="0.25">
      <c r="A25" s="41" t="s">
        <v>176</v>
      </c>
      <c r="B25" s="25" t="s">
        <v>175</v>
      </c>
      <c r="C25" s="96">
        <v>0</v>
      </c>
      <c r="D25" s="96">
        <v>0</v>
      </c>
      <c r="E25" s="96">
        <f t="shared" ref="E25:E64" si="3">D25</f>
        <v>0</v>
      </c>
      <c r="F25" s="98">
        <f t="shared" ref="F25:F64" si="4">D25-G25-J25-N25</f>
        <v>0</v>
      </c>
      <c r="G25" s="98">
        <v>0</v>
      </c>
      <c r="H25" s="96" t="s">
        <v>537</v>
      </c>
      <c r="I25" s="98">
        <v>0</v>
      </c>
      <c r="J25" s="98">
        <v>0</v>
      </c>
      <c r="K25" s="98">
        <v>0</v>
      </c>
      <c r="L25" s="96">
        <v>0</v>
      </c>
      <c r="M25" s="98">
        <v>0</v>
      </c>
      <c r="N25" s="96">
        <f t="shared" ref="N25:N64" si="5">D25</f>
        <v>0</v>
      </c>
      <c r="O25" s="98">
        <v>0</v>
      </c>
      <c r="P25" s="98">
        <v>0</v>
      </c>
      <c r="Q25" s="98">
        <v>0</v>
      </c>
      <c r="R25" s="98">
        <v>0</v>
      </c>
      <c r="S25" s="98">
        <v>0</v>
      </c>
      <c r="T25" s="98">
        <v>0</v>
      </c>
      <c r="U25" s="98">
        <v>0</v>
      </c>
      <c r="V25" s="98">
        <v>0</v>
      </c>
      <c r="W25" s="98">
        <v>0</v>
      </c>
      <c r="X25" s="98">
        <v>0</v>
      </c>
      <c r="Y25" s="98">
        <v>0</v>
      </c>
      <c r="Z25" s="98">
        <v>0</v>
      </c>
      <c r="AA25" s="98">
        <v>0</v>
      </c>
      <c r="AB25" s="96">
        <v>0</v>
      </c>
      <c r="AC25" s="96">
        <f t="shared" ref="AC25:AC64" si="6">SUM(J25,N25,R25,V25,Z25)</f>
        <v>0</v>
      </c>
    </row>
    <row r="26" spans="1:32" x14ac:dyDescent="0.25">
      <c r="A26" s="41" t="s">
        <v>174</v>
      </c>
      <c r="B26" s="25" t="s">
        <v>173</v>
      </c>
      <c r="C26" s="96">
        <v>0</v>
      </c>
      <c r="D26" s="96">
        <v>0</v>
      </c>
      <c r="E26" s="96">
        <f t="shared" si="3"/>
        <v>0</v>
      </c>
      <c r="F26" s="98">
        <f t="shared" si="4"/>
        <v>0</v>
      </c>
      <c r="G26" s="98">
        <v>0</v>
      </c>
      <c r="H26" s="96" t="s">
        <v>537</v>
      </c>
      <c r="I26" s="98">
        <v>0</v>
      </c>
      <c r="J26" s="98">
        <v>0</v>
      </c>
      <c r="K26" s="98">
        <v>0</v>
      </c>
      <c r="L26" s="96">
        <v>0</v>
      </c>
      <c r="M26" s="98">
        <v>0</v>
      </c>
      <c r="N26" s="96">
        <f t="shared" si="5"/>
        <v>0</v>
      </c>
      <c r="O26" s="98">
        <v>0</v>
      </c>
      <c r="P26" s="98">
        <v>0</v>
      </c>
      <c r="Q26" s="98">
        <v>0</v>
      </c>
      <c r="R26" s="98">
        <v>0</v>
      </c>
      <c r="S26" s="98">
        <v>0</v>
      </c>
      <c r="T26" s="98">
        <v>0</v>
      </c>
      <c r="U26" s="98">
        <v>0</v>
      </c>
      <c r="V26" s="98">
        <v>0</v>
      </c>
      <c r="W26" s="98">
        <v>0</v>
      </c>
      <c r="X26" s="98">
        <v>0</v>
      </c>
      <c r="Y26" s="98">
        <v>0</v>
      </c>
      <c r="Z26" s="98">
        <v>0</v>
      </c>
      <c r="AA26" s="98">
        <v>0</v>
      </c>
      <c r="AB26" s="96">
        <v>0</v>
      </c>
      <c r="AC26" s="96">
        <f t="shared" si="6"/>
        <v>0</v>
      </c>
    </row>
    <row r="27" spans="1:32" ht="31.5" x14ac:dyDescent="0.25">
      <c r="A27" s="41" t="s">
        <v>172</v>
      </c>
      <c r="B27" s="25" t="s">
        <v>356</v>
      </c>
      <c r="C27" s="96">
        <v>0</v>
      </c>
      <c r="D27" s="96">
        <v>0</v>
      </c>
      <c r="E27" s="96">
        <f t="shared" si="3"/>
        <v>0</v>
      </c>
      <c r="F27" s="98">
        <f t="shared" si="4"/>
        <v>0</v>
      </c>
      <c r="G27" s="98">
        <v>0</v>
      </c>
      <c r="H27" s="96" t="s">
        <v>537</v>
      </c>
      <c r="I27" s="98">
        <v>0</v>
      </c>
      <c r="J27" s="98">
        <v>0</v>
      </c>
      <c r="K27" s="98">
        <v>0</v>
      </c>
      <c r="L27" s="96">
        <v>0</v>
      </c>
      <c r="M27" s="98">
        <v>0</v>
      </c>
      <c r="N27" s="96">
        <f t="shared" si="5"/>
        <v>0</v>
      </c>
      <c r="O27" s="98">
        <v>0</v>
      </c>
      <c r="P27" s="98">
        <v>0</v>
      </c>
      <c r="Q27" s="98">
        <v>0</v>
      </c>
      <c r="R27" s="98">
        <v>0</v>
      </c>
      <c r="S27" s="98">
        <v>0</v>
      </c>
      <c r="T27" s="98">
        <v>0</v>
      </c>
      <c r="U27" s="98">
        <v>0</v>
      </c>
      <c r="V27" s="98">
        <f>V24</f>
        <v>0</v>
      </c>
      <c r="W27" s="98">
        <v>0</v>
      </c>
      <c r="X27" s="98">
        <v>0</v>
      </c>
      <c r="Y27" s="98">
        <v>0</v>
      </c>
      <c r="Z27" s="98">
        <f>Z24</f>
        <v>0</v>
      </c>
      <c r="AA27" s="98">
        <v>0</v>
      </c>
      <c r="AB27" s="96">
        <v>0</v>
      </c>
      <c r="AC27" s="96">
        <f t="shared" si="6"/>
        <v>0</v>
      </c>
    </row>
    <row r="28" spans="1:32" x14ac:dyDescent="0.25">
      <c r="A28" s="41" t="s">
        <v>171</v>
      </c>
      <c r="B28" s="25" t="s">
        <v>538</v>
      </c>
      <c r="C28" s="96">
        <v>6.1000091999999997</v>
      </c>
      <c r="D28" s="96">
        <v>6.1000091999999997</v>
      </c>
      <c r="E28" s="96">
        <f t="shared" si="3"/>
        <v>6.1000091999999997</v>
      </c>
      <c r="F28" s="98">
        <f t="shared" si="4"/>
        <v>0</v>
      </c>
      <c r="G28" s="98">
        <v>0</v>
      </c>
      <c r="H28" s="96" t="s">
        <v>537</v>
      </c>
      <c r="I28" s="98">
        <v>0</v>
      </c>
      <c r="J28" s="98">
        <v>0</v>
      </c>
      <c r="K28" s="98">
        <v>0</v>
      </c>
      <c r="L28" s="96">
        <v>6.1000091999999997</v>
      </c>
      <c r="M28" s="98">
        <v>0</v>
      </c>
      <c r="N28" s="96">
        <f t="shared" si="5"/>
        <v>6.1000091999999997</v>
      </c>
      <c r="O28" s="98">
        <v>0</v>
      </c>
      <c r="P28" s="98">
        <v>0</v>
      </c>
      <c r="Q28" s="98">
        <v>0</v>
      </c>
      <c r="R28" s="98">
        <v>0</v>
      </c>
      <c r="S28" s="98">
        <v>0</v>
      </c>
      <c r="T28" s="98">
        <v>0</v>
      </c>
      <c r="U28" s="98">
        <v>0</v>
      </c>
      <c r="V28" s="98">
        <v>0</v>
      </c>
      <c r="W28" s="98">
        <v>0</v>
      </c>
      <c r="X28" s="98">
        <v>0</v>
      </c>
      <c r="Y28" s="98">
        <v>0</v>
      </c>
      <c r="Z28" s="98">
        <v>0</v>
      </c>
      <c r="AA28" s="98">
        <v>0</v>
      </c>
      <c r="AB28" s="96">
        <v>6.1000091999999997</v>
      </c>
      <c r="AC28" s="96">
        <f t="shared" si="6"/>
        <v>6.1000091999999997</v>
      </c>
    </row>
    <row r="29" spans="1:32" x14ac:dyDescent="0.25">
      <c r="A29" s="41" t="s">
        <v>169</v>
      </c>
      <c r="B29" s="45" t="s">
        <v>168</v>
      </c>
      <c r="C29" s="96">
        <v>0</v>
      </c>
      <c r="D29" s="96">
        <v>0</v>
      </c>
      <c r="E29" s="96">
        <f t="shared" si="3"/>
        <v>0</v>
      </c>
      <c r="F29" s="98">
        <f t="shared" si="4"/>
        <v>0</v>
      </c>
      <c r="G29" s="98">
        <v>0</v>
      </c>
      <c r="H29" s="96" t="s">
        <v>537</v>
      </c>
      <c r="I29" s="98">
        <v>0</v>
      </c>
      <c r="J29" s="98">
        <v>0</v>
      </c>
      <c r="K29" s="98">
        <v>0</v>
      </c>
      <c r="L29" s="96">
        <v>0</v>
      </c>
      <c r="M29" s="98">
        <v>0</v>
      </c>
      <c r="N29" s="96">
        <f t="shared" si="5"/>
        <v>0</v>
      </c>
      <c r="O29" s="98">
        <v>0</v>
      </c>
      <c r="P29" s="98">
        <v>0</v>
      </c>
      <c r="Q29" s="98">
        <v>0</v>
      </c>
      <c r="R29" s="98">
        <v>0</v>
      </c>
      <c r="S29" s="98">
        <v>0</v>
      </c>
      <c r="T29" s="98">
        <v>0</v>
      </c>
      <c r="U29" s="98">
        <v>0</v>
      </c>
      <c r="V29" s="98">
        <v>0</v>
      </c>
      <c r="W29" s="98">
        <v>0</v>
      </c>
      <c r="X29" s="98">
        <v>0</v>
      </c>
      <c r="Y29" s="98">
        <v>0</v>
      </c>
      <c r="Z29" s="98">
        <v>0</v>
      </c>
      <c r="AA29" s="98">
        <v>0</v>
      </c>
      <c r="AB29" s="96">
        <v>0</v>
      </c>
      <c r="AC29" s="96">
        <f t="shared" si="6"/>
        <v>0</v>
      </c>
    </row>
    <row r="30" spans="1:32" s="338" customFormat="1" ht="47.25" x14ac:dyDescent="0.25">
      <c r="A30" s="44" t="s">
        <v>61</v>
      </c>
      <c r="B30" s="43" t="s">
        <v>167</v>
      </c>
      <c r="C30" s="96">
        <v>5.0833409999999999</v>
      </c>
      <c r="D30" s="343">
        <v>5.0833409999999999</v>
      </c>
      <c r="E30" s="96">
        <f t="shared" si="3"/>
        <v>5.0833409999999999</v>
      </c>
      <c r="F30" s="98">
        <f t="shared" si="4"/>
        <v>0</v>
      </c>
      <c r="G30" s="98">
        <v>0</v>
      </c>
      <c r="H30" s="96" t="s">
        <v>537</v>
      </c>
      <c r="I30" s="96">
        <v>0</v>
      </c>
      <c r="J30" s="98">
        <v>0</v>
      </c>
      <c r="K30" s="96">
        <v>0</v>
      </c>
      <c r="L30" s="96">
        <v>5.0833409999999999</v>
      </c>
      <c r="M30" s="96">
        <v>0</v>
      </c>
      <c r="N30" s="96">
        <f t="shared" si="5"/>
        <v>5.0833409999999999</v>
      </c>
      <c r="O30" s="96">
        <v>3</v>
      </c>
      <c r="P30" s="98">
        <v>0</v>
      </c>
      <c r="Q30" s="96">
        <v>0</v>
      </c>
      <c r="R30" s="98">
        <v>0</v>
      </c>
      <c r="S30" s="96">
        <v>0</v>
      </c>
      <c r="T30" s="98">
        <v>0</v>
      </c>
      <c r="U30" s="96">
        <v>0</v>
      </c>
      <c r="V30" s="96">
        <v>0</v>
      </c>
      <c r="W30" s="96">
        <v>0</v>
      </c>
      <c r="X30" s="98">
        <v>0</v>
      </c>
      <c r="Y30" s="96">
        <v>0</v>
      </c>
      <c r="Z30" s="96">
        <v>0</v>
      </c>
      <c r="AA30" s="96">
        <v>0</v>
      </c>
      <c r="AB30" s="96">
        <v>5.0833409999999999</v>
      </c>
      <c r="AC30" s="96">
        <f t="shared" si="6"/>
        <v>5.0833409999999999</v>
      </c>
      <c r="AD30" s="344"/>
    </row>
    <row r="31" spans="1:32" x14ac:dyDescent="0.25">
      <c r="A31" s="44" t="s">
        <v>166</v>
      </c>
      <c r="B31" s="25" t="s">
        <v>165</v>
      </c>
      <c r="C31" s="96">
        <v>0.30179400000000001</v>
      </c>
      <c r="D31" s="343">
        <v>0.30179400000000001</v>
      </c>
      <c r="E31" s="96">
        <f t="shared" si="3"/>
        <v>0.30179400000000001</v>
      </c>
      <c r="F31" s="98">
        <f t="shared" si="4"/>
        <v>0</v>
      </c>
      <c r="G31" s="98">
        <v>0</v>
      </c>
      <c r="H31" s="96" t="s">
        <v>537</v>
      </c>
      <c r="I31" s="98">
        <v>0</v>
      </c>
      <c r="J31" s="98">
        <v>0</v>
      </c>
      <c r="K31" s="98">
        <v>0</v>
      </c>
      <c r="L31" s="96">
        <v>0.30179400000000001</v>
      </c>
      <c r="M31" s="98">
        <v>0</v>
      </c>
      <c r="N31" s="96">
        <f t="shared" si="5"/>
        <v>0.30179400000000001</v>
      </c>
      <c r="O31" s="98">
        <v>0</v>
      </c>
      <c r="P31" s="98">
        <v>0</v>
      </c>
      <c r="Q31" s="98">
        <v>0</v>
      </c>
      <c r="R31" s="98">
        <v>0</v>
      </c>
      <c r="S31" s="98">
        <v>0</v>
      </c>
      <c r="T31" s="98">
        <v>0</v>
      </c>
      <c r="U31" s="98">
        <v>0</v>
      </c>
      <c r="V31" s="98">
        <v>0</v>
      </c>
      <c r="W31" s="98">
        <v>0</v>
      </c>
      <c r="X31" s="98">
        <v>0</v>
      </c>
      <c r="Y31" s="98">
        <v>0</v>
      </c>
      <c r="Z31" s="98">
        <v>0</v>
      </c>
      <c r="AA31" s="98">
        <v>0</v>
      </c>
      <c r="AB31" s="96">
        <v>0.30179400000000001</v>
      </c>
      <c r="AC31" s="96">
        <f t="shared" si="6"/>
        <v>0.30179400000000001</v>
      </c>
    </row>
    <row r="32" spans="1:32" ht="31.5" x14ac:dyDescent="0.25">
      <c r="A32" s="44" t="s">
        <v>164</v>
      </c>
      <c r="B32" s="25" t="s">
        <v>163</v>
      </c>
      <c r="C32" s="96">
        <v>4.7815469999999998</v>
      </c>
      <c r="D32" s="343">
        <v>4.7815469999999998</v>
      </c>
      <c r="E32" s="96">
        <f t="shared" si="3"/>
        <v>4.7815469999999998</v>
      </c>
      <c r="F32" s="98">
        <f t="shared" si="4"/>
        <v>0</v>
      </c>
      <c r="G32" s="98">
        <v>0</v>
      </c>
      <c r="H32" s="96" t="s">
        <v>537</v>
      </c>
      <c r="I32" s="98">
        <v>0</v>
      </c>
      <c r="J32" s="98">
        <v>0</v>
      </c>
      <c r="K32" s="98">
        <v>0</v>
      </c>
      <c r="L32" s="96">
        <v>4.7815469999999998</v>
      </c>
      <c r="M32" s="98">
        <v>0</v>
      </c>
      <c r="N32" s="96">
        <f t="shared" si="5"/>
        <v>4.7815469999999998</v>
      </c>
      <c r="O32" s="98">
        <v>0</v>
      </c>
      <c r="P32" s="98">
        <v>0</v>
      </c>
      <c r="Q32" s="98">
        <v>0</v>
      </c>
      <c r="R32" s="98">
        <v>0</v>
      </c>
      <c r="S32" s="98">
        <v>0</v>
      </c>
      <c r="T32" s="98">
        <v>0</v>
      </c>
      <c r="U32" s="98">
        <v>0</v>
      </c>
      <c r="V32" s="98">
        <v>0</v>
      </c>
      <c r="W32" s="98">
        <v>0</v>
      </c>
      <c r="X32" s="98">
        <v>0</v>
      </c>
      <c r="Y32" s="98">
        <v>0</v>
      </c>
      <c r="Z32" s="98">
        <v>0</v>
      </c>
      <c r="AA32" s="98">
        <v>0</v>
      </c>
      <c r="AB32" s="96">
        <v>4.7815469999999998</v>
      </c>
      <c r="AC32" s="96">
        <f t="shared" si="6"/>
        <v>4.7815469999999998</v>
      </c>
    </row>
    <row r="33" spans="1:29" x14ac:dyDescent="0.25">
      <c r="A33" s="44" t="s">
        <v>162</v>
      </c>
      <c r="B33" s="25" t="s">
        <v>161</v>
      </c>
      <c r="C33" s="96">
        <v>0</v>
      </c>
      <c r="D33" s="343">
        <v>0</v>
      </c>
      <c r="E33" s="96">
        <f t="shared" si="3"/>
        <v>0</v>
      </c>
      <c r="F33" s="98">
        <f t="shared" si="4"/>
        <v>0</v>
      </c>
      <c r="G33" s="98">
        <v>0</v>
      </c>
      <c r="H33" s="96" t="s">
        <v>537</v>
      </c>
      <c r="I33" s="98">
        <v>0</v>
      </c>
      <c r="J33" s="98">
        <v>0</v>
      </c>
      <c r="K33" s="98">
        <v>0</v>
      </c>
      <c r="L33" s="96">
        <v>0</v>
      </c>
      <c r="M33" s="98">
        <v>0</v>
      </c>
      <c r="N33" s="96">
        <f t="shared" si="5"/>
        <v>0</v>
      </c>
      <c r="O33" s="98">
        <v>0</v>
      </c>
      <c r="P33" s="98">
        <v>0</v>
      </c>
      <c r="Q33" s="98">
        <v>0</v>
      </c>
      <c r="R33" s="98">
        <v>0</v>
      </c>
      <c r="S33" s="98">
        <v>0</v>
      </c>
      <c r="T33" s="98">
        <v>0</v>
      </c>
      <c r="U33" s="98">
        <v>0</v>
      </c>
      <c r="V33" s="98">
        <v>0</v>
      </c>
      <c r="W33" s="98">
        <v>0</v>
      </c>
      <c r="X33" s="98">
        <v>0</v>
      </c>
      <c r="Y33" s="98">
        <v>0</v>
      </c>
      <c r="Z33" s="98">
        <v>0</v>
      </c>
      <c r="AA33" s="98">
        <v>0</v>
      </c>
      <c r="AB33" s="96">
        <v>0</v>
      </c>
      <c r="AC33" s="96">
        <f t="shared" si="6"/>
        <v>0</v>
      </c>
    </row>
    <row r="34" spans="1:29" x14ac:dyDescent="0.25">
      <c r="A34" s="44" t="s">
        <v>160</v>
      </c>
      <c r="B34" s="25" t="s">
        <v>159</v>
      </c>
      <c r="C34" s="96">
        <v>0</v>
      </c>
      <c r="D34" s="96">
        <v>0</v>
      </c>
      <c r="E34" s="96">
        <f t="shared" si="3"/>
        <v>0</v>
      </c>
      <c r="F34" s="98">
        <f t="shared" si="4"/>
        <v>0</v>
      </c>
      <c r="G34" s="98">
        <v>0</v>
      </c>
      <c r="H34" s="96" t="s">
        <v>537</v>
      </c>
      <c r="I34" s="98">
        <v>0</v>
      </c>
      <c r="J34" s="98">
        <v>0</v>
      </c>
      <c r="K34" s="98">
        <v>0</v>
      </c>
      <c r="L34" s="96">
        <v>0</v>
      </c>
      <c r="M34" s="98">
        <v>0</v>
      </c>
      <c r="N34" s="96">
        <f t="shared" si="5"/>
        <v>0</v>
      </c>
      <c r="O34" s="98">
        <v>0</v>
      </c>
      <c r="P34" s="98">
        <v>0</v>
      </c>
      <c r="Q34" s="98">
        <v>0</v>
      </c>
      <c r="R34" s="98">
        <v>0</v>
      </c>
      <c r="S34" s="98">
        <v>0</v>
      </c>
      <c r="T34" s="98">
        <v>0</v>
      </c>
      <c r="U34" s="98">
        <v>0</v>
      </c>
      <c r="V34" s="98">
        <v>0</v>
      </c>
      <c r="W34" s="98">
        <v>0</v>
      </c>
      <c r="X34" s="98">
        <v>0</v>
      </c>
      <c r="Y34" s="98">
        <v>0</v>
      </c>
      <c r="Z34" s="98">
        <v>0</v>
      </c>
      <c r="AA34" s="98">
        <v>0</v>
      </c>
      <c r="AB34" s="96">
        <v>0</v>
      </c>
      <c r="AC34" s="96">
        <f t="shared" si="6"/>
        <v>0</v>
      </c>
    </row>
    <row r="35" spans="1:29" s="338" customFormat="1" ht="31.5" x14ac:dyDescent="0.25">
      <c r="A35" s="44" t="s">
        <v>60</v>
      </c>
      <c r="B35" s="43" t="s">
        <v>158</v>
      </c>
      <c r="C35" s="96">
        <v>0</v>
      </c>
      <c r="D35" s="96">
        <v>0</v>
      </c>
      <c r="E35" s="96">
        <f t="shared" si="3"/>
        <v>0</v>
      </c>
      <c r="F35" s="98">
        <f t="shared" si="4"/>
        <v>0</v>
      </c>
      <c r="G35" s="98">
        <v>0</v>
      </c>
      <c r="H35" s="96" t="s">
        <v>537</v>
      </c>
      <c r="I35" s="96">
        <v>0</v>
      </c>
      <c r="J35" s="98">
        <v>0</v>
      </c>
      <c r="K35" s="96">
        <v>0</v>
      </c>
      <c r="L35" s="96">
        <v>0</v>
      </c>
      <c r="M35" s="96">
        <v>0</v>
      </c>
      <c r="N35" s="96">
        <f t="shared" si="5"/>
        <v>0</v>
      </c>
      <c r="O35" s="96">
        <v>0</v>
      </c>
      <c r="P35" s="98">
        <v>0</v>
      </c>
      <c r="Q35" s="96">
        <v>0</v>
      </c>
      <c r="R35" s="98">
        <v>0</v>
      </c>
      <c r="S35" s="96">
        <v>0</v>
      </c>
      <c r="T35" s="98">
        <v>0</v>
      </c>
      <c r="U35" s="96">
        <v>0</v>
      </c>
      <c r="V35" s="96">
        <v>0</v>
      </c>
      <c r="W35" s="96">
        <v>0</v>
      </c>
      <c r="X35" s="98">
        <v>0</v>
      </c>
      <c r="Y35" s="96">
        <v>0</v>
      </c>
      <c r="Z35" s="96">
        <v>0</v>
      </c>
      <c r="AA35" s="96">
        <v>0</v>
      </c>
      <c r="AB35" s="96">
        <v>0</v>
      </c>
      <c r="AC35" s="96">
        <f t="shared" si="6"/>
        <v>0</v>
      </c>
    </row>
    <row r="36" spans="1:29" ht="31.5" x14ac:dyDescent="0.25">
      <c r="A36" s="41" t="s">
        <v>157</v>
      </c>
      <c r="B36" s="168" t="s">
        <v>156</v>
      </c>
      <c r="C36" s="96">
        <v>0</v>
      </c>
      <c r="D36" s="96">
        <v>0</v>
      </c>
      <c r="E36" s="96">
        <f t="shared" si="3"/>
        <v>0</v>
      </c>
      <c r="F36" s="98">
        <f t="shared" si="4"/>
        <v>0</v>
      </c>
      <c r="G36" s="98">
        <v>0</v>
      </c>
      <c r="H36" s="96" t="s">
        <v>537</v>
      </c>
      <c r="I36" s="98">
        <v>0</v>
      </c>
      <c r="J36" s="98">
        <v>0</v>
      </c>
      <c r="K36" s="98">
        <v>0</v>
      </c>
      <c r="L36" s="96">
        <v>0</v>
      </c>
      <c r="M36" s="98">
        <v>0</v>
      </c>
      <c r="N36" s="96">
        <f t="shared" si="5"/>
        <v>0</v>
      </c>
      <c r="O36" s="98">
        <v>0</v>
      </c>
      <c r="P36" s="98">
        <v>0</v>
      </c>
      <c r="Q36" s="98">
        <v>0</v>
      </c>
      <c r="R36" s="98">
        <v>0</v>
      </c>
      <c r="S36" s="98">
        <v>0</v>
      </c>
      <c r="T36" s="98">
        <v>0</v>
      </c>
      <c r="U36" s="98">
        <v>0</v>
      </c>
      <c r="V36" s="98">
        <v>0</v>
      </c>
      <c r="W36" s="98">
        <v>0</v>
      </c>
      <c r="X36" s="98">
        <v>0</v>
      </c>
      <c r="Y36" s="98">
        <v>0</v>
      </c>
      <c r="Z36" s="98">
        <v>0</v>
      </c>
      <c r="AA36" s="98">
        <v>0</v>
      </c>
      <c r="AB36" s="96">
        <v>0</v>
      </c>
      <c r="AC36" s="96">
        <f t="shared" si="6"/>
        <v>0</v>
      </c>
    </row>
    <row r="37" spans="1:29" x14ac:dyDescent="0.25">
      <c r="A37" s="41" t="s">
        <v>155</v>
      </c>
      <c r="B37" s="168" t="s">
        <v>145</v>
      </c>
      <c r="C37" s="96">
        <v>0.4</v>
      </c>
      <c r="D37" s="96">
        <v>0.4</v>
      </c>
      <c r="E37" s="96">
        <f t="shared" si="3"/>
        <v>0.4</v>
      </c>
      <c r="F37" s="98">
        <f t="shared" si="4"/>
        <v>0</v>
      </c>
      <c r="G37" s="98">
        <v>0</v>
      </c>
      <c r="H37" s="96" t="s">
        <v>537</v>
      </c>
      <c r="I37" s="98">
        <v>0</v>
      </c>
      <c r="J37" s="98">
        <v>0</v>
      </c>
      <c r="K37" s="98">
        <v>0</v>
      </c>
      <c r="L37" s="96">
        <v>0.4</v>
      </c>
      <c r="M37" s="98">
        <v>0</v>
      </c>
      <c r="N37" s="96">
        <f t="shared" si="5"/>
        <v>0.4</v>
      </c>
      <c r="O37" s="98">
        <v>0</v>
      </c>
      <c r="P37" s="98">
        <v>0</v>
      </c>
      <c r="Q37" s="98">
        <v>0</v>
      </c>
      <c r="R37" s="98">
        <v>0</v>
      </c>
      <c r="S37" s="98">
        <v>0</v>
      </c>
      <c r="T37" s="98">
        <v>0</v>
      </c>
      <c r="U37" s="98">
        <v>0</v>
      </c>
      <c r="V37" s="98">
        <v>0</v>
      </c>
      <c r="W37" s="98">
        <v>0</v>
      </c>
      <c r="X37" s="98">
        <v>0</v>
      </c>
      <c r="Y37" s="98">
        <v>0</v>
      </c>
      <c r="Z37" s="98">
        <v>0</v>
      </c>
      <c r="AA37" s="98">
        <v>0</v>
      </c>
      <c r="AB37" s="96">
        <v>0.4</v>
      </c>
      <c r="AC37" s="96">
        <f t="shared" si="6"/>
        <v>0.4</v>
      </c>
    </row>
    <row r="38" spans="1:29" x14ac:dyDescent="0.25">
      <c r="A38" s="41" t="s">
        <v>154</v>
      </c>
      <c r="B38" s="168" t="s">
        <v>143</v>
      </c>
      <c r="C38" s="96">
        <v>0</v>
      </c>
      <c r="D38" s="96">
        <v>0</v>
      </c>
      <c r="E38" s="96">
        <f t="shared" si="3"/>
        <v>0</v>
      </c>
      <c r="F38" s="98">
        <f t="shared" si="4"/>
        <v>0</v>
      </c>
      <c r="G38" s="98">
        <v>0</v>
      </c>
      <c r="H38" s="96" t="s">
        <v>537</v>
      </c>
      <c r="I38" s="98">
        <v>0</v>
      </c>
      <c r="J38" s="98">
        <v>0</v>
      </c>
      <c r="K38" s="98">
        <v>0</v>
      </c>
      <c r="L38" s="96">
        <v>0</v>
      </c>
      <c r="M38" s="98">
        <v>0</v>
      </c>
      <c r="N38" s="96">
        <f t="shared" si="5"/>
        <v>0</v>
      </c>
      <c r="O38" s="98">
        <v>0</v>
      </c>
      <c r="P38" s="98">
        <v>0</v>
      </c>
      <c r="Q38" s="98">
        <v>0</v>
      </c>
      <c r="R38" s="98">
        <v>0</v>
      </c>
      <c r="S38" s="98">
        <v>0</v>
      </c>
      <c r="T38" s="98">
        <v>0</v>
      </c>
      <c r="U38" s="98">
        <v>0</v>
      </c>
      <c r="V38" s="98">
        <v>0</v>
      </c>
      <c r="W38" s="98">
        <v>0</v>
      </c>
      <c r="X38" s="98">
        <v>0</v>
      </c>
      <c r="Y38" s="98">
        <v>0</v>
      </c>
      <c r="Z38" s="98">
        <v>0</v>
      </c>
      <c r="AA38" s="98">
        <v>0</v>
      </c>
      <c r="AB38" s="96">
        <v>0</v>
      </c>
      <c r="AC38" s="96">
        <f t="shared" si="6"/>
        <v>0</v>
      </c>
    </row>
    <row r="39" spans="1:29" ht="31.5" x14ac:dyDescent="0.25">
      <c r="A39" s="41" t="s">
        <v>153</v>
      </c>
      <c r="B39" s="25" t="s">
        <v>141</v>
      </c>
      <c r="C39" s="96">
        <v>0</v>
      </c>
      <c r="D39" s="96">
        <v>0</v>
      </c>
      <c r="E39" s="96">
        <f t="shared" si="3"/>
        <v>0</v>
      </c>
      <c r="F39" s="98">
        <f t="shared" si="4"/>
        <v>0</v>
      </c>
      <c r="G39" s="98">
        <v>0</v>
      </c>
      <c r="H39" s="96" t="s">
        <v>537</v>
      </c>
      <c r="I39" s="98">
        <v>0</v>
      </c>
      <c r="J39" s="98">
        <v>0</v>
      </c>
      <c r="K39" s="98">
        <v>0</v>
      </c>
      <c r="L39" s="96">
        <v>0</v>
      </c>
      <c r="M39" s="98">
        <v>0</v>
      </c>
      <c r="N39" s="96">
        <f t="shared" si="5"/>
        <v>0</v>
      </c>
      <c r="O39" s="98">
        <v>0</v>
      </c>
      <c r="P39" s="98">
        <v>0</v>
      </c>
      <c r="Q39" s="98">
        <v>0</v>
      </c>
      <c r="R39" s="98">
        <v>0</v>
      </c>
      <c r="S39" s="98">
        <v>0</v>
      </c>
      <c r="T39" s="98">
        <v>0</v>
      </c>
      <c r="U39" s="98">
        <v>0</v>
      </c>
      <c r="V39" s="98">
        <v>0</v>
      </c>
      <c r="W39" s="98">
        <v>0</v>
      </c>
      <c r="X39" s="98">
        <v>0</v>
      </c>
      <c r="Y39" s="98">
        <v>0</v>
      </c>
      <c r="Z39" s="98">
        <v>0</v>
      </c>
      <c r="AA39" s="98">
        <v>0</v>
      </c>
      <c r="AB39" s="96">
        <v>0</v>
      </c>
      <c r="AC39" s="96">
        <f t="shared" si="6"/>
        <v>0</v>
      </c>
    </row>
    <row r="40" spans="1:29" ht="31.5" x14ac:dyDescent="0.25">
      <c r="A40" s="41" t="s">
        <v>152</v>
      </c>
      <c r="B40" s="25" t="s">
        <v>139</v>
      </c>
      <c r="C40" s="96">
        <v>0</v>
      </c>
      <c r="D40" s="96">
        <v>0</v>
      </c>
      <c r="E40" s="96">
        <f t="shared" si="3"/>
        <v>0</v>
      </c>
      <c r="F40" s="98">
        <f t="shared" si="4"/>
        <v>0</v>
      </c>
      <c r="G40" s="98">
        <v>0</v>
      </c>
      <c r="H40" s="96" t="s">
        <v>537</v>
      </c>
      <c r="I40" s="98">
        <v>0</v>
      </c>
      <c r="J40" s="98">
        <v>0</v>
      </c>
      <c r="K40" s="98">
        <v>0</v>
      </c>
      <c r="L40" s="96">
        <v>0</v>
      </c>
      <c r="M40" s="98">
        <v>0</v>
      </c>
      <c r="N40" s="96">
        <f t="shared" si="5"/>
        <v>0</v>
      </c>
      <c r="O40" s="98">
        <v>0</v>
      </c>
      <c r="P40" s="98">
        <v>0</v>
      </c>
      <c r="Q40" s="98">
        <v>0</v>
      </c>
      <c r="R40" s="98">
        <v>0</v>
      </c>
      <c r="S40" s="98">
        <v>0</v>
      </c>
      <c r="T40" s="98">
        <v>0</v>
      </c>
      <c r="U40" s="98">
        <v>0</v>
      </c>
      <c r="V40" s="98">
        <v>0</v>
      </c>
      <c r="W40" s="98">
        <v>0</v>
      </c>
      <c r="X40" s="98">
        <v>0</v>
      </c>
      <c r="Y40" s="98">
        <v>0</v>
      </c>
      <c r="Z40" s="98">
        <v>0</v>
      </c>
      <c r="AA40" s="98">
        <v>0</v>
      </c>
      <c r="AB40" s="96">
        <v>0</v>
      </c>
      <c r="AC40" s="96">
        <f t="shared" si="6"/>
        <v>0</v>
      </c>
    </row>
    <row r="41" spans="1:29" x14ac:dyDescent="0.25">
      <c r="A41" s="41" t="s">
        <v>151</v>
      </c>
      <c r="B41" s="25" t="s">
        <v>137</v>
      </c>
      <c r="C41" s="96">
        <v>0.4</v>
      </c>
      <c r="D41" s="343">
        <v>0.4</v>
      </c>
      <c r="E41" s="96">
        <f t="shared" si="3"/>
        <v>0.4</v>
      </c>
      <c r="F41" s="98">
        <f t="shared" si="4"/>
        <v>0</v>
      </c>
      <c r="G41" s="98">
        <v>0</v>
      </c>
      <c r="H41" s="96" t="s">
        <v>537</v>
      </c>
      <c r="I41" s="98">
        <v>0</v>
      </c>
      <c r="J41" s="98">
        <v>0</v>
      </c>
      <c r="K41" s="98">
        <v>0</v>
      </c>
      <c r="L41" s="96">
        <v>0.4</v>
      </c>
      <c r="M41" s="98">
        <v>0</v>
      </c>
      <c r="N41" s="96">
        <f t="shared" si="5"/>
        <v>0.4</v>
      </c>
      <c r="O41" s="98">
        <v>0</v>
      </c>
      <c r="P41" s="98">
        <v>0</v>
      </c>
      <c r="Q41" s="98">
        <v>0</v>
      </c>
      <c r="R41" s="98">
        <v>0</v>
      </c>
      <c r="S41" s="98">
        <v>0</v>
      </c>
      <c r="T41" s="98">
        <v>0</v>
      </c>
      <c r="U41" s="98">
        <v>0</v>
      </c>
      <c r="V41" s="98">
        <v>0</v>
      </c>
      <c r="W41" s="98">
        <v>0</v>
      </c>
      <c r="X41" s="98">
        <v>0</v>
      </c>
      <c r="Y41" s="98">
        <v>0</v>
      </c>
      <c r="Z41" s="98">
        <v>0</v>
      </c>
      <c r="AA41" s="98">
        <v>0</v>
      </c>
      <c r="AB41" s="96">
        <v>0.4</v>
      </c>
      <c r="AC41" s="96">
        <f t="shared" si="6"/>
        <v>0.4</v>
      </c>
    </row>
    <row r="42" spans="1:29" ht="18.75" x14ac:dyDescent="0.25">
      <c r="A42" s="41" t="s">
        <v>150</v>
      </c>
      <c r="B42" s="168" t="s">
        <v>543</v>
      </c>
      <c r="C42" s="96">
        <v>0</v>
      </c>
      <c r="D42" s="96">
        <v>0</v>
      </c>
      <c r="E42" s="96">
        <f t="shared" si="3"/>
        <v>0</v>
      </c>
      <c r="F42" s="98">
        <f t="shared" si="4"/>
        <v>0</v>
      </c>
      <c r="G42" s="98">
        <v>0</v>
      </c>
      <c r="H42" s="96" t="s">
        <v>537</v>
      </c>
      <c r="I42" s="98">
        <v>0</v>
      </c>
      <c r="J42" s="98">
        <v>0</v>
      </c>
      <c r="K42" s="98">
        <v>0</v>
      </c>
      <c r="L42" s="96">
        <v>0</v>
      </c>
      <c r="M42" s="98">
        <v>0</v>
      </c>
      <c r="N42" s="96">
        <f t="shared" si="5"/>
        <v>0</v>
      </c>
      <c r="O42" s="98">
        <v>0</v>
      </c>
      <c r="P42" s="98">
        <v>0</v>
      </c>
      <c r="Q42" s="98">
        <v>0</v>
      </c>
      <c r="R42" s="98">
        <v>0</v>
      </c>
      <c r="S42" s="98">
        <v>0</v>
      </c>
      <c r="T42" s="98">
        <v>0</v>
      </c>
      <c r="U42" s="98">
        <v>0</v>
      </c>
      <c r="V42" s="98">
        <v>0</v>
      </c>
      <c r="W42" s="98">
        <v>0</v>
      </c>
      <c r="X42" s="98">
        <v>0</v>
      </c>
      <c r="Y42" s="98">
        <v>0</v>
      </c>
      <c r="Z42" s="98">
        <v>0</v>
      </c>
      <c r="AA42" s="98">
        <v>0</v>
      </c>
      <c r="AB42" s="96">
        <v>0</v>
      </c>
      <c r="AC42" s="96">
        <f t="shared" si="6"/>
        <v>0</v>
      </c>
    </row>
    <row r="43" spans="1:29" s="338" customFormat="1" x14ac:dyDescent="0.25">
      <c r="A43" s="44" t="s">
        <v>59</v>
      </c>
      <c r="B43" s="43" t="s">
        <v>149</v>
      </c>
      <c r="C43" s="96">
        <v>0</v>
      </c>
      <c r="D43" s="96">
        <v>0</v>
      </c>
      <c r="E43" s="96">
        <f t="shared" si="3"/>
        <v>0</v>
      </c>
      <c r="F43" s="98">
        <f t="shared" si="4"/>
        <v>0</v>
      </c>
      <c r="G43" s="98">
        <v>0</v>
      </c>
      <c r="H43" s="96" t="s">
        <v>537</v>
      </c>
      <c r="I43" s="96">
        <v>0</v>
      </c>
      <c r="J43" s="98">
        <v>0</v>
      </c>
      <c r="K43" s="96">
        <v>0</v>
      </c>
      <c r="L43" s="96">
        <v>0</v>
      </c>
      <c r="M43" s="96">
        <v>0</v>
      </c>
      <c r="N43" s="96">
        <f t="shared" si="5"/>
        <v>0</v>
      </c>
      <c r="O43" s="96">
        <v>0</v>
      </c>
      <c r="P43" s="98">
        <v>0</v>
      </c>
      <c r="Q43" s="96">
        <v>0</v>
      </c>
      <c r="R43" s="98">
        <v>0</v>
      </c>
      <c r="S43" s="96">
        <v>0</v>
      </c>
      <c r="T43" s="98">
        <v>0</v>
      </c>
      <c r="U43" s="96">
        <v>0</v>
      </c>
      <c r="V43" s="96">
        <v>0</v>
      </c>
      <c r="W43" s="96">
        <v>0</v>
      </c>
      <c r="X43" s="98">
        <v>0</v>
      </c>
      <c r="Y43" s="96">
        <v>0</v>
      </c>
      <c r="Z43" s="96">
        <v>0</v>
      </c>
      <c r="AA43" s="96">
        <v>0</v>
      </c>
      <c r="AB43" s="96">
        <v>0</v>
      </c>
      <c r="AC43" s="96">
        <f t="shared" si="6"/>
        <v>0</v>
      </c>
    </row>
    <row r="44" spans="1:29" x14ac:dyDescent="0.25">
      <c r="A44" s="41" t="s">
        <v>148</v>
      </c>
      <c r="B44" s="25" t="s">
        <v>147</v>
      </c>
      <c r="C44" s="96">
        <v>0</v>
      </c>
      <c r="D44" s="96">
        <v>0</v>
      </c>
      <c r="E44" s="96">
        <f t="shared" si="3"/>
        <v>0</v>
      </c>
      <c r="F44" s="98">
        <f t="shared" si="4"/>
        <v>0</v>
      </c>
      <c r="G44" s="98">
        <v>0</v>
      </c>
      <c r="H44" s="96" t="s">
        <v>537</v>
      </c>
      <c r="I44" s="98">
        <v>0</v>
      </c>
      <c r="J44" s="98">
        <v>0</v>
      </c>
      <c r="K44" s="98">
        <v>0</v>
      </c>
      <c r="L44" s="96">
        <v>0</v>
      </c>
      <c r="M44" s="98">
        <v>0</v>
      </c>
      <c r="N44" s="96">
        <f t="shared" si="5"/>
        <v>0</v>
      </c>
      <c r="O44" s="98">
        <v>0</v>
      </c>
      <c r="P44" s="98">
        <v>0</v>
      </c>
      <c r="Q44" s="98">
        <v>0</v>
      </c>
      <c r="R44" s="98">
        <v>0</v>
      </c>
      <c r="S44" s="98">
        <v>0</v>
      </c>
      <c r="T44" s="98">
        <v>0</v>
      </c>
      <c r="U44" s="98">
        <v>0</v>
      </c>
      <c r="V44" s="98">
        <v>0</v>
      </c>
      <c r="W44" s="98">
        <v>0</v>
      </c>
      <c r="X44" s="98">
        <v>0</v>
      </c>
      <c r="Y44" s="98">
        <v>0</v>
      </c>
      <c r="Z44" s="98">
        <v>0</v>
      </c>
      <c r="AA44" s="98">
        <v>0</v>
      </c>
      <c r="AB44" s="96">
        <v>0</v>
      </c>
      <c r="AC44" s="96">
        <f t="shared" si="6"/>
        <v>0</v>
      </c>
    </row>
    <row r="45" spans="1:29" x14ac:dyDescent="0.25">
      <c r="A45" s="41" t="s">
        <v>146</v>
      </c>
      <c r="B45" s="25" t="s">
        <v>145</v>
      </c>
      <c r="C45" s="96">
        <v>0.4</v>
      </c>
      <c r="D45" s="96">
        <v>0.4</v>
      </c>
      <c r="E45" s="96">
        <f t="shared" si="3"/>
        <v>0.4</v>
      </c>
      <c r="F45" s="98">
        <f t="shared" si="4"/>
        <v>0</v>
      </c>
      <c r="G45" s="98">
        <v>0</v>
      </c>
      <c r="H45" s="96" t="s">
        <v>537</v>
      </c>
      <c r="I45" s="98">
        <v>0</v>
      </c>
      <c r="J45" s="98">
        <v>0</v>
      </c>
      <c r="K45" s="98">
        <v>0</v>
      </c>
      <c r="L45" s="96">
        <v>0.4</v>
      </c>
      <c r="M45" s="98">
        <v>0</v>
      </c>
      <c r="N45" s="96">
        <f t="shared" si="5"/>
        <v>0.4</v>
      </c>
      <c r="O45" s="98">
        <v>0</v>
      </c>
      <c r="P45" s="98">
        <v>0</v>
      </c>
      <c r="Q45" s="98">
        <v>0</v>
      </c>
      <c r="R45" s="98">
        <v>0</v>
      </c>
      <c r="S45" s="98">
        <v>0</v>
      </c>
      <c r="T45" s="98">
        <v>0</v>
      </c>
      <c r="U45" s="98">
        <v>0</v>
      </c>
      <c r="V45" s="98">
        <v>0</v>
      </c>
      <c r="W45" s="98">
        <v>0</v>
      </c>
      <c r="X45" s="98">
        <v>0</v>
      </c>
      <c r="Y45" s="98">
        <v>0</v>
      </c>
      <c r="Z45" s="98">
        <v>0</v>
      </c>
      <c r="AA45" s="98">
        <v>0</v>
      </c>
      <c r="AB45" s="96">
        <v>0.4</v>
      </c>
      <c r="AC45" s="96">
        <f t="shared" si="6"/>
        <v>0.4</v>
      </c>
    </row>
    <row r="46" spans="1:29" x14ac:dyDescent="0.25">
      <c r="A46" s="41" t="s">
        <v>144</v>
      </c>
      <c r="B46" s="25" t="s">
        <v>143</v>
      </c>
      <c r="C46" s="96">
        <v>0</v>
      </c>
      <c r="D46" s="96">
        <v>0</v>
      </c>
      <c r="E46" s="96">
        <f t="shared" si="3"/>
        <v>0</v>
      </c>
      <c r="F46" s="98">
        <f t="shared" si="4"/>
        <v>0</v>
      </c>
      <c r="G46" s="98">
        <v>0</v>
      </c>
      <c r="H46" s="96" t="s">
        <v>537</v>
      </c>
      <c r="I46" s="98">
        <v>0</v>
      </c>
      <c r="J46" s="98">
        <v>0</v>
      </c>
      <c r="K46" s="98">
        <v>0</v>
      </c>
      <c r="L46" s="96">
        <v>0</v>
      </c>
      <c r="M46" s="98">
        <v>0</v>
      </c>
      <c r="N46" s="96">
        <f t="shared" si="5"/>
        <v>0</v>
      </c>
      <c r="O46" s="98">
        <v>0</v>
      </c>
      <c r="P46" s="98">
        <v>0</v>
      </c>
      <c r="Q46" s="98">
        <v>0</v>
      </c>
      <c r="R46" s="98">
        <v>0</v>
      </c>
      <c r="S46" s="98">
        <v>0</v>
      </c>
      <c r="T46" s="98">
        <v>0</v>
      </c>
      <c r="U46" s="98">
        <v>0</v>
      </c>
      <c r="V46" s="98">
        <v>0</v>
      </c>
      <c r="W46" s="98">
        <v>0</v>
      </c>
      <c r="X46" s="98">
        <v>0</v>
      </c>
      <c r="Y46" s="98">
        <v>0</v>
      </c>
      <c r="Z46" s="98">
        <v>0</v>
      </c>
      <c r="AA46" s="98">
        <v>0</v>
      </c>
      <c r="AB46" s="96">
        <v>0</v>
      </c>
      <c r="AC46" s="96">
        <f t="shared" si="6"/>
        <v>0</v>
      </c>
    </row>
    <row r="47" spans="1:29" ht="31.5" x14ac:dyDescent="0.25">
      <c r="A47" s="41" t="s">
        <v>142</v>
      </c>
      <c r="B47" s="25" t="s">
        <v>141</v>
      </c>
      <c r="C47" s="96">
        <v>0</v>
      </c>
      <c r="D47" s="96">
        <v>0</v>
      </c>
      <c r="E47" s="96">
        <f t="shared" si="3"/>
        <v>0</v>
      </c>
      <c r="F47" s="98">
        <f t="shared" si="4"/>
        <v>0</v>
      </c>
      <c r="G47" s="98">
        <v>0</v>
      </c>
      <c r="H47" s="96" t="s">
        <v>537</v>
      </c>
      <c r="I47" s="98">
        <v>0</v>
      </c>
      <c r="J47" s="98">
        <v>0</v>
      </c>
      <c r="K47" s="98">
        <v>0</v>
      </c>
      <c r="L47" s="96">
        <v>0</v>
      </c>
      <c r="M47" s="98">
        <v>0</v>
      </c>
      <c r="N47" s="96">
        <f t="shared" si="5"/>
        <v>0</v>
      </c>
      <c r="O47" s="98">
        <v>0</v>
      </c>
      <c r="P47" s="98">
        <v>0</v>
      </c>
      <c r="Q47" s="98">
        <v>0</v>
      </c>
      <c r="R47" s="98">
        <v>0</v>
      </c>
      <c r="S47" s="98">
        <v>0</v>
      </c>
      <c r="T47" s="98">
        <v>0</v>
      </c>
      <c r="U47" s="98">
        <v>0</v>
      </c>
      <c r="V47" s="98">
        <v>0</v>
      </c>
      <c r="W47" s="98">
        <v>0</v>
      </c>
      <c r="X47" s="98">
        <v>0</v>
      </c>
      <c r="Y47" s="98">
        <v>0</v>
      </c>
      <c r="Z47" s="98">
        <v>0</v>
      </c>
      <c r="AA47" s="98">
        <v>0</v>
      </c>
      <c r="AB47" s="96">
        <v>0</v>
      </c>
      <c r="AC47" s="96">
        <f t="shared" si="6"/>
        <v>0</v>
      </c>
    </row>
    <row r="48" spans="1:29" ht="31.5" x14ac:dyDescent="0.25">
      <c r="A48" s="41" t="s">
        <v>140</v>
      </c>
      <c r="B48" s="25" t="s">
        <v>139</v>
      </c>
      <c r="C48" s="96">
        <v>0</v>
      </c>
      <c r="D48" s="96">
        <v>0</v>
      </c>
      <c r="E48" s="96">
        <f t="shared" si="3"/>
        <v>0</v>
      </c>
      <c r="F48" s="98">
        <f t="shared" si="4"/>
        <v>0</v>
      </c>
      <c r="G48" s="98">
        <v>0</v>
      </c>
      <c r="H48" s="96" t="s">
        <v>537</v>
      </c>
      <c r="I48" s="98">
        <v>0</v>
      </c>
      <c r="J48" s="98">
        <v>0</v>
      </c>
      <c r="K48" s="98">
        <v>0</v>
      </c>
      <c r="L48" s="96">
        <v>0</v>
      </c>
      <c r="M48" s="98">
        <v>0</v>
      </c>
      <c r="N48" s="96">
        <f t="shared" si="5"/>
        <v>0</v>
      </c>
      <c r="O48" s="98">
        <v>0</v>
      </c>
      <c r="P48" s="98">
        <v>0</v>
      </c>
      <c r="Q48" s="98">
        <v>0</v>
      </c>
      <c r="R48" s="98">
        <v>0</v>
      </c>
      <c r="S48" s="98">
        <v>0</v>
      </c>
      <c r="T48" s="98">
        <v>0</v>
      </c>
      <c r="U48" s="98">
        <v>0</v>
      </c>
      <c r="V48" s="98">
        <v>0</v>
      </c>
      <c r="W48" s="98">
        <v>0</v>
      </c>
      <c r="X48" s="98">
        <v>0</v>
      </c>
      <c r="Y48" s="98">
        <v>0</v>
      </c>
      <c r="Z48" s="98">
        <v>0</v>
      </c>
      <c r="AA48" s="98">
        <v>0</v>
      </c>
      <c r="AB48" s="96">
        <v>0</v>
      </c>
      <c r="AC48" s="96">
        <f t="shared" si="6"/>
        <v>0</v>
      </c>
    </row>
    <row r="49" spans="1:29" x14ac:dyDescent="0.25">
      <c r="A49" s="41" t="s">
        <v>138</v>
      </c>
      <c r="B49" s="25" t="s">
        <v>137</v>
      </c>
      <c r="C49" s="96">
        <v>0.4</v>
      </c>
      <c r="D49" s="96">
        <v>0.4</v>
      </c>
      <c r="E49" s="96">
        <f t="shared" si="3"/>
        <v>0.4</v>
      </c>
      <c r="F49" s="98">
        <f t="shared" si="4"/>
        <v>0</v>
      </c>
      <c r="G49" s="98">
        <v>0</v>
      </c>
      <c r="H49" s="96" t="s">
        <v>537</v>
      </c>
      <c r="I49" s="98">
        <v>0</v>
      </c>
      <c r="J49" s="98">
        <v>0</v>
      </c>
      <c r="K49" s="98">
        <v>0</v>
      </c>
      <c r="L49" s="96">
        <v>0.4</v>
      </c>
      <c r="M49" s="98">
        <v>0</v>
      </c>
      <c r="N49" s="96">
        <f t="shared" si="5"/>
        <v>0.4</v>
      </c>
      <c r="O49" s="98">
        <v>0</v>
      </c>
      <c r="P49" s="98">
        <v>0</v>
      </c>
      <c r="Q49" s="98">
        <v>0</v>
      </c>
      <c r="R49" s="98">
        <v>0</v>
      </c>
      <c r="S49" s="98">
        <v>0</v>
      </c>
      <c r="T49" s="98">
        <v>0</v>
      </c>
      <c r="U49" s="98">
        <v>0</v>
      </c>
      <c r="V49" s="98">
        <v>0</v>
      </c>
      <c r="W49" s="98">
        <v>0</v>
      </c>
      <c r="X49" s="98">
        <v>0</v>
      </c>
      <c r="Y49" s="98">
        <v>0</v>
      </c>
      <c r="Z49" s="98">
        <v>0</v>
      </c>
      <c r="AA49" s="98">
        <v>0</v>
      </c>
      <c r="AB49" s="96">
        <v>0.4</v>
      </c>
      <c r="AC49" s="96">
        <f t="shared" si="6"/>
        <v>0.4</v>
      </c>
    </row>
    <row r="50" spans="1:29" ht="18.75" x14ac:dyDescent="0.25">
      <c r="A50" s="41" t="s">
        <v>136</v>
      </c>
      <c r="B50" s="168" t="s">
        <v>543</v>
      </c>
      <c r="C50" s="96">
        <v>0</v>
      </c>
      <c r="D50" s="96">
        <v>0</v>
      </c>
      <c r="E50" s="96">
        <f t="shared" si="3"/>
        <v>0</v>
      </c>
      <c r="F50" s="98">
        <f t="shared" si="4"/>
        <v>0</v>
      </c>
      <c r="G50" s="98">
        <v>0</v>
      </c>
      <c r="H50" s="96" t="s">
        <v>537</v>
      </c>
      <c r="I50" s="98">
        <v>0</v>
      </c>
      <c r="J50" s="98">
        <v>0</v>
      </c>
      <c r="K50" s="98">
        <v>0</v>
      </c>
      <c r="L50" s="96">
        <v>0</v>
      </c>
      <c r="M50" s="98">
        <v>0</v>
      </c>
      <c r="N50" s="96">
        <f t="shared" si="5"/>
        <v>0</v>
      </c>
      <c r="O50" s="98">
        <v>0</v>
      </c>
      <c r="P50" s="98">
        <v>0</v>
      </c>
      <c r="Q50" s="98">
        <v>0</v>
      </c>
      <c r="R50" s="98">
        <v>0</v>
      </c>
      <c r="S50" s="98">
        <v>0</v>
      </c>
      <c r="T50" s="98">
        <v>0</v>
      </c>
      <c r="U50" s="98">
        <v>0</v>
      </c>
      <c r="V50" s="98">
        <v>0</v>
      </c>
      <c r="W50" s="98">
        <v>0</v>
      </c>
      <c r="X50" s="98">
        <v>0</v>
      </c>
      <c r="Y50" s="98">
        <v>0</v>
      </c>
      <c r="Z50" s="98">
        <v>0</v>
      </c>
      <c r="AA50" s="98">
        <v>0</v>
      </c>
      <c r="AB50" s="96">
        <v>0</v>
      </c>
      <c r="AC50" s="96">
        <f t="shared" si="6"/>
        <v>0</v>
      </c>
    </row>
    <row r="51" spans="1:29" s="338" customFormat="1" ht="35.25" customHeight="1" x14ac:dyDescent="0.25">
      <c r="A51" s="44" t="s">
        <v>57</v>
      </c>
      <c r="B51" s="43" t="s">
        <v>135</v>
      </c>
      <c r="C51" s="96">
        <v>0</v>
      </c>
      <c r="D51" s="96">
        <v>0</v>
      </c>
      <c r="E51" s="96">
        <f t="shared" si="3"/>
        <v>0</v>
      </c>
      <c r="F51" s="98">
        <f t="shared" si="4"/>
        <v>0</v>
      </c>
      <c r="G51" s="98">
        <v>0</v>
      </c>
      <c r="H51" s="96" t="s">
        <v>537</v>
      </c>
      <c r="I51" s="96">
        <v>0</v>
      </c>
      <c r="J51" s="98">
        <v>0</v>
      </c>
      <c r="K51" s="96">
        <v>0</v>
      </c>
      <c r="L51" s="96">
        <v>0</v>
      </c>
      <c r="M51" s="96">
        <v>0</v>
      </c>
      <c r="N51" s="96">
        <f t="shared" si="5"/>
        <v>0</v>
      </c>
      <c r="O51" s="96">
        <v>0</v>
      </c>
      <c r="P51" s="98">
        <v>0</v>
      </c>
      <c r="Q51" s="96">
        <v>0</v>
      </c>
      <c r="R51" s="98">
        <v>0</v>
      </c>
      <c r="S51" s="96">
        <v>0</v>
      </c>
      <c r="T51" s="98">
        <v>0</v>
      </c>
      <c r="U51" s="96">
        <v>0</v>
      </c>
      <c r="V51" s="96">
        <v>0</v>
      </c>
      <c r="W51" s="96">
        <v>0</v>
      </c>
      <c r="X51" s="98">
        <v>0</v>
      </c>
      <c r="Y51" s="96">
        <v>0</v>
      </c>
      <c r="Z51" s="96">
        <v>0</v>
      </c>
      <c r="AA51" s="96">
        <v>0</v>
      </c>
      <c r="AB51" s="96">
        <v>0</v>
      </c>
      <c r="AC51" s="96">
        <f t="shared" si="6"/>
        <v>0</v>
      </c>
    </row>
    <row r="52" spans="1:29" x14ac:dyDescent="0.25">
      <c r="A52" s="41" t="s">
        <v>134</v>
      </c>
      <c r="B52" s="25" t="s">
        <v>133</v>
      </c>
      <c r="C52" s="96">
        <v>5.0833409999999999</v>
      </c>
      <c r="D52" s="96">
        <v>5.0833409999999999</v>
      </c>
      <c r="E52" s="96">
        <f t="shared" si="3"/>
        <v>5.0833409999999999</v>
      </c>
      <c r="F52" s="98">
        <f t="shared" si="4"/>
        <v>0</v>
      </c>
      <c r="G52" s="98">
        <v>0</v>
      </c>
      <c r="H52" s="96" t="s">
        <v>537</v>
      </c>
      <c r="I52" s="98">
        <v>0</v>
      </c>
      <c r="J52" s="98">
        <v>0</v>
      </c>
      <c r="K52" s="98">
        <v>0</v>
      </c>
      <c r="L52" s="96">
        <v>5.0833409999999999</v>
      </c>
      <c r="M52" s="98">
        <v>0</v>
      </c>
      <c r="N52" s="96">
        <f t="shared" si="5"/>
        <v>5.0833409999999999</v>
      </c>
      <c r="O52" s="98">
        <v>2</v>
      </c>
      <c r="P52" s="98">
        <v>0</v>
      </c>
      <c r="Q52" s="98">
        <v>0</v>
      </c>
      <c r="R52" s="98">
        <v>0</v>
      </c>
      <c r="S52" s="98">
        <v>0</v>
      </c>
      <c r="T52" s="98">
        <v>0</v>
      </c>
      <c r="U52" s="98">
        <v>0</v>
      </c>
      <c r="V52" s="98">
        <v>0</v>
      </c>
      <c r="W52" s="98">
        <v>0</v>
      </c>
      <c r="X52" s="98">
        <v>0</v>
      </c>
      <c r="Y52" s="98">
        <v>0</v>
      </c>
      <c r="Z52" s="98">
        <v>0</v>
      </c>
      <c r="AA52" s="98">
        <v>0</v>
      </c>
      <c r="AB52" s="96">
        <v>5.0833409999999999</v>
      </c>
      <c r="AC52" s="96">
        <f t="shared" si="6"/>
        <v>5.0833409999999999</v>
      </c>
    </row>
    <row r="53" spans="1:29" x14ac:dyDescent="0.25">
      <c r="A53" s="41" t="s">
        <v>132</v>
      </c>
      <c r="B53" s="25" t="s">
        <v>126</v>
      </c>
      <c r="C53" s="96">
        <v>0</v>
      </c>
      <c r="D53" s="96">
        <v>0</v>
      </c>
      <c r="E53" s="96">
        <f t="shared" si="3"/>
        <v>0</v>
      </c>
      <c r="F53" s="98">
        <f t="shared" si="4"/>
        <v>0</v>
      </c>
      <c r="G53" s="98">
        <v>0</v>
      </c>
      <c r="H53" s="96" t="s">
        <v>537</v>
      </c>
      <c r="I53" s="98">
        <v>0</v>
      </c>
      <c r="J53" s="98">
        <v>0</v>
      </c>
      <c r="K53" s="98">
        <v>0</v>
      </c>
      <c r="L53" s="96">
        <v>0</v>
      </c>
      <c r="M53" s="98">
        <v>0</v>
      </c>
      <c r="N53" s="96">
        <f t="shared" si="5"/>
        <v>0</v>
      </c>
      <c r="O53" s="98">
        <v>2</v>
      </c>
      <c r="P53" s="98">
        <v>0</v>
      </c>
      <c r="Q53" s="98">
        <v>0</v>
      </c>
      <c r="R53" s="98">
        <v>0</v>
      </c>
      <c r="S53" s="98">
        <v>0</v>
      </c>
      <c r="T53" s="98">
        <v>0</v>
      </c>
      <c r="U53" s="98">
        <v>0</v>
      </c>
      <c r="V53" s="98">
        <v>0</v>
      </c>
      <c r="W53" s="98">
        <v>0</v>
      </c>
      <c r="X53" s="98">
        <v>0</v>
      </c>
      <c r="Y53" s="98">
        <v>0</v>
      </c>
      <c r="Z53" s="98">
        <v>0</v>
      </c>
      <c r="AA53" s="98">
        <v>0</v>
      </c>
      <c r="AB53" s="96">
        <v>0</v>
      </c>
      <c r="AC53" s="96">
        <f t="shared" si="6"/>
        <v>0</v>
      </c>
    </row>
    <row r="54" spans="1:29" x14ac:dyDescent="0.25">
      <c r="A54" s="41" t="s">
        <v>131</v>
      </c>
      <c r="B54" s="168" t="s">
        <v>125</v>
      </c>
      <c r="C54" s="96">
        <v>0.4</v>
      </c>
      <c r="D54" s="96">
        <v>0.4</v>
      </c>
      <c r="E54" s="96">
        <f t="shared" si="3"/>
        <v>0.4</v>
      </c>
      <c r="F54" s="98">
        <f t="shared" si="4"/>
        <v>0</v>
      </c>
      <c r="G54" s="98">
        <v>0</v>
      </c>
      <c r="H54" s="96" t="s">
        <v>537</v>
      </c>
      <c r="I54" s="98">
        <v>0</v>
      </c>
      <c r="J54" s="98">
        <v>0</v>
      </c>
      <c r="K54" s="98">
        <v>0</v>
      </c>
      <c r="L54" s="96">
        <v>0.4</v>
      </c>
      <c r="M54" s="98">
        <v>0</v>
      </c>
      <c r="N54" s="96">
        <f t="shared" si="5"/>
        <v>0.4</v>
      </c>
      <c r="O54" s="98">
        <v>2</v>
      </c>
      <c r="P54" s="98">
        <v>0</v>
      </c>
      <c r="Q54" s="98">
        <v>0</v>
      </c>
      <c r="R54" s="98">
        <v>0</v>
      </c>
      <c r="S54" s="98">
        <v>0</v>
      </c>
      <c r="T54" s="98">
        <v>0</v>
      </c>
      <c r="U54" s="98">
        <v>0</v>
      </c>
      <c r="V54" s="98">
        <v>0</v>
      </c>
      <c r="W54" s="98">
        <v>0</v>
      </c>
      <c r="X54" s="98">
        <v>0</v>
      </c>
      <c r="Y54" s="98">
        <v>0</v>
      </c>
      <c r="Z54" s="98">
        <v>0</v>
      </c>
      <c r="AA54" s="98">
        <v>0</v>
      </c>
      <c r="AB54" s="96">
        <v>0.4</v>
      </c>
      <c r="AC54" s="96">
        <f t="shared" si="6"/>
        <v>0.4</v>
      </c>
    </row>
    <row r="55" spans="1:29" x14ac:dyDescent="0.25">
      <c r="A55" s="41" t="s">
        <v>130</v>
      </c>
      <c r="B55" s="168" t="s">
        <v>124</v>
      </c>
      <c r="C55" s="96">
        <v>0</v>
      </c>
      <c r="D55" s="96">
        <v>0</v>
      </c>
      <c r="E55" s="96">
        <f t="shared" si="3"/>
        <v>0</v>
      </c>
      <c r="F55" s="98">
        <f t="shared" si="4"/>
        <v>0</v>
      </c>
      <c r="G55" s="98">
        <v>0</v>
      </c>
      <c r="H55" s="96" t="s">
        <v>537</v>
      </c>
      <c r="I55" s="98">
        <v>0</v>
      </c>
      <c r="J55" s="98">
        <v>0</v>
      </c>
      <c r="K55" s="98">
        <v>0</v>
      </c>
      <c r="L55" s="96">
        <v>0</v>
      </c>
      <c r="M55" s="98">
        <v>0</v>
      </c>
      <c r="N55" s="96">
        <f t="shared" si="5"/>
        <v>0</v>
      </c>
      <c r="O55" s="98">
        <v>2</v>
      </c>
      <c r="P55" s="98">
        <v>0</v>
      </c>
      <c r="Q55" s="98">
        <v>0</v>
      </c>
      <c r="R55" s="98">
        <v>0</v>
      </c>
      <c r="S55" s="98">
        <v>0</v>
      </c>
      <c r="T55" s="98">
        <v>0</v>
      </c>
      <c r="U55" s="98">
        <v>0</v>
      </c>
      <c r="V55" s="98">
        <v>0</v>
      </c>
      <c r="W55" s="98">
        <v>0</v>
      </c>
      <c r="X55" s="98">
        <v>0</v>
      </c>
      <c r="Y55" s="98">
        <v>0</v>
      </c>
      <c r="Z55" s="98">
        <v>0</v>
      </c>
      <c r="AA55" s="98">
        <v>0</v>
      </c>
      <c r="AB55" s="96">
        <v>0</v>
      </c>
      <c r="AC55" s="96">
        <f t="shared" si="6"/>
        <v>0</v>
      </c>
    </row>
    <row r="56" spans="1:29" x14ac:dyDescent="0.25">
      <c r="A56" s="41" t="s">
        <v>129</v>
      </c>
      <c r="B56" s="168" t="s">
        <v>123</v>
      </c>
      <c r="C56" s="96">
        <v>0.4</v>
      </c>
      <c r="D56" s="96">
        <v>0.4</v>
      </c>
      <c r="E56" s="96">
        <f t="shared" si="3"/>
        <v>0.4</v>
      </c>
      <c r="F56" s="98">
        <f t="shared" si="4"/>
        <v>0</v>
      </c>
      <c r="G56" s="98">
        <v>0</v>
      </c>
      <c r="H56" s="96" t="s">
        <v>537</v>
      </c>
      <c r="I56" s="98">
        <v>0</v>
      </c>
      <c r="J56" s="98">
        <v>0</v>
      </c>
      <c r="K56" s="98">
        <v>0</v>
      </c>
      <c r="L56" s="96">
        <v>0.4</v>
      </c>
      <c r="M56" s="98">
        <v>0</v>
      </c>
      <c r="N56" s="96">
        <f t="shared" si="5"/>
        <v>0.4</v>
      </c>
      <c r="O56" s="98">
        <v>2</v>
      </c>
      <c r="P56" s="98">
        <v>0</v>
      </c>
      <c r="Q56" s="98">
        <v>0</v>
      </c>
      <c r="R56" s="98">
        <v>0</v>
      </c>
      <c r="S56" s="98">
        <v>0</v>
      </c>
      <c r="T56" s="98">
        <v>0</v>
      </c>
      <c r="U56" s="98">
        <v>0</v>
      </c>
      <c r="V56" s="98">
        <v>0</v>
      </c>
      <c r="W56" s="98">
        <v>0</v>
      </c>
      <c r="X56" s="98">
        <v>0</v>
      </c>
      <c r="Y56" s="98">
        <v>0</v>
      </c>
      <c r="Z56" s="98">
        <v>0</v>
      </c>
      <c r="AA56" s="98">
        <v>0</v>
      </c>
      <c r="AB56" s="96">
        <v>0.4</v>
      </c>
      <c r="AC56" s="96">
        <f t="shared" si="6"/>
        <v>0.4</v>
      </c>
    </row>
    <row r="57" spans="1:29" ht="18.75" x14ac:dyDescent="0.25">
      <c r="A57" s="41" t="s">
        <v>128</v>
      </c>
      <c r="B57" s="168" t="s">
        <v>543</v>
      </c>
      <c r="C57" s="96">
        <v>0</v>
      </c>
      <c r="D57" s="96">
        <v>0</v>
      </c>
      <c r="E57" s="96">
        <f t="shared" si="3"/>
        <v>0</v>
      </c>
      <c r="F57" s="98">
        <f t="shared" si="4"/>
        <v>0</v>
      </c>
      <c r="G57" s="98">
        <v>0</v>
      </c>
      <c r="H57" s="96" t="s">
        <v>537</v>
      </c>
      <c r="I57" s="98">
        <v>0</v>
      </c>
      <c r="J57" s="98">
        <v>0</v>
      </c>
      <c r="K57" s="98">
        <v>0</v>
      </c>
      <c r="L57" s="96">
        <v>0</v>
      </c>
      <c r="M57" s="98">
        <v>0</v>
      </c>
      <c r="N57" s="96">
        <f t="shared" si="5"/>
        <v>0</v>
      </c>
      <c r="O57" s="98">
        <v>2</v>
      </c>
      <c r="P57" s="98">
        <v>0</v>
      </c>
      <c r="Q57" s="98">
        <v>0</v>
      </c>
      <c r="R57" s="98">
        <v>0</v>
      </c>
      <c r="S57" s="98">
        <v>0</v>
      </c>
      <c r="T57" s="98">
        <v>0</v>
      </c>
      <c r="U57" s="98">
        <v>0</v>
      </c>
      <c r="V57" s="98">
        <v>0</v>
      </c>
      <c r="W57" s="98">
        <v>0</v>
      </c>
      <c r="X57" s="98">
        <v>0</v>
      </c>
      <c r="Y57" s="98">
        <v>0</v>
      </c>
      <c r="Z57" s="98">
        <v>0</v>
      </c>
      <c r="AA57" s="98">
        <v>0</v>
      </c>
      <c r="AB57" s="96">
        <v>0</v>
      </c>
      <c r="AC57" s="96">
        <f t="shared" si="6"/>
        <v>0</v>
      </c>
    </row>
    <row r="58" spans="1:29" s="338" customFormat="1" ht="36.75" customHeight="1" x14ac:dyDescent="0.25">
      <c r="A58" s="44" t="s">
        <v>56</v>
      </c>
      <c r="B58" s="169" t="s">
        <v>207</v>
      </c>
      <c r="C58" s="96">
        <v>5.0833409999999999</v>
      </c>
      <c r="D58" s="96">
        <v>5.0833409999999999</v>
      </c>
      <c r="E58" s="96">
        <f t="shared" si="3"/>
        <v>5.0833409999999999</v>
      </c>
      <c r="F58" s="98">
        <f t="shared" si="4"/>
        <v>0</v>
      </c>
      <c r="G58" s="98">
        <v>0</v>
      </c>
      <c r="H58" s="96" t="s">
        <v>537</v>
      </c>
      <c r="I58" s="96">
        <v>0</v>
      </c>
      <c r="J58" s="98">
        <v>0</v>
      </c>
      <c r="K58" s="96">
        <v>0</v>
      </c>
      <c r="L58" s="96">
        <v>5.0833409999999999</v>
      </c>
      <c r="M58" s="96">
        <v>0</v>
      </c>
      <c r="N58" s="96">
        <f t="shared" si="5"/>
        <v>5.0833409999999999</v>
      </c>
      <c r="O58" s="96">
        <v>2</v>
      </c>
      <c r="P58" s="98">
        <v>0</v>
      </c>
      <c r="Q58" s="96">
        <v>0</v>
      </c>
      <c r="R58" s="98">
        <v>0</v>
      </c>
      <c r="S58" s="96">
        <v>0</v>
      </c>
      <c r="T58" s="98">
        <v>0</v>
      </c>
      <c r="U58" s="96">
        <v>0</v>
      </c>
      <c r="V58" s="96">
        <v>0</v>
      </c>
      <c r="W58" s="96">
        <v>0</v>
      </c>
      <c r="X58" s="98">
        <v>0</v>
      </c>
      <c r="Y58" s="96">
        <v>0</v>
      </c>
      <c r="Z58" s="96">
        <v>0</v>
      </c>
      <c r="AA58" s="96">
        <v>0</v>
      </c>
      <c r="AB58" s="96">
        <v>5.0833409999999999</v>
      </c>
      <c r="AC58" s="96">
        <f t="shared" si="6"/>
        <v>5.0833409999999999</v>
      </c>
    </row>
    <row r="59" spans="1:29" s="338" customFormat="1" x14ac:dyDescent="0.25">
      <c r="A59" s="44" t="s">
        <v>54</v>
      </c>
      <c r="B59" s="43" t="s">
        <v>127</v>
      </c>
      <c r="C59" s="96">
        <v>0</v>
      </c>
      <c r="D59" s="96">
        <v>0</v>
      </c>
      <c r="E59" s="96">
        <f t="shared" si="3"/>
        <v>0</v>
      </c>
      <c r="F59" s="98">
        <f t="shared" si="4"/>
        <v>0</v>
      </c>
      <c r="G59" s="98">
        <v>0</v>
      </c>
      <c r="H59" s="96" t="s">
        <v>537</v>
      </c>
      <c r="I59" s="96">
        <v>0</v>
      </c>
      <c r="J59" s="98">
        <v>0</v>
      </c>
      <c r="K59" s="96">
        <v>0</v>
      </c>
      <c r="L59" s="96">
        <v>0</v>
      </c>
      <c r="M59" s="96">
        <v>0</v>
      </c>
      <c r="N59" s="96">
        <f t="shared" si="5"/>
        <v>0</v>
      </c>
      <c r="O59" s="96">
        <v>0</v>
      </c>
      <c r="P59" s="98">
        <v>0</v>
      </c>
      <c r="Q59" s="96">
        <v>0</v>
      </c>
      <c r="R59" s="98">
        <v>0</v>
      </c>
      <c r="S59" s="96">
        <v>0</v>
      </c>
      <c r="T59" s="98">
        <v>0</v>
      </c>
      <c r="U59" s="96">
        <v>0</v>
      </c>
      <c r="V59" s="96">
        <v>0</v>
      </c>
      <c r="W59" s="96">
        <v>0</v>
      </c>
      <c r="X59" s="98">
        <v>0</v>
      </c>
      <c r="Y59" s="96">
        <v>0</v>
      </c>
      <c r="Z59" s="96">
        <v>0</v>
      </c>
      <c r="AA59" s="96">
        <v>0</v>
      </c>
      <c r="AB59" s="96">
        <v>0</v>
      </c>
      <c r="AC59" s="96">
        <f t="shared" si="6"/>
        <v>0</v>
      </c>
    </row>
    <row r="60" spans="1:29" x14ac:dyDescent="0.25">
      <c r="A60" s="41" t="s">
        <v>201</v>
      </c>
      <c r="B60" s="170" t="s">
        <v>147</v>
      </c>
      <c r="C60" s="96">
        <v>0</v>
      </c>
      <c r="D60" s="96">
        <v>0</v>
      </c>
      <c r="E60" s="96">
        <f t="shared" si="3"/>
        <v>0</v>
      </c>
      <c r="F60" s="98">
        <f t="shared" si="4"/>
        <v>0</v>
      </c>
      <c r="G60" s="98">
        <v>0</v>
      </c>
      <c r="H60" s="96" t="s">
        <v>537</v>
      </c>
      <c r="I60" s="98">
        <v>0</v>
      </c>
      <c r="J60" s="98">
        <v>0</v>
      </c>
      <c r="K60" s="98">
        <v>0</v>
      </c>
      <c r="L60" s="96">
        <v>0</v>
      </c>
      <c r="M60" s="98">
        <v>0</v>
      </c>
      <c r="N60" s="96">
        <f t="shared" si="5"/>
        <v>0</v>
      </c>
      <c r="O60" s="98">
        <v>0</v>
      </c>
      <c r="P60" s="98">
        <v>0</v>
      </c>
      <c r="Q60" s="98">
        <v>0</v>
      </c>
      <c r="R60" s="98">
        <v>0</v>
      </c>
      <c r="S60" s="98">
        <v>0</v>
      </c>
      <c r="T60" s="98">
        <v>0</v>
      </c>
      <c r="U60" s="98">
        <v>0</v>
      </c>
      <c r="V60" s="98">
        <v>0</v>
      </c>
      <c r="W60" s="98">
        <v>0</v>
      </c>
      <c r="X60" s="98">
        <v>0</v>
      </c>
      <c r="Y60" s="98">
        <v>0</v>
      </c>
      <c r="Z60" s="98">
        <v>0</v>
      </c>
      <c r="AA60" s="98">
        <v>0</v>
      </c>
      <c r="AB60" s="96">
        <v>0</v>
      </c>
      <c r="AC60" s="96">
        <f t="shared" si="6"/>
        <v>0</v>
      </c>
    </row>
    <row r="61" spans="1:29" x14ac:dyDescent="0.25">
      <c r="A61" s="41" t="s">
        <v>202</v>
      </c>
      <c r="B61" s="170" t="s">
        <v>145</v>
      </c>
      <c r="C61" s="96">
        <v>0</v>
      </c>
      <c r="D61" s="96">
        <v>0</v>
      </c>
      <c r="E61" s="96">
        <f t="shared" si="3"/>
        <v>0</v>
      </c>
      <c r="F61" s="98">
        <f t="shared" si="4"/>
        <v>0</v>
      </c>
      <c r="G61" s="98">
        <v>0</v>
      </c>
      <c r="H61" s="96" t="s">
        <v>537</v>
      </c>
      <c r="I61" s="98">
        <v>0</v>
      </c>
      <c r="J61" s="98">
        <v>0</v>
      </c>
      <c r="K61" s="98">
        <v>0</v>
      </c>
      <c r="L61" s="96">
        <v>0</v>
      </c>
      <c r="M61" s="98">
        <v>0</v>
      </c>
      <c r="N61" s="96">
        <f t="shared" si="5"/>
        <v>0</v>
      </c>
      <c r="O61" s="98">
        <v>0</v>
      </c>
      <c r="P61" s="98">
        <v>0</v>
      </c>
      <c r="Q61" s="98">
        <v>0</v>
      </c>
      <c r="R61" s="98">
        <v>0</v>
      </c>
      <c r="S61" s="98">
        <v>0</v>
      </c>
      <c r="T61" s="98">
        <v>0</v>
      </c>
      <c r="U61" s="98">
        <v>0</v>
      </c>
      <c r="V61" s="98">
        <v>0</v>
      </c>
      <c r="W61" s="98">
        <v>0</v>
      </c>
      <c r="X61" s="98">
        <v>0</v>
      </c>
      <c r="Y61" s="98">
        <v>0</v>
      </c>
      <c r="Z61" s="98">
        <v>0</v>
      </c>
      <c r="AA61" s="98">
        <v>0</v>
      </c>
      <c r="AB61" s="96">
        <v>0</v>
      </c>
      <c r="AC61" s="96">
        <f t="shared" si="6"/>
        <v>0</v>
      </c>
    </row>
    <row r="62" spans="1:29" x14ac:dyDescent="0.25">
      <c r="A62" s="41" t="s">
        <v>203</v>
      </c>
      <c r="B62" s="170" t="s">
        <v>143</v>
      </c>
      <c r="C62" s="96">
        <v>0</v>
      </c>
      <c r="D62" s="96">
        <v>0</v>
      </c>
      <c r="E62" s="96">
        <f t="shared" si="3"/>
        <v>0</v>
      </c>
      <c r="F62" s="98">
        <f t="shared" si="4"/>
        <v>0</v>
      </c>
      <c r="G62" s="98">
        <v>0</v>
      </c>
      <c r="H62" s="96" t="s">
        <v>537</v>
      </c>
      <c r="I62" s="98">
        <v>0</v>
      </c>
      <c r="J62" s="98">
        <v>0</v>
      </c>
      <c r="K62" s="98">
        <v>0</v>
      </c>
      <c r="L62" s="96">
        <v>0</v>
      </c>
      <c r="M62" s="98">
        <v>0</v>
      </c>
      <c r="N62" s="96">
        <f t="shared" si="5"/>
        <v>0</v>
      </c>
      <c r="O62" s="98">
        <v>0</v>
      </c>
      <c r="P62" s="98">
        <v>0</v>
      </c>
      <c r="Q62" s="98">
        <v>0</v>
      </c>
      <c r="R62" s="98">
        <v>0</v>
      </c>
      <c r="S62" s="98">
        <v>0</v>
      </c>
      <c r="T62" s="98">
        <v>0</v>
      </c>
      <c r="U62" s="98">
        <v>0</v>
      </c>
      <c r="V62" s="98">
        <v>0</v>
      </c>
      <c r="W62" s="98">
        <v>0</v>
      </c>
      <c r="X62" s="98">
        <v>0</v>
      </c>
      <c r="Y62" s="98">
        <v>0</v>
      </c>
      <c r="Z62" s="98">
        <v>0</v>
      </c>
      <c r="AA62" s="98">
        <v>0</v>
      </c>
      <c r="AB62" s="96">
        <v>0</v>
      </c>
      <c r="AC62" s="96">
        <f t="shared" si="6"/>
        <v>0</v>
      </c>
    </row>
    <row r="63" spans="1:29" x14ac:dyDescent="0.25">
      <c r="A63" s="41" t="s">
        <v>204</v>
      </c>
      <c r="B63" s="170" t="s">
        <v>206</v>
      </c>
      <c r="C63" s="96">
        <v>0</v>
      </c>
      <c r="D63" s="96">
        <v>0</v>
      </c>
      <c r="E63" s="96">
        <f t="shared" si="3"/>
        <v>0</v>
      </c>
      <c r="F63" s="98">
        <f t="shared" si="4"/>
        <v>0</v>
      </c>
      <c r="G63" s="98">
        <v>0</v>
      </c>
      <c r="H63" s="96" t="s">
        <v>537</v>
      </c>
      <c r="I63" s="98">
        <v>0</v>
      </c>
      <c r="J63" s="98">
        <v>0</v>
      </c>
      <c r="K63" s="98">
        <v>0</v>
      </c>
      <c r="L63" s="96">
        <v>0</v>
      </c>
      <c r="M63" s="98">
        <v>0</v>
      </c>
      <c r="N63" s="96">
        <f t="shared" si="5"/>
        <v>0</v>
      </c>
      <c r="O63" s="98">
        <v>0</v>
      </c>
      <c r="P63" s="98">
        <v>0</v>
      </c>
      <c r="Q63" s="98">
        <v>0</v>
      </c>
      <c r="R63" s="98">
        <v>0</v>
      </c>
      <c r="S63" s="98">
        <v>0</v>
      </c>
      <c r="T63" s="98">
        <v>0</v>
      </c>
      <c r="U63" s="98">
        <v>0</v>
      </c>
      <c r="V63" s="98">
        <v>0</v>
      </c>
      <c r="W63" s="98">
        <v>0</v>
      </c>
      <c r="X63" s="98">
        <v>0</v>
      </c>
      <c r="Y63" s="98">
        <v>0</v>
      </c>
      <c r="Z63" s="98">
        <v>0</v>
      </c>
      <c r="AA63" s="98">
        <v>0</v>
      </c>
      <c r="AB63" s="96">
        <v>0</v>
      </c>
      <c r="AC63" s="96">
        <f t="shared" si="6"/>
        <v>0</v>
      </c>
    </row>
    <row r="64" spans="1:29" ht="18.75" x14ac:dyDescent="0.25">
      <c r="A64" s="41" t="s">
        <v>205</v>
      </c>
      <c r="B64" s="168" t="s">
        <v>543</v>
      </c>
      <c r="C64" s="96">
        <v>0</v>
      </c>
      <c r="D64" s="96">
        <v>0</v>
      </c>
      <c r="E64" s="96">
        <f t="shared" si="3"/>
        <v>0</v>
      </c>
      <c r="F64" s="98">
        <f t="shared" si="4"/>
        <v>0</v>
      </c>
      <c r="G64" s="98">
        <v>0</v>
      </c>
      <c r="H64" s="96" t="s">
        <v>537</v>
      </c>
      <c r="I64" s="98">
        <v>0</v>
      </c>
      <c r="J64" s="98">
        <v>0</v>
      </c>
      <c r="K64" s="98">
        <v>0</v>
      </c>
      <c r="L64" s="96">
        <v>0</v>
      </c>
      <c r="M64" s="98">
        <v>0</v>
      </c>
      <c r="N64" s="96">
        <f t="shared" si="5"/>
        <v>0</v>
      </c>
      <c r="O64" s="98">
        <v>0</v>
      </c>
      <c r="P64" s="98">
        <v>0</v>
      </c>
      <c r="Q64" s="98">
        <v>0</v>
      </c>
      <c r="R64" s="98">
        <v>0</v>
      </c>
      <c r="S64" s="98">
        <v>0</v>
      </c>
      <c r="T64" s="98">
        <v>0</v>
      </c>
      <c r="U64" s="98">
        <v>0</v>
      </c>
      <c r="V64" s="98">
        <v>0</v>
      </c>
      <c r="W64" s="98">
        <v>0</v>
      </c>
      <c r="X64" s="98">
        <v>0</v>
      </c>
      <c r="Y64" s="98">
        <v>0</v>
      </c>
      <c r="Z64" s="98">
        <v>0</v>
      </c>
      <c r="AA64" s="98">
        <v>0</v>
      </c>
      <c r="AB64" s="96">
        <v>0</v>
      </c>
      <c r="AC64" s="96">
        <f t="shared" si="6"/>
        <v>0</v>
      </c>
    </row>
    <row r="65" spans="1:28" x14ac:dyDescent="0.25">
      <c r="A65" s="38"/>
      <c r="B65" s="33"/>
      <c r="C65" s="33"/>
      <c r="D65" s="33"/>
      <c r="E65" s="33"/>
      <c r="F65" s="33"/>
      <c r="G65" s="33"/>
    </row>
    <row r="66" spans="1:28" ht="54" customHeight="1" x14ac:dyDescent="0.25">
      <c r="B66" s="432"/>
      <c r="C66" s="432"/>
      <c r="D66" s="432"/>
      <c r="E66" s="432"/>
      <c r="F66" s="432"/>
      <c r="G66" s="35"/>
      <c r="H66" s="37"/>
      <c r="I66" s="37"/>
      <c r="J66" s="37"/>
      <c r="K66" s="37"/>
      <c r="L66" s="37"/>
      <c r="M66" s="37"/>
      <c r="N66" s="337"/>
      <c r="O66" s="37"/>
      <c r="P66" s="37"/>
      <c r="Q66" s="37"/>
      <c r="R66" s="37"/>
      <c r="S66" s="37"/>
      <c r="T66" s="37"/>
      <c r="U66" s="37"/>
      <c r="V66" s="37"/>
      <c r="W66" s="37"/>
      <c r="X66" s="37"/>
      <c r="Y66" s="37"/>
      <c r="Z66" s="37"/>
      <c r="AA66" s="37"/>
      <c r="AB66" s="37"/>
    </row>
    <row r="68" spans="1:28" ht="50.25" customHeight="1" x14ac:dyDescent="0.25">
      <c r="B68" s="432"/>
      <c r="C68" s="432"/>
      <c r="D68" s="432"/>
      <c r="E68" s="432"/>
      <c r="F68" s="432"/>
      <c r="G68" s="35"/>
    </row>
    <row r="70" spans="1:28" ht="36.75" customHeight="1" x14ac:dyDescent="0.25">
      <c r="B70" s="432"/>
      <c r="C70" s="432"/>
      <c r="D70" s="432"/>
      <c r="E70" s="432"/>
      <c r="F70" s="432"/>
      <c r="G70" s="35"/>
    </row>
    <row r="72" spans="1:28" ht="51" customHeight="1" x14ac:dyDescent="0.25">
      <c r="B72" s="432"/>
      <c r="C72" s="432"/>
      <c r="D72" s="432"/>
      <c r="E72" s="432"/>
      <c r="F72" s="432"/>
      <c r="G72" s="35"/>
    </row>
    <row r="73" spans="1:28" ht="32.25" customHeight="1" x14ac:dyDescent="0.25">
      <c r="B73" s="432"/>
      <c r="C73" s="432"/>
      <c r="D73" s="432"/>
      <c r="E73" s="432"/>
      <c r="F73" s="432"/>
      <c r="G73" s="35"/>
    </row>
    <row r="74" spans="1:28" ht="51.75" customHeight="1" x14ac:dyDescent="0.25">
      <c r="B74" s="432"/>
      <c r="C74" s="432"/>
      <c r="D74" s="432"/>
      <c r="E74" s="432"/>
      <c r="F74" s="432"/>
      <c r="G74" s="35"/>
    </row>
    <row r="75" spans="1:28" ht="21.75" customHeight="1" x14ac:dyDescent="0.25">
      <c r="B75" s="430"/>
      <c r="C75" s="430"/>
      <c r="D75" s="430"/>
      <c r="E75" s="430"/>
      <c r="F75" s="430"/>
      <c r="G75" s="34"/>
    </row>
    <row r="76" spans="1:28" ht="23.25" customHeight="1" x14ac:dyDescent="0.25"/>
    <row r="77" spans="1:28" ht="18.75" customHeight="1" x14ac:dyDescent="0.25">
      <c r="B77" s="431"/>
      <c r="C77" s="431"/>
      <c r="D77" s="431"/>
      <c r="E77" s="431"/>
      <c r="F77" s="431"/>
      <c r="G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M1" zoomScale="70" zoomScaleSheetLayoutView="70" workbookViewId="0">
      <selection activeCell="K27" sqref="K27"/>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48" t="str">
        <f>'1. паспорт местоположение'!A5:C5</f>
        <v>Год раскрытия информации: 2023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2"/>
    </row>
    <row r="7" spans="1:48" ht="18.75" x14ac:dyDescent="0.25">
      <c r="A7" s="358" t="s">
        <v>7</v>
      </c>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358"/>
      <c r="AB7" s="358"/>
      <c r="AC7" s="358"/>
      <c r="AD7" s="358"/>
      <c r="AE7" s="358"/>
      <c r="AF7" s="358"/>
      <c r="AG7" s="358"/>
      <c r="AH7" s="358"/>
      <c r="AI7" s="358"/>
      <c r="AJ7" s="358"/>
      <c r="AK7" s="358"/>
      <c r="AL7" s="358"/>
      <c r="AM7" s="358"/>
      <c r="AN7" s="358"/>
      <c r="AO7" s="358"/>
      <c r="AP7" s="358"/>
      <c r="AQ7" s="358"/>
      <c r="AR7" s="358"/>
      <c r="AS7" s="358"/>
      <c r="AT7" s="358"/>
      <c r="AU7" s="358"/>
      <c r="AV7" s="358"/>
    </row>
    <row r="8" spans="1:48" ht="18.75" x14ac:dyDescent="0.25">
      <c r="A8" s="358"/>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c r="AD8" s="358"/>
      <c r="AE8" s="358"/>
      <c r="AF8" s="358"/>
      <c r="AG8" s="358"/>
      <c r="AH8" s="358"/>
      <c r="AI8" s="358"/>
      <c r="AJ8" s="358"/>
      <c r="AK8" s="358"/>
      <c r="AL8" s="358"/>
      <c r="AM8" s="358"/>
      <c r="AN8" s="358"/>
      <c r="AO8" s="358"/>
      <c r="AP8" s="358"/>
      <c r="AQ8" s="358"/>
      <c r="AR8" s="358"/>
      <c r="AS8" s="358"/>
      <c r="AT8" s="358"/>
      <c r="AU8" s="358"/>
      <c r="AV8" s="358"/>
    </row>
    <row r="9" spans="1:48" ht="15.75" x14ac:dyDescent="0.25">
      <c r="A9" s="353" t="str">
        <f>'1. паспорт местоположение'!A9:C9</f>
        <v xml:space="preserve">Акционерное общество "Западная энергетическая компания"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54" t="s">
        <v>6</v>
      </c>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c r="AB10" s="354"/>
      <c r="AC10" s="354"/>
      <c r="AD10" s="354"/>
      <c r="AE10" s="354"/>
      <c r="AF10" s="354"/>
      <c r="AG10" s="354"/>
      <c r="AH10" s="354"/>
      <c r="AI10" s="354"/>
      <c r="AJ10" s="354"/>
      <c r="AK10" s="354"/>
      <c r="AL10" s="354"/>
      <c r="AM10" s="354"/>
      <c r="AN10" s="354"/>
      <c r="AO10" s="354"/>
      <c r="AP10" s="354"/>
      <c r="AQ10" s="354"/>
      <c r="AR10" s="354"/>
      <c r="AS10" s="354"/>
      <c r="AT10" s="354"/>
      <c r="AU10" s="354"/>
      <c r="AV10" s="354"/>
    </row>
    <row r="11" spans="1:48" ht="18.75" x14ac:dyDescent="0.25">
      <c r="A11" s="358"/>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c r="AD11" s="358"/>
      <c r="AE11" s="358"/>
      <c r="AF11" s="358"/>
      <c r="AG11" s="358"/>
      <c r="AH11" s="358"/>
      <c r="AI11" s="358"/>
      <c r="AJ11" s="358"/>
      <c r="AK11" s="358"/>
      <c r="AL11" s="358"/>
      <c r="AM11" s="358"/>
      <c r="AN11" s="358"/>
      <c r="AO11" s="358"/>
      <c r="AP11" s="358"/>
      <c r="AQ11" s="358"/>
      <c r="AR11" s="358"/>
      <c r="AS11" s="358"/>
      <c r="AT11" s="358"/>
      <c r="AU11" s="358"/>
      <c r="AV11" s="358"/>
    </row>
    <row r="12" spans="1:48" ht="15.75" x14ac:dyDescent="0.25">
      <c r="A12" s="359" t="str">
        <f>'1. паспорт местоположение'!A12:C12</f>
        <v>M_22-20</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9"/>
      <c r="AJ12" s="359"/>
      <c r="AK12" s="359"/>
      <c r="AL12" s="359"/>
      <c r="AM12" s="359"/>
      <c r="AN12" s="359"/>
      <c r="AO12" s="359"/>
      <c r="AP12" s="359"/>
      <c r="AQ12" s="359"/>
      <c r="AR12" s="359"/>
      <c r="AS12" s="359"/>
      <c r="AT12" s="359"/>
      <c r="AU12" s="359"/>
      <c r="AV12" s="359"/>
    </row>
    <row r="13" spans="1:48" ht="15.75" x14ac:dyDescent="0.25">
      <c r="A13" s="354" t="s">
        <v>5</v>
      </c>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8.75"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ht="15.75" x14ac:dyDescent="0.25">
      <c r="A15" s="353" t="str">
        <f>'1. паспорт местоположение'!A15:C15</f>
        <v>Строительство сетей электроснабжения многоквартирных ж/домов в г.Пионерском, ул. Октябрьская  КН:39:19:010314:37</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54" t="s">
        <v>4</v>
      </c>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354"/>
      <c r="AH16" s="354"/>
      <c r="AI16" s="354"/>
      <c r="AJ16" s="354"/>
      <c r="AK16" s="354"/>
      <c r="AL16" s="354"/>
      <c r="AM16" s="354"/>
      <c r="AN16" s="354"/>
      <c r="AO16" s="354"/>
      <c r="AP16" s="354"/>
      <c r="AQ16" s="354"/>
      <c r="AR16" s="354"/>
      <c r="AS16" s="354"/>
      <c r="AT16" s="354"/>
      <c r="AU16" s="354"/>
      <c r="AV16" s="354"/>
    </row>
    <row r="17" spans="1:4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c r="AH17" s="381"/>
      <c r="AI17" s="381"/>
      <c r="AJ17" s="381"/>
      <c r="AK17" s="381"/>
      <c r="AL17" s="381"/>
      <c r="AM17" s="381"/>
      <c r="AN17" s="381"/>
      <c r="AO17" s="381"/>
      <c r="AP17" s="381"/>
      <c r="AQ17" s="381"/>
      <c r="AR17" s="381"/>
      <c r="AS17" s="381"/>
      <c r="AT17" s="381"/>
      <c r="AU17" s="381"/>
      <c r="AV17" s="381"/>
    </row>
    <row r="18" spans="1:48" ht="14.25" customHeight="1"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c r="AJ18" s="381"/>
      <c r="AK18" s="381"/>
      <c r="AL18" s="381"/>
      <c r="AM18" s="381"/>
      <c r="AN18" s="381"/>
      <c r="AO18" s="381"/>
      <c r="AP18" s="381"/>
      <c r="AQ18" s="381"/>
      <c r="AR18" s="381"/>
      <c r="AS18" s="381"/>
      <c r="AT18" s="381"/>
      <c r="AU18" s="381"/>
      <c r="AV18" s="381"/>
    </row>
    <row r="19" spans="1:4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c r="AB19" s="381"/>
      <c r="AC19" s="381"/>
      <c r="AD19" s="381"/>
      <c r="AE19" s="381"/>
      <c r="AF19" s="381"/>
      <c r="AG19" s="381"/>
      <c r="AH19" s="381"/>
      <c r="AI19" s="381"/>
      <c r="AJ19" s="381"/>
      <c r="AK19" s="381"/>
      <c r="AL19" s="381"/>
      <c r="AM19" s="381"/>
      <c r="AN19" s="381"/>
      <c r="AO19" s="381"/>
      <c r="AP19" s="381"/>
      <c r="AQ19" s="381"/>
      <c r="AR19" s="381"/>
      <c r="AS19" s="381"/>
      <c r="AT19" s="381"/>
      <c r="AU19" s="381"/>
      <c r="AV19" s="381"/>
    </row>
    <row r="20" spans="1:48"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381"/>
      <c r="AB20" s="381"/>
      <c r="AC20" s="381"/>
      <c r="AD20" s="381"/>
      <c r="AE20" s="381"/>
      <c r="AF20" s="381"/>
      <c r="AG20" s="381"/>
      <c r="AH20" s="381"/>
      <c r="AI20" s="381"/>
      <c r="AJ20" s="381"/>
      <c r="AK20" s="381"/>
      <c r="AL20" s="381"/>
      <c r="AM20" s="381"/>
      <c r="AN20" s="381"/>
      <c r="AO20" s="381"/>
      <c r="AP20" s="381"/>
      <c r="AQ20" s="381"/>
      <c r="AR20" s="381"/>
      <c r="AS20" s="381"/>
      <c r="AT20" s="381"/>
      <c r="AU20" s="381"/>
      <c r="AV20" s="381"/>
    </row>
    <row r="21" spans="1:48" x14ac:dyDescent="0.25">
      <c r="A21" s="434" t="s">
        <v>406</v>
      </c>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434"/>
      <c r="AB21" s="434"/>
      <c r="AC21" s="434"/>
      <c r="AD21" s="434"/>
      <c r="AE21" s="434"/>
      <c r="AF21" s="434"/>
      <c r="AG21" s="434"/>
      <c r="AH21" s="434"/>
      <c r="AI21" s="434"/>
      <c r="AJ21" s="434"/>
      <c r="AK21" s="434"/>
      <c r="AL21" s="434"/>
      <c r="AM21" s="434"/>
      <c r="AN21" s="434"/>
      <c r="AO21" s="434"/>
      <c r="AP21" s="434"/>
      <c r="AQ21" s="434"/>
      <c r="AR21" s="434"/>
      <c r="AS21" s="434"/>
      <c r="AT21" s="434"/>
      <c r="AU21" s="434"/>
      <c r="AV21" s="434"/>
    </row>
    <row r="22" spans="1:48" ht="58.5" customHeight="1" x14ac:dyDescent="0.25">
      <c r="A22" s="435" t="s">
        <v>50</v>
      </c>
      <c r="B22" s="441" t="s">
        <v>22</v>
      </c>
      <c r="C22" s="438" t="s">
        <v>49</v>
      </c>
      <c r="D22" s="438" t="s">
        <v>48</v>
      </c>
      <c r="E22" s="444" t="s">
        <v>416</v>
      </c>
      <c r="F22" s="445"/>
      <c r="G22" s="445"/>
      <c r="H22" s="445"/>
      <c r="I22" s="445"/>
      <c r="J22" s="445"/>
      <c r="K22" s="445"/>
      <c r="L22" s="446"/>
      <c r="M22" s="438" t="s">
        <v>47</v>
      </c>
      <c r="N22" s="438" t="s">
        <v>46</v>
      </c>
      <c r="O22" s="438" t="s">
        <v>45</v>
      </c>
      <c r="P22" s="447" t="s">
        <v>228</v>
      </c>
      <c r="Q22" s="447" t="s">
        <v>44</v>
      </c>
      <c r="R22" s="447" t="s">
        <v>43</v>
      </c>
      <c r="S22" s="447" t="s">
        <v>42</v>
      </c>
      <c r="T22" s="447"/>
      <c r="U22" s="448" t="s">
        <v>41</v>
      </c>
      <c r="V22" s="448" t="s">
        <v>40</v>
      </c>
      <c r="W22" s="447" t="s">
        <v>39</v>
      </c>
      <c r="X22" s="447" t="s">
        <v>38</v>
      </c>
      <c r="Y22" s="447" t="s">
        <v>37</v>
      </c>
      <c r="Z22" s="448" t="s">
        <v>36</v>
      </c>
      <c r="AA22" s="447" t="s">
        <v>35</v>
      </c>
      <c r="AB22" s="447" t="s">
        <v>34</v>
      </c>
      <c r="AC22" s="447" t="s">
        <v>33</v>
      </c>
      <c r="AD22" s="447" t="s">
        <v>32</v>
      </c>
      <c r="AE22" s="447" t="s">
        <v>31</v>
      </c>
      <c r="AF22" s="447" t="s">
        <v>30</v>
      </c>
      <c r="AG22" s="447"/>
      <c r="AH22" s="447"/>
      <c r="AI22" s="447"/>
      <c r="AJ22" s="447"/>
      <c r="AK22" s="447"/>
      <c r="AL22" s="447" t="s">
        <v>29</v>
      </c>
      <c r="AM22" s="447"/>
      <c r="AN22" s="447"/>
      <c r="AO22" s="447"/>
      <c r="AP22" s="447" t="s">
        <v>28</v>
      </c>
      <c r="AQ22" s="447"/>
      <c r="AR22" s="447" t="s">
        <v>27</v>
      </c>
      <c r="AS22" s="447" t="s">
        <v>26</v>
      </c>
      <c r="AT22" s="447" t="s">
        <v>25</v>
      </c>
      <c r="AU22" s="447" t="s">
        <v>24</v>
      </c>
      <c r="AV22" s="449" t="s">
        <v>23</v>
      </c>
    </row>
    <row r="23" spans="1:48" ht="64.5" customHeight="1" x14ac:dyDescent="0.25">
      <c r="A23" s="436"/>
      <c r="B23" s="442"/>
      <c r="C23" s="439"/>
      <c r="D23" s="439"/>
      <c r="E23" s="451" t="s">
        <v>21</v>
      </c>
      <c r="F23" s="453" t="s">
        <v>126</v>
      </c>
      <c r="G23" s="453" t="s">
        <v>125</v>
      </c>
      <c r="H23" s="453" t="s">
        <v>124</v>
      </c>
      <c r="I23" s="457" t="s">
        <v>353</v>
      </c>
      <c r="J23" s="457" t="s">
        <v>354</v>
      </c>
      <c r="K23" s="457" t="s">
        <v>355</v>
      </c>
      <c r="L23" s="453" t="s">
        <v>74</v>
      </c>
      <c r="M23" s="439"/>
      <c r="N23" s="439"/>
      <c r="O23" s="439"/>
      <c r="P23" s="447"/>
      <c r="Q23" s="447"/>
      <c r="R23" s="447"/>
      <c r="S23" s="455" t="s">
        <v>2</v>
      </c>
      <c r="T23" s="455" t="s">
        <v>9</v>
      </c>
      <c r="U23" s="448"/>
      <c r="V23" s="448"/>
      <c r="W23" s="447"/>
      <c r="X23" s="447"/>
      <c r="Y23" s="447"/>
      <c r="Z23" s="447"/>
      <c r="AA23" s="447"/>
      <c r="AB23" s="447"/>
      <c r="AC23" s="447"/>
      <c r="AD23" s="447"/>
      <c r="AE23" s="447"/>
      <c r="AF23" s="447" t="s">
        <v>20</v>
      </c>
      <c r="AG23" s="447"/>
      <c r="AH23" s="447" t="s">
        <v>19</v>
      </c>
      <c r="AI23" s="447"/>
      <c r="AJ23" s="438" t="s">
        <v>18</v>
      </c>
      <c r="AK23" s="438" t="s">
        <v>17</v>
      </c>
      <c r="AL23" s="438" t="s">
        <v>16</v>
      </c>
      <c r="AM23" s="438" t="s">
        <v>15</v>
      </c>
      <c r="AN23" s="438" t="s">
        <v>14</v>
      </c>
      <c r="AO23" s="438" t="s">
        <v>13</v>
      </c>
      <c r="AP23" s="438" t="s">
        <v>12</v>
      </c>
      <c r="AQ23" s="438" t="s">
        <v>9</v>
      </c>
      <c r="AR23" s="447"/>
      <c r="AS23" s="447"/>
      <c r="AT23" s="447"/>
      <c r="AU23" s="447"/>
      <c r="AV23" s="450"/>
    </row>
    <row r="24" spans="1:48" ht="96.75" customHeight="1" x14ac:dyDescent="0.25">
      <c r="A24" s="437"/>
      <c r="B24" s="443"/>
      <c r="C24" s="440"/>
      <c r="D24" s="440"/>
      <c r="E24" s="452"/>
      <c r="F24" s="454"/>
      <c r="G24" s="454"/>
      <c r="H24" s="454"/>
      <c r="I24" s="458"/>
      <c r="J24" s="458"/>
      <c r="K24" s="458"/>
      <c r="L24" s="454"/>
      <c r="M24" s="440"/>
      <c r="N24" s="440"/>
      <c r="O24" s="440"/>
      <c r="P24" s="447"/>
      <c r="Q24" s="447"/>
      <c r="R24" s="447"/>
      <c r="S24" s="456"/>
      <c r="T24" s="456"/>
      <c r="U24" s="448"/>
      <c r="V24" s="448"/>
      <c r="W24" s="447"/>
      <c r="X24" s="447"/>
      <c r="Y24" s="447"/>
      <c r="Z24" s="447"/>
      <c r="AA24" s="447"/>
      <c r="AB24" s="447"/>
      <c r="AC24" s="447"/>
      <c r="AD24" s="447"/>
      <c r="AE24" s="447"/>
      <c r="AF24" s="140" t="s">
        <v>11</v>
      </c>
      <c r="AG24" s="140" t="s">
        <v>10</v>
      </c>
      <c r="AH24" s="141" t="s">
        <v>2</v>
      </c>
      <c r="AI24" s="141" t="s">
        <v>9</v>
      </c>
      <c r="AJ24" s="440"/>
      <c r="AK24" s="440"/>
      <c r="AL24" s="440"/>
      <c r="AM24" s="440"/>
      <c r="AN24" s="440"/>
      <c r="AO24" s="440"/>
      <c r="AP24" s="440"/>
      <c r="AQ24" s="440"/>
      <c r="AR24" s="447"/>
      <c r="AS24" s="447"/>
      <c r="AT24" s="447"/>
      <c r="AU24" s="447"/>
      <c r="AV24" s="450"/>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63" x14ac:dyDescent="0.25">
      <c r="A26" s="145">
        <v>1</v>
      </c>
      <c r="B26" s="146" t="str">
        <f>A9</f>
        <v xml:space="preserve">Акционерное общество "Западная энергетическая компания" </v>
      </c>
      <c r="C26" s="146" t="s">
        <v>62</v>
      </c>
      <c r="D26" s="160">
        <f>'6.1. Паспорт сетевой график'!D53</f>
        <v>44784</v>
      </c>
      <c r="E26" s="146"/>
      <c r="F26" s="146"/>
      <c r="G26" s="146">
        <f>0.63*2</f>
        <v>1.26</v>
      </c>
      <c r="H26" s="146"/>
      <c r="I26" s="146"/>
      <c r="J26" s="146"/>
      <c r="K26" s="146">
        <f>0.016*2</f>
        <v>3.2000000000000001E-2</v>
      </c>
      <c r="L26" s="146"/>
      <c r="M26" s="146" t="s">
        <v>611</v>
      </c>
      <c r="N26" s="146" t="s">
        <v>596</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70" zoomScale="90" zoomScaleNormal="90" zoomScaleSheetLayoutView="90" workbookViewId="0">
      <selection activeCell="B24" sqref="B24"/>
    </sheetView>
  </sheetViews>
  <sheetFormatPr defaultRowHeight="15.75" x14ac:dyDescent="0.25"/>
  <cols>
    <col min="1" max="2" width="66.140625" style="56"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59" t="str">
        <f>'1. паспорт местоположение'!A5:C5</f>
        <v>Год раскрытия информации: 2023 год</v>
      </c>
      <c r="B5" s="459"/>
      <c r="C5" s="52"/>
      <c r="D5" s="52"/>
      <c r="E5" s="52"/>
      <c r="F5" s="52"/>
      <c r="G5" s="52"/>
      <c r="H5" s="52"/>
    </row>
    <row r="6" spans="1:8" ht="18.75" x14ac:dyDescent="0.3">
      <c r="A6" s="83"/>
      <c r="B6" s="83"/>
      <c r="C6" s="83"/>
      <c r="D6" s="83"/>
      <c r="E6" s="83"/>
      <c r="F6" s="83"/>
      <c r="G6" s="83"/>
      <c r="H6" s="83"/>
    </row>
    <row r="7" spans="1:8" ht="18.75" x14ac:dyDescent="0.25">
      <c r="A7" s="358" t="s">
        <v>7</v>
      </c>
      <c r="B7" s="358"/>
      <c r="C7" s="107"/>
      <c r="D7" s="107"/>
      <c r="E7" s="107"/>
      <c r="F7" s="107"/>
      <c r="G7" s="107"/>
      <c r="H7" s="107"/>
    </row>
    <row r="8" spans="1:8" ht="18.75" x14ac:dyDescent="0.25">
      <c r="A8" s="107"/>
      <c r="B8" s="107"/>
      <c r="C8" s="107"/>
      <c r="D8" s="107"/>
      <c r="E8" s="107"/>
      <c r="F8" s="107"/>
      <c r="G8" s="107"/>
      <c r="H8" s="107"/>
    </row>
    <row r="9" spans="1:8" x14ac:dyDescent="0.25">
      <c r="A9" s="353" t="str">
        <f>'1. паспорт местоположение'!A9:C9</f>
        <v xml:space="preserve">Акционерное общество "Западная энергетическая компания" </v>
      </c>
      <c r="B9" s="353"/>
      <c r="C9" s="109"/>
      <c r="D9" s="109"/>
      <c r="E9" s="109"/>
      <c r="F9" s="109"/>
      <c r="G9" s="109"/>
      <c r="H9" s="109"/>
    </row>
    <row r="10" spans="1:8" x14ac:dyDescent="0.25">
      <c r="A10" s="354" t="s">
        <v>6</v>
      </c>
      <c r="B10" s="354"/>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53" t="str">
        <f>'1. паспорт местоположение'!A12:C12</f>
        <v>M_22-20</v>
      </c>
      <c r="B12" s="353"/>
      <c r="C12" s="109"/>
      <c r="D12" s="109"/>
      <c r="E12" s="109"/>
      <c r="F12" s="109"/>
      <c r="G12" s="109"/>
      <c r="H12" s="109"/>
    </row>
    <row r="13" spans="1:8" x14ac:dyDescent="0.25">
      <c r="A13" s="354" t="s">
        <v>5</v>
      </c>
      <c r="B13" s="354"/>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80" t="str">
        <f>'1. паспорт местоположение'!A15:C15</f>
        <v>Строительство сетей электроснабжения многоквартирных ж/домов в г.Пионерском, ул. Октябрьская  КН:39:19:010314:37</v>
      </c>
      <c r="B15" s="380"/>
      <c r="C15" s="109"/>
      <c r="D15" s="109"/>
      <c r="E15" s="109"/>
      <c r="F15" s="109"/>
      <c r="G15" s="109"/>
      <c r="H15" s="109"/>
    </row>
    <row r="16" spans="1:8" x14ac:dyDescent="0.25">
      <c r="A16" s="354" t="s">
        <v>4</v>
      </c>
      <c r="B16" s="354"/>
      <c r="C16" s="110"/>
      <c r="D16" s="110"/>
      <c r="E16" s="110"/>
      <c r="F16" s="110"/>
      <c r="G16" s="110"/>
      <c r="H16" s="110"/>
    </row>
    <row r="17" spans="1:2" x14ac:dyDescent="0.25">
      <c r="B17" s="57"/>
    </row>
    <row r="18" spans="1:2" ht="33.75" customHeight="1" x14ac:dyDescent="0.25">
      <c r="A18" s="460" t="s">
        <v>407</v>
      </c>
      <c r="B18" s="461"/>
    </row>
    <row r="19" spans="1:2" x14ac:dyDescent="0.25">
      <c r="B19" s="24"/>
    </row>
    <row r="20" spans="1:2" ht="16.5" thickBot="1" x14ac:dyDescent="0.3">
      <c r="B20" s="58"/>
    </row>
    <row r="21" spans="1:2" ht="34.15" customHeight="1" thickBot="1" x14ac:dyDescent="0.3">
      <c r="A21" s="59" t="s">
        <v>304</v>
      </c>
      <c r="B21" s="60" t="str">
        <f>A15</f>
        <v>Строительство сетей электроснабжения многоквартирных ж/домов в г.Пионерском, ул. Октябрьская  КН:39:19:010314:37</v>
      </c>
    </row>
    <row r="22" spans="1:2" ht="30" customHeight="1" thickBot="1" x14ac:dyDescent="0.3">
      <c r="A22" s="59" t="s">
        <v>305</v>
      </c>
      <c r="B22" s="60" t="str">
        <f>'1. паспорт местоположение'!C27</f>
        <v>г. Пионерский</v>
      </c>
    </row>
    <row r="23" spans="1:2" ht="30.75" thickBot="1" x14ac:dyDescent="0.3">
      <c r="A23" s="59" t="s">
        <v>289</v>
      </c>
      <c r="B23" s="61" t="str">
        <f>B21</f>
        <v>Строительство сетей электроснабжения многоквартирных ж/домов в г.Пионерском, ул. Октябрьская  КН:39:19:010314:37</v>
      </c>
    </row>
    <row r="24" spans="1:2" ht="16.5" thickBot="1" x14ac:dyDescent="0.3">
      <c r="A24" s="59" t="s">
        <v>306</v>
      </c>
      <c r="B24" s="61">
        <f>'6.2. Паспорт фин осв ввод'!D45</f>
        <v>0.4</v>
      </c>
    </row>
    <row r="25" spans="1:2" ht="16.5" thickBot="1" x14ac:dyDescent="0.3">
      <c r="A25" s="62" t="s">
        <v>307</v>
      </c>
      <c r="B25" s="333" t="str">
        <f>'6.1. Паспорт сетевой график'!H53</f>
        <v>нд</v>
      </c>
    </row>
    <row r="26" spans="1:2" ht="16.5" thickBot="1" x14ac:dyDescent="0.3">
      <c r="A26" s="63" t="s">
        <v>308</v>
      </c>
      <c r="B26" s="329" t="s">
        <v>635</v>
      </c>
    </row>
    <row r="27" spans="1:2" ht="29.25" thickBot="1" x14ac:dyDescent="0.3">
      <c r="A27" s="70" t="s">
        <v>622</v>
      </c>
      <c r="B27" s="330">
        <f>'6.2. Паспорт фин осв ввод'!D24</f>
        <v>6.1000091999999997</v>
      </c>
    </row>
    <row r="28" spans="1:2" ht="42" customHeight="1" thickBot="1" x14ac:dyDescent="0.3">
      <c r="A28" s="65" t="s">
        <v>309</v>
      </c>
      <c r="B28" s="65" t="s">
        <v>597</v>
      </c>
    </row>
    <row r="29" spans="1:2" ht="29.25" thickBot="1" x14ac:dyDescent="0.3">
      <c r="A29" s="71" t="s">
        <v>310</v>
      </c>
      <c r="B29" s="101"/>
    </row>
    <row r="30" spans="1:2" ht="29.25" thickBot="1" x14ac:dyDescent="0.3">
      <c r="A30" s="71" t="s">
        <v>311</v>
      </c>
      <c r="B30" s="101"/>
    </row>
    <row r="31" spans="1:2" ht="16.5" thickBot="1" x14ac:dyDescent="0.3">
      <c r="A31" s="65" t="s">
        <v>312</v>
      </c>
      <c r="B31" s="101"/>
    </row>
    <row r="32" spans="1:2" ht="29.25" thickBot="1" x14ac:dyDescent="0.3">
      <c r="A32" s="71" t="s">
        <v>313</v>
      </c>
      <c r="B32" s="101"/>
    </row>
    <row r="33" spans="1:3" s="151" customFormat="1" ht="16.5" thickBot="1" x14ac:dyDescent="0.3">
      <c r="A33" s="158"/>
      <c r="B33" s="159"/>
      <c r="C33" s="151">
        <v>10</v>
      </c>
    </row>
    <row r="34" spans="1:3" ht="16.5" thickBot="1" x14ac:dyDescent="0.3">
      <c r="A34" s="65" t="s">
        <v>315</v>
      </c>
      <c r="B34" s="91"/>
    </row>
    <row r="35" spans="1:3" ht="16.5" thickBot="1" x14ac:dyDescent="0.3">
      <c r="A35" s="65" t="s">
        <v>316</v>
      </c>
      <c r="B35" s="101"/>
      <c r="C35" s="32">
        <v>1</v>
      </c>
    </row>
    <row r="36" spans="1:3" ht="16.5" thickBot="1" x14ac:dyDescent="0.3">
      <c r="A36" s="65" t="s">
        <v>317</v>
      </c>
      <c r="B36" s="101"/>
      <c r="C36" s="32">
        <v>2</v>
      </c>
    </row>
    <row r="37" spans="1:3" s="151" customFormat="1" ht="16.5" thickBot="1" x14ac:dyDescent="0.3">
      <c r="A37" s="89" t="s">
        <v>314</v>
      </c>
      <c r="B37" s="90"/>
      <c r="C37" s="151">
        <v>10</v>
      </c>
    </row>
    <row r="38" spans="1:3" ht="16.5" thickBot="1" x14ac:dyDescent="0.3">
      <c r="A38" s="65" t="s">
        <v>315</v>
      </c>
      <c r="B38" s="91">
        <f>B37/$B$27</f>
        <v>0</v>
      </c>
    </row>
    <row r="39" spans="1:3" ht="16.5" thickBot="1" x14ac:dyDescent="0.3">
      <c r="A39" s="65" t="s">
        <v>316</v>
      </c>
      <c r="B39" s="88"/>
      <c r="C39" s="32">
        <v>1</v>
      </c>
    </row>
    <row r="40" spans="1:3" ht="16.5" thickBot="1" x14ac:dyDescent="0.3">
      <c r="A40" s="65" t="s">
        <v>317</v>
      </c>
      <c r="B40" s="88"/>
      <c r="C40" s="32">
        <v>2</v>
      </c>
    </row>
    <row r="41" spans="1:3" ht="16.5" thickBot="1" x14ac:dyDescent="0.3">
      <c r="A41" s="89" t="s">
        <v>314</v>
      </c>
      <c r="B41" s="90"/>
      <c r="C41" s="151">
        <v>10</v>
      </c>
    </row>
    <row r="42" spans="1:3" ht="16.5" thickBot="1" x14ac:dyDescent="0.3">
      <c r="A42" s="65" t="s">
        <v>315</v>
      </c>
      <c r="B42" s="91">
        <f>B41/$B$27</f>
        <v>0</v>
      </c>
    </row>
    <row r="43" spans="1:3" ht="16.5" thickBot="1" x14ac:dyDescent="0.3">
      <c r="A43" s="65" t="s">
        <v>316</v>
      </c>
      <c r="B43" s="88"/>
      <c r="C43" s="32">
        <v>1</v>
      </c>
    </row>
    <row r="44" spans="1:3" ht="16.5" thickBot="1" x14ac:dyDescent="0.3">
      <c r="A44" s="65" t="s">
        <v>317</v>
      </c>
      <c r="B44" s="88"/>
      <c r="C44" s="32">
        <v>2</v>
      </c>
    </row>
    <row r="45" spans="1:3" ht="16.5" thickBot="1" x14ac:dyDescent="0.3">
      <c r="A45" s="89" t="s">
        <v>314</v>
      </c>
      <c r="B45" s="90"/>
      <c r="C45" s="151">
        <v>10</v>
      </c>
    </row>
    <row r="46" spans="1:3" ht="16.5" thickBot="1" x14ac:dyDescent="0.3">
      <c r="A46" s="65" t="s">
        <v>315</v>
      </c>
      <c r="B46" s="91">
        <f>B45/$B$27</f>
        <v>0</v>
      </c>
    </row>
    <row r="47" spans="1:3" ht="16.5" thickBot="1" x14ac:dyDescent="0.3">
      <c r="A47" s="65" t="s">
        <v>316</v>
      </c>
      <c r="B47" s="88"/>
      <c r="C47" s="32">
        <v>1</v>
      </c>
    </row>
    <row r="48" spans="1:3" ht="16.5" thickBot="1" x14ac:dyDescent="0.3">
      <c r="A48" s="65" t="s">
        <v>317</v>
      </c>
      <c r="B48" s="88"/>
      <c r="C48" s="32">
        <v>2</v>
      </c>
    </row>
    <row r="49" spans="1:3" ht="16.5" thickBot="1" x14ac:dyDescent="0.3">
      <c r="A49" s="89" t="s">
        <v>314</v>
      </c>
      <c r="B49" s="90"/>
      <c r="C49" s="151">
        <v>10</v>
      </c>
    </row>
    <row r="50" spans="1:3" ht="16.5" thickBot="1" x14ac:dyDescent="0.3">
      <c r="A50" s="65" t="s">
        <v>315</v>
      </c>
      <c r="B50" s="91">
        <f>B49/$B$27</f>
        <v>0</v>
      </c>
    </row>
    <row r="51" spans="1:3" ht="16.5" thickBot="1" x14ac:dyDescent="0.3">
      <c r="A51" s="65" t="s">
        <v>316</v>
      </c>
      <c r="B51" s="88"/>
      <c r="C51" s="32">
        <v>1</v>
      </c>
    </row>
    <row r="52" spans="1:3" ht="16.5" thickBot="1" x14ac:dyDescent="0.3">
      <c r="A52" s="65" t="s">
        <v>317</v>
      </c>
      <c r="B52" s="88"/>
      <c r="C52" s="32">
        <v>2</v>
      </c>
    </row>
    <row r="53" spans="1:3" ht="29.25" thickBot="1" x14ac:dyDescent="0.3">
      <c r="A53" s="71" t="s">
        <v>318</v>
      </c>
      <c r="B53" s="88">
        <f xml:space="preserve"> SUMIF(C54:C110, 20,B54:B110)</f>
        <v>0</v>
      </c>
    </row>
    <row r="54" spans="1:3" s="151" customFormat="1" ht="16.5" thickBot="1" x14ac:dyDescent="0.3">
      <c r="A54" s="89" t="s">
        <v>314</v>
      </c>
      <c r="B54" s="90"/>
      <c r="C54" s="151">
        <v>20</v>
      </c>
    </row>
    <row r="55" spans="1:3" ht="16.5" thickBot="1" x14ac:dyDescent="0.3">
      <c r="A55" s="65" t="s">
        <v>315</v>
      </c>
      <c r="B55" s="91">
        <f>B54/$B$27</f>
        <v>0</v>
      </c>
    </row>
    <row r="56" spans="1:3" ht="16.5" thickBot="1" x14ac:dyDescent="0.3">
      <c r="A56" s="65" t="s">
        <v>316</v>
      </c>
      <c r="B56" s="88"/>
      <c r="C56" s="32">
        <v>1</v>
      </c>
    </row>
    <row r="57" spans="1:3" ht="16.5" thickBot="1" x14ac:dyDescent="0.3">
      <c r="A57" s="65" t="s">
        <v>317</v>
      </c>
      <c r="B57" s="88"/>
      <c r="C57" s="32">
        <v>2</v>
      </c>
    </row>
    <row r="58" spans="1:3" s="151" customFormat="1" ht="16.5" thickBot="1" x14ac:dyDescent="0.3">
      <c r="A58" s="89" t="s">
        <v>314</v>
      </c>
      <c r="B58" s="90"/>
      <c r="C58" s="151">
        <v>20</v>
      </c>
    </row>
    <row r="59" spans="1:3" ht="16.5" thickBot="1" x14ac:dyDescent="0.3">
      <c r="A59" s="65" t="s">
        <v>315</v>
      </c>
      <c r="B59" s="91">
        <f>B58/$B$27</f>
        <v>0</v>
      </c>
    </row>
    <row r="60" spans="1:3" ht="16.5" thickBot="1" x14ac:dyDescent="0.3">
      <c r="A60" s="65" t="s">
        <v>316</v>
      </c>
      <c r="B60" s="88"/>
      <c r="C60" s="32">
        <v>1</v>
      </c>
    </row>
    <row r="61" spans="1:3" ht="16.5" thickBot="1" x14ac:dyDescent="0.3">
      <c r="A61" s="65" t="s">
        <v>317</v>
      </c>
      <c r="B61" s="88"/>
      <c r="C61" s="32">
        <v>2</v>
      </c>
    </row>
    <row r="62" spans="1:3" s="151" customFormat="1" ht="16.5" thickBot="1" x14ac:dyDescent="0.3">
      <c r="A62" s="89" t="s">
        <v>314</v>
      </c>
      <c r="B62" s="90"/>
      <c r="C62" s="151">
        <v>20</v>
      </c>
    </row>
    <row r="63" spans="1:3" ht="16.5" thickBot="1" x14ac:dyDescent="0.3">
      <c r="A63" s="65" t="s">
        <v>315</v>
      </c>
      <c r="B63" s="91">
        <f>B62/$B$27</f>
        <v>0</v>
      </c>
    </row>
    <row r="64" spans="1:3" ht="16.5" thickBot="1" x14ac:dyDescent="0.3">
      <c r="A64" s="65" t="s">
        <v>316</v>
      </c>
      <c r="B64" s="88"/>
      <c r="C64" s="32">
        <v>1</v>
      </c>
    </row>
    <row r="65" spans="1:3" ht="16.5" thickBot="1" x14ac:dyDescent="0.3">
      <c r="A65" s="65" t="s">
        <v>317</v>
      </c>
      <c r="B65" s="88"/>
      <c r="C65" s="32">
        <v>2</v>
      </c>
    </row>
    <row r="66" spans="1:3" s="151" customFormat="1" ht="16.5" thickBot="1" x14ac:dyDescent="0.3">
      <c r="A66" s="89" t="s">
        <v>314</v>
      </c>
      <c r="B66" s="90"/>
      <c r="C66" s="151">
        <v>20</v>
      </c>
    </row>
    <row r="67" spans="1:3" ht="16.5" thickBot="1" x14ac:dyDescent="0.3">
      <c r="A67" s="65" t="s">
        <v>315</v>
      </c>
      <c r="B67" s="91">
        <f>B66/$B$27</f>
        <v>0</v>
      </c>
    </row>
    <row r="68" spans="1:3" ht="16.5" thickBot="1" x14ac:dyDescent="0.3">
      <c r="A68" s="65" t="s">
        <v>316</v>
      </c>
      <c r="B68" s="88"/>
      <c r="C68" s="32">
        <v>1</v>
      </c>
    </row>
    <row r="69" spans="1:3" ht="16.5" thickBot="1" x14ac:dyDescent="0.3">
      <c r="A69" s="65" t="s">
        <v>317</v>
      </c>
      <c r="B69" s="88"/>
      <c r="C69" s="32">
        <v>2</v>
      </c>
    </row>
    <row r="70" spans="1:3" ht="29.25" thickBot="1" x14ac:dyDescent="0.3">
      <c r="A70" s="71" t="s">
        <v>319</v>
      </c>
      <c r="B70" s="88"/>
    </row>
    <row r="71" spans="1:3" s="151" customFormat="1" ht="16.5" thickBot="1" x14ac:dyDescent="0.3">
      <c r="A71" s="158"/>
      <c r="B71" s="159"/>
      <c r="C71" s="151">
        <v>30</v>
      </c>
    </row>
    <row r="72" spans="1:3" ht="16.5" thickBot="1" x14ac:dyDescent="0.3">
      <c r="A72" s="65" t="s">
        <v>315</v>
      </c>
      <c r="B72" s="91"/>
    </row>
    <row r="73" spans="1:3" ht="16.5" thickBot="1" x14ac:dyDescent="0.3">
      <c r="A73" s="65" t="s">
        <v>316</v>
      </c>
      <c r="B73" s="101"/>
      <c r="C73" s="32">
        <v>1</v>
      </c>
    </row>
    <row r="74" spans="1:3" ht="16.5" thickBot="1" x14ac:dyDescent="0.3">
      <c r="A74" s="65" t="s">
        <v>317</v>
      </c>
      <c r="B74" s="101"/>
      <c r="C74" s="32">
        <v>2</v>
      </c>
    </row>
    <row r="75" spans="1:3" s="151" customFormat="1" ht="16.5" thickBot="1" x14ac:dyDescent="0.3">
      <c r="A75" s="158"/>
      <c r="B75" s="159"/>
      <c r="C75" s="151">
        <v>30</v>
      </c>
    </row>
    <row r="76" spans="1:3" ht="16.5" thickBot="1" x14ac:dyDescent="0.3">
      <c r="A76" s="65" t="s">
        <v>315</v>
      </c>
      <c r="B76" s="91"/>
    </row>
    <row r="77" spans="1:3" ht="16.5" thickBot="1" x14ac:dyDescent="0.3">
      <c r="A77" s="65" t="s">
        <v>316</v>
      </c>
      <c r="B77" s="101"/>
      <c r="C77" s="32">
        <v>1</v>
      </c>
    </row>
    <row r="78" spans="1:3" ht="16.5" thickBot="1" x14ac:dyDescent="0.3">
      <c r="A78" s="65" t="s">
        <v>317</v>
      </c>
      <c r="B78" s="101"/>
      <c r="C78" s="32">
        <v>2</v>
      </c>
    </row>
    <row r="79" spans="1:3" s="151" customFormat="1" ht="16.5" thickBot="1" x14ac:dyDescent="0.3">
      <c r="A79" s="158"/>
      <c r="B79" s="159"/>
      <c r="C79" s="151">
        <v>30</v>
      </c>
    </row>
    <row r="80" spans="1:3" ht="16.5" thickBot="1" x14ac:dyDescent="0.3">
      <c r="A80" s="65" t="s">
        <v>315</v>
      </c>
      <c r="B80" s="91"/>
    </row>
    <row r="81" spans="1:3" ht="16.5" thickBot="1" x14ac:dyDescent="0.3">
      <c r="A81" s="65" t="s">
        <v>316</v>
      </c>
      <c r="B81" s="88"/>
      <c r="C81" s="32">
        <v>1</v>
      </c>
    </row>
    <row r="82" spans="1:3" ht="16.5" thickBot="1" x14ac:dyDescent="0.3">
      <c r="A82" s="65" t="s">
        <v>317</v>
      </c>
      <c r="B82" s="88"/>
      <c r="C82" s="32">
        <v>2</v>
      </c>
    </row>
    <row r="83" spans="1:3" s="151" customFormat="1" ht="16.5" thickBot="1" x14ac:dyDescent="0.3">
      <c r="A83" s="89" t="s">
        <v>314</v>
      </c>
      <c r="B83" s="90"/>
      <c r="C83" s="151">
        <v>30</v>
      </c>
    </row>
    <row r="84" spans="1:3" ht="16.5" thickBot="1" x14ac:dyDescent="0.3">
      <c r="A84" s="65" t="s">
        <v>315</v>
      </c>
      <c r="B84" s="91"/>
    </row>
    <row r="85" spans="1:3" ht="16.5" thickBot="1" x14ac:dyDescent="0.3">
      <c r="A85" s="65" t="s">
        <v>316</v>
      </c>
      <c r="B85" s="88"/>
      <c r="C85" s="32">
        <v>1</v>
      </c>
    </row>
    <row r="86" spans="1:3" ht="16.5" thickBot="1" x14ac:dyDescent="0.3">
      <c r="A86" s="65" t="s">
        <v>317</v>
      </c>
      <c r="B86" s="88"/>
      <c r="C86" s="32">
        <v>2</v>
      </c>
    </row>
    <row r="87" spans="1:3" s="151" customFormat="1" ht="16.5" thickBot="1" x14ac:dyDescent="0.3">
      <c r="A87" s="89" t="s">
        <v>314</v>
      </c>
      <c r="B87" s="90"/>
      <c r="C87" s="151">
        <v>30</v>
      </c>
    </row>
    <row r="88" spans="1:3" ht="16.5" thickBot="1" x14ac:dyDescent="0.3">
      <c r="A88" s="65" t="s">
        <v>315</v>
      </c>
      <c r="B88" s="91"/>
    </row>
    <row r="89" spans="1:3" ht="16.5" thickBot="1" x14ac:dyDescent="0.3">
      <c r="A89" s="65" t="s">
        <v>316</v>
      </c>
      <c r="B89" s="88"/>
      <c r="C89" s="32">
        <v>1</v>
      </c>
    </row>
    <row r="90" spans="1:3" ht="16.5" thickBot="1" x14ac:dyDescent="0.3">
      <c r="A90" s="65" t="s">
        <v>317</v>
      </c>
      <c r="B90" s="88"/>
      <c r="C90" s="32">
        <v>2</v>
      </c>
    </row>
    <row r="91" spans="1:3" s="151" customFormat="1" ht="16.5" thickBot="1" x14ac:dyDescent="0.3">
      <c r="A91" s="89" t="s">
        <v>314</v>
      </c>
      <c r="B91" s="90"/>
      <c r="C91" s="151">
        <v>30</v>
      </c>
    </row>
    <row r="92" spans="1:3" ht="16.5" thickBot="1" x14ac:dyDescent="0.3">
      <c r="A92" s="65" t="s">
        <v>315</v>
      </c>
      <c r="B92" s="91"/>
    </row>
    <row r="93" spans="1:3" ht="16.5" thickBot="1" x14ac:dyDescent="0.3">
      <c r="A93" s="65" t="s">
        <v>316</v>
      </c>
      <c r="B93" s="88"/>
      <c r="C93" s="32">
        <v>1</v>
      </c>
    </row>
    <row r="94" spans="1:3" ht="16.5" thickBot="1" x14ac:dyDescent="0.3">
      <c r="A94" s="65" t="s">
        <v>317</v>
      </c>
      <c r="B94" s="88"/>
      <c r="C94" s="32">
        <v>2</v>
      </c>
    </row>
    <row r="95" spans="1:3" s="151" customFormat="1" ht="16.5" thickBot="1" x14ac:dyDescent="0.3">
      <c r="A95" s="89" t="s">
        <v>314</v>
      </c>
      <c r="B95" s="90"/>
      <c r="C95" s="151">
        <v>30</v>
      </c>
    </row>
    <row r="96" spans="1:3" ht="16.5" thickBot="1" x14ac:dyDescent="0.3">
      <c r="A96" s="65" t="s">
        <v>315</v>
      </c>
      <c r="B96" s="91"/>
    </row>
    <row r="97" spans="1:3" ht="16.5" thickBot="1" x14ac:dyDescent="0.3">
      <c r="A97" s="65" t="s">
        <v>316</v>
      </c>
      <c r="B97" s="88"/>
      <c r="C97" s="32">
        <v>1</v>
      </c>
    </row>
    <row r="98" spans="1:3" ht="16.5" thickBot="1" x14ac:dyDescent="0.3">
      <c r="A98" s="65" t="s">
        <v>317</v>
      </c>
      <c r="B98" s="88"/>
      <c r="C98" s="32">
        <v>2</v>
      </c>
    </row>
    <row r="99" spans="1:3" s="151" customFormat="1" ht="16.5" thickBot="1" x14ac:dyDescent="0.3">
      <c r="A99" s="89" t="s">
        <v>314</v>
      </c>
      <c r="B99" s="90"/>
      <c r="C99" s="151">
        <v>30</v>
      </c>
    </row>
    <row r="100" spans="1:3" ht="16.5" thickBot="1" x14ac:dyDescent="0.3">
      <c r="A100" s="65" t="s">
        <v>315</v>
      </c>
      <c r="B100" s="91">
        <f>B99/$B$27</f>
        <v>0</v>
      </c>
    </row>
    <row r="101" spans="1:3" ht="16.5" thickBot="1" x14ac:dyDescent="0.3">
      <c r="A101" s="65" t="s">
        <v>316</v>
      </c>
      <c r="B101" s="88"/>
      <c r="C101" s="32">
        <v>1</v>
      </c>
    </row>
    <row r="102" spans="1:3" ht="16.5" thickBot="1" x14ac:dyDescent="0.3">
      <c r="A102" s="65" t="s">
        <v>317</v>
      </c>
      <c r="B102" s="88"/>
      <c r="C102" s="32">
        <v>2</v>
      </c>
    </row>
    <row r="103" spans="1:3" s="151" customFormat="1" ht="16.5" thickBot="1" x14ac:dyDescent="0.3">
      <c r="A103" s="89" t="s">
        <v>314</v>
      </c>
      <c r="B103" s="90"/>
      <c r="C103" s="151">
        <v>30</v>
      </c>
    </row>
    <row r="104" spans="1:3" ht="16.5" thickBot="1" x14ac:dyDescent="0.3">
      <c r="A104" s="65" t="s">
        <v>315</v>
      </c>
      <c r="B104" s="91">
        <f>B103/$B$27</f>
        <v>0</v>
      </c>
    </row>
    <row r="105" spans="1:3" ht="16.5" thickBot="1" x14ac:dyDescent="0.3">
      <c r="A105" s="65" t="s">
        <v>316</v>
      </c>
      <c r="B105" s="88"/>
      <c r="C105" s="32">
        <v>1</v>
      </c>
    </row>
    <row r="106" spans="1:3" ht="16.5" thickBot="1" x14ac:dyDescent="0.3">
      <c r="A106" s="65" t="s">
        <v>317</v>
      </c>
      <c r="B106" s="88"/>
      <c r="C106" s="32">
        <v>2</v>
      </c>
    </row>
    <row r="107" spans="1:3" s="151" customFormat="1" ht="16.5" thickBot="1" x14ac:dyDescent="0.3">
      <c r="A107" s="89" t="s">
        <v>314</v>
      </c>
      <c r="B107" s="90"/>
      <c r="C107" s="151">
        <v>30</v>
      </c>
    </row>
    <row r="108" spans="1:3" ht="16.5" thickBot="1" x14ac:dyDescent="0.3">
      <c r="A108" s="65" t="s">
        <v>315</v>
      </c>
      <c r="B108" s="91">
        <f>B107/$B$27</f>
        <v>0</v>
      </c>
    </row>
    <row r="109" spans="1:3" ht="16.5" thickBot="1" x14ac:dyDescent="0.3">
      <c r="A109" s="65" t="s">
        <v>316</v>
      </c>
      <c r="B109" s="88"/>
      <c r="C109" s="32">
        <v>1</v>
      </c>
    </row>
    <row r="110" spans="1:3" ht="16.5" thickBot="1" x14ac:dyDescent="0.3">
      <c r="A110" s="65" t="s">
        <v>317</v>
      </c>
      <c r="B110" s="88"/>
      <c r="C110" s="32">
        <v>2</v>
      </c>
    </row>
    <row r="111" spans="1:3" ht="29.25" thickBot="1" x14ac:dyDescent="0.3">
      <c r="A111" s="64" t="s">
        <v>320</v>
      </c>
      <c r="B111" s="91">
        <f>B30/B27</f>
        <v>0</v>
      </c>
    </row>
    <row r="112" spans="1:3" ht="16.5" thickBot="1" x14ac:dyDescent="0.3">
      <c r="A112" s="66" t="s">
        <v>312</v>
      </c>
      <c r="B112" s="72"/>
    </row>
    <row r="113" spans="1:2" ht="16.5" thickBot="1" x14ac:dyDescent="0.3">
      <c r="A113" s="66" t="s">
        <v>321</v>
      </c>
      <c r="B113" s="91">
        <f>B33/B27</f>
        <v>0</v>
      </c>
    </row>
    <row r="114" spans="1:2" ht="16.5" thickBot="1" x14ac:dyDescent="0.3">
      <c r="A114" s="66" t="s">
        <v>322</v>
      </c>
      <c r="B114" s="91"/>
    </row>
    <row r="115" spans="1:2" ht="16.5" thickBot="1" x14ac:dyDescent="0.3">
      <c r="A115" s="66" t="s">
        <v>323</v>
      </c>
      <c r="B115" s="91">
        <f>B70/B27</f>
        <v>0</v>
      </c>
    </row>
    <row r="116" spans="1:2" ht="16.5" thickBot="1" x14ac:dyDescent="0.3">
      <c r="A116" s="62" t="s">
        <v>324</v>
      </c>
      <c r="B116" s="92">
        <f>B117/$B$27</f>
        <v>0</v>
      </c>
    </row>
    <row r="117" spans="1:2" ht="16.5" thickBot="1" x14ac:dyDescent="0.3">
      <c r="A117" s="62" t="s">
        <v>325</v>
      </c>
      <c r="B117" s="176">
        <f xml:space="preserve"> SUMIF(C33:C110, 1,B33:B110)</f>
        <v>0</v>
      </c>
    </row>
    <row r="118" spans="1:2" ht="16.5" thickBot="1" x14ac:dyDescent="0.3">
      <c r="A118" s="62" t="s">
        <v>326</v>
      </c>
      <c r="B118" s="92">
        <f>B119/$B$27</f>
        <v>0</v>
      </c>
    </row>
    <row r="119" spans="1:2" ht="16.5" thickBot="1" x14ac:dyDescent="0.3">
      <c r="A119" s="63" t="s">
        <v>327</v>
      </c>
      <c r="B119" s="176">
        <f xml:space="preserve"> SUMIF(C33:C110, 2,B33:B110)</f>
        <v>0</v>
      </c>
    </row>
    <row r="120" spans="1:2" ht="15.75" customHeight="1" x14ac:dyDescent="0.25">
      <c r="A120" s="64" t="s">
        <v>328</v>
      </c>
      <c r="B120" s="66" t="s">
        <v>329</v>
      </c>
    </row>
    <row r="121" spans="1:2" x14ac:dyDescent="0.25">
      <c r="A121" s="68" t="s">
        <v>330</v>
      </c>
      <c r="B121" s="68" t="str">
        <f>A9</f>
        <v xml:space="preserve">Акционерное общество "Западная энергетическая компания" </v>
      </c>
    </row>
    <row r="122" spans="1:2" x14ac:dyDescent="0.25">
      <c r="A122" s="68" t="s">
        <v>331</v>
      </c>
      <c r="B122" s="68"/>
    </row>
    <row r="123" spans="1:2" x14ac:dyDescent="0.25">
      <c r="A123" s="68" t="s">
        <v>332</v>
      </c>
      <c r="B123" s="68"/>
    </row>
    <row r="124" spans="1:2" x14ac:dyDescent="0.25">
      <c r="A124" s="68" t="s">
        <v>333</v>
      </c>
      <c r="B124" s="68"/>
    </row>
    <row r="125" spans="1:2" ht="16.5" thickBot="1" x14ac:dyDescent="0.3">
      <c r="A125" s="69" t="s">
        <v>334</v>
      </c>
      <c r="B125" s="69"/>
    </row>
    <row r="126" spans="1:2" ht="30.75" thickBot="1" x14ac:dyDescent="0.3">
      <c r="A126" s="66" t="s">
        <v>335</v>
      </c>
      <c r="B126" s="67"/>
    </row>
    <row r="127" spans="1:2" ht="29.25" thickBot="1" x14ac:dyDescent="0.3">
      <c r="A127" s="62" t="s">
        <v>336</v>
      </c>
      <c r="B127" s="177"/>
    </row>
    <row r="128" spans="1:2" ht="16.5" thickBot="1" x14ac:dyDescent="0.3">
      <c r="A128" s="66" t="s">
        <v>312</v>
      </c>
      <c r="B128" s="178"/>
    </row>
    <row r="129" spans="1:2" ht="16.5" thickBot="1" x14ac:dyDescent="0.3">
      <c r="A129" s="66" t="s">
        <v>337</v>
      </c>
      <c r="B129" s="177"/>
    </row>
    <row r="130" spans="1:2" ht="16.5" thickBot="1" x14ac:dyDescent="0.3">
      <c r="A130" s="66" t="s">
        <v>338</v>
      </c>
      <c r="B130" s="178"/>
    </row>
    <row r="131" spans="1:2" ht="16.5" thickBot="1" x14ac:dyDescent="0.3">
      <c r="A131" s="75" t="s">
        <v>339</v>
      </c>
      <c r="B131" s="104"/>
    </row>
    <row r="132" spans="1:2" ht="16.5" thickBot="1" x14ac:dyDescent="0.3">
      <c r="A132" s="62" t="s">
        <v>340</v>
      </c>
      <c r="B132" s="73"/>
    </row>
    <row r="133" spans="1:2" ht="16.5" thickBot="1" x14ac:dyDescent="0.3">
      <c r="A133" s="68" t="s">
        <v>341</v>
      </c>
      <c r="B133" s="175" t="str">
        <f>'6.1. Паспорт сетевой график'!H43</f>
        <v>нд</v>
      </c>
    </row>
    <row r="134" spans="1:2" ht="16.5" thickBot="1" x14ac:dyDescent="0.3">
      <c r="A134" s="68" t="s">
        <v>342</v>
      </c>
      <c r="B134" s="76" t="s">
        <v>542</v>
      </c>
    </row>
    <row r="135" spans="1:2" ht="16.5" thickBot="1" x14ac:dyDescent="0.3">
      <c r="A135" s="68" t="s">
        <v>343</v>
      </c>
      <c r="B135" s="76" t="s">
        <v>542</v>
      </c>
    </row>
    <row r="136" spans="1:2" ht="29.25" thickBot="1" x14ac:dyDescent="0.3">
      <c r="A136" s="77" t="s">
        <v>344</v>
      </c>
      <c r="B136" s="74" t="s">
        <v>636</v>
      </c>
    </row>
    <row r="137" spans="1:2" ht="28.5" customHeight="1" x14ac:dyDescent="0.25">
      <c r="A137" s="64" t="s">
        <v>345</v>
      </c>
      <c r="B137" s="462" t="s">
        <v>542</v>
      </c>
    </row>
    <row r="138" spans="1:2" x14ac:dyDescent="0.25">
      <c r="A138" s="68" t="s">
        <v>346</v>
      </c>
      <c r="B138" s="463"/>
    </row>
    <row r="139" spans="1:2" x14ac:dyDescent="0.25">
      <c r="A139" s="68" t="s">
        <v>347</v>
      </c>
      <c r="B139" s="463"/>
    </row>
    <row r="140" spans="1:2" x14ac:dyDescent="0.25">
      <c r="A140" s="68" t="s">
        <v>348</v>
      </c>
      <c r="B140" s="463"/>
    </row>
    <row r="141" spans="1:2" x14ac:dyDescent="0.25">
      <c r="A141" s="68" t="s">
        <v>349</v>
      </c>
      <c r="B141" s="463"/>
    </row>
    <row r="142" spans="1:2" ht="16.5" thickBot="1" x14ac:dyDescent="0.3">
      <c r="A142" s="78" t="s">
        <v>350</v>
      </c>
      <c r="B142" s="464"/>
    </row>
    <row r="145" spans="1:2" x14ac:dyDescent="0.25">
      <c r="A145" s="79"/>
      <c r="B145" s="80"/>
    </row>
    <row r="146" spans="1:2" x14ac:dyDescent="0.25">
      <c r="B146" s="81"/>
    </row>
    <row r="147" spans="1:2" x14ac:dyDescent="0.25">
      <c r="B147" s="82"/>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A4" zoomScale="70" zoomScaleSheetLayoutView="70" workbookViewId="0">
      <selection activeCell="H22" sqref="H2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48" t="str">
        <f>'1. паспорт местоположение'!A5:C5</f>
        <v>Год раскрытия информации: 2023 год</v>
      </c>
      <c r="B4" s="348"/>
      <c r="C4" s="348"/>
      <c r="D4" s="348"/>
      <c r="E4" s="348"/>
      <c r="F4" s="348"/>
      <c r="G4" s="348"/>
      <c r="H4" s="348"/>
      <c r="I4" s="348"/>
      <c r="J4" s="348"/>
      <c r="K4" s="348"/>
      <c r="L4" s="348"/>
      <c r="M4" s="348"/>
      <c r="N4" s="348"/>
      <c r="O4" s="348"/>
      <c r="P4" s="348"/>
      <c r="Q4" s="348"/>
      <c r="R4" s="348"/>
      <c r="S4" s="348"/>
    </row>
    <row r="5" spans="1:28" s="14" customFormat="1" ht="15.75" x14ac:dyDescent="0.2">
      <c r="A5" s="105"/>
    </row>
    <row r="6" spans="1:28" s="14" customFormat="1" ht="18.75" x14ac:dyDescent="0.2">
      <c r="A6" s="358" t="s">
        <v>7</v>
      </c>
      <c r="B6" s="358"/>
      <c r="C6" s="358"/>
      <c r="D6" s="358"/>
      <c r="E6" s="358"/>
      <c r="F6" s="358"/>
      <c r="G6" s="358"/>
      <c r="H6" s="358"/>
      <c r="I6" s="358"/>
      <c r="J6" s="358"/>
      <c r="K6" s="358"/>
      <c r="L6" s="358"/>
      <c r="M6" s="358"/>
      <c r="N6" s="358"/>
      <c r="O6" s="358"/>
      <c r="P6" s="358"/>
      <c r="Q6" s="358"/>
      <c r="R6" s="358"/>
      <c r="S6" s="358"/>
      <c r="T6" s="107"/>
      <c r="U6" s="107"/>
      <c r="V6" s="107"/>
      <c r="W6" s="107"/>
      <c r="X6" s="107"/>
      <c r="Y6" s="107"/>
      <c r="Z6" s="107"/>
      <c r="AA6" s="107"/>
      <c r="AB6" s="107"/>
    </row>
    <row r="7" spans="1:28" s="14" customFormat="1" ht="18.75" x14ac:dyDescent="0.2">
      <c r="A7" s="358"/>
      <c r="B7" s="358"/>
      <c r="C7" s="358"/>
      <c r="D7" s="358"/>
      <c r="E7" s="358"/>
      <c r="F7" s="358"/>
      <c r="G7" s="358"/>
      <c r="H7" s="358"/>
      <c r="I7" s="358"/>
      <c r="J7" s="358"/>
      <c r="K7" s="358"/>
      <c r="L7" s="358"/>
      <c r="M7" s="358"/>
      <c r="N7" s="358"/>
      <c r="O7" s="358"/>
      <c r="P7" s="358"/>
      <c r="Q7" s="358"/>
      <c r="R7" s="358"/>
      <c r="S7" s="358"/>
      <c r="T7" s="107"/>
      <c r="U7" s="107"/>
      <c r="V7" s="107"/>
      <c r="W7" s="107"/>
      <c r="X7" s="107"/>
      <c r="Y7" s="107"/>
      <c r="Z7" s="107"/>
      <c r="AA7" s="107"/>
      <c r="AB7" s="107"/>
    </row>
    <row r="8" spans="1:28" s="14" customFormat="1" ht="18.75" x14ac:dyDescent="0.2">
      <c r="A8" s="353" t="str">
        <f>'1. паспорт местоположение'!A9:C9</f>
        <v xml:space="preserve">Акционерное общество "Западная энергетическая компания" </v>
      </c>
      <c r="B8" s="353"/>
      <c r="C8" s="353"/>
      <c r="D8" s="353"/>
      <c r="E8" s="353"/>
      <c r="F8" s="353"/>
      <c r="G8" s="353"/>
      <c r="H8" s="353"/>
      <c r="I8" s="353"/>
      <c r="J8" s="353"/>
      <c r="K8" s="353"/>
      <c r="L8" s="353"/>
      <c r="M8" s="353"/>
      <c r="N8" s="353"/>
      <c r="O8" s="353"/>
      <c r="P8" s="353"/>
      <c r="Q8" s="353"/>
      <c r="R8" s="353"/>
      <c r="S8" s="353"/>
      <c r="T8" s="107"/>
      <c r="U8" s="107"/>
      <c r="V8" s="107"/>
      <c r="W8" s="107"/>
      <c r="X8" s="107"/>
      <c r="Y8" s="107"/>
      <c r="Z8" s="107"/>
      <c r="AA8" s="107"/>
      <c r="AB8" s="107"/>
    </row>
    <row r="9" spans="1:28" s="14" customFormat="1" ht="18.75" x14ac:dyDescent="0.2">
      <c r="A9" s="354" t="s">
        <v>6</v>
      </c>
      <c r="B9" s="354"/>
      <c r="C9" s="354"/>
      <c r="D9" s="354"/>
      <c r="E9" s="354"/>
      <c r="F9" s="354"/>
      <c r="G9" s="354"/>
      <c r="H9" s="354"/>
      <c r="I9" s="354"/>
      <c r="J9" s="354"/>
      <c r="K9" s="354"/>
      <c r="L9" s="354"/>
      <c r="M9" s="354"/>
      <c r="N9" s="354"/>
      <c r="O9" s="354"/>
      <c r="P9" s="354"/>
      <c r="Q9" s="354"/>
      <c r="R9" s="354"/>
      <c r="S9" s="354"/>
      <c r="T9" s="107"/>
      <c r="U9" s="107"/>
      <c r="V9" s="107"/>
      <c r="W9" s="107"/>
      <c r="X9" s="107"/>
      <c r="Y9" s="107"/>
      <c r="Z9" s="107"/>
      <c r="AA9" s="107"/>
      <c r="AB9" s="107"/>
    </row>
    <row r="10" spans="1:28" s="14" customFormat="1" ht="18.75" x14ac:dyDescent="0.2">
      <c r="A10" s="358"/>
      <c r="B10" s="358"/>
      <c r="C10" s="358"/>
      <c r="D10" s="358"/>
      <c r="E10" s="358"/>
      <c r="F10" s="358"/>
      <c r="G10" s="358"/>
      <c r="H10" s="358"/>
      <c r="I10" s="358"/>
      <c r="J10" s="358"/>
      <c r="K10" s="358"/>
      <c r="L10" s="358"/>
      <c r="M10" s="358"/>
      <c r="N10" s="358"/>
      <c r="O10" s="358"/>
      <c r="P10" s="358"/>
      <c r="Q10" s="358"/>
      <c r="R10" s="358"/>
      <c r="S10" s="358"/>
      <c r="T10" s="107"/>
      <c r="U10" s="107"/>
      <c r="V10" s="107"/>
      <c r="W10" s="107"/>
      <c r="X10" s="107"/>
      <c r="Y10" s="107"/>
      <c r="Z10" s="107"/>
      <c r="AA10" s="107"/>
      <c r="AB10" s="107"/>
    </row>
    <row r="11" spans="1:28" s="14" customFormat="1" ht="18.75" x14ac:dyDescent="0.2">
      <c r="A11" s="359" t="str">
        <f>'1. паспорт местоположение'!A12:C12</f>
        <v>M_22-20</v>
      </c>
      <c r="B11" s="359"/>
      <c r="C11" s="359"/>
      <c r="D11" s="359"/>
      <c r="E11" s="359"/>
      <c r="F11" s="359"/>
      <c r="G11" s="359"/>
      <c r="H11" s="359"/>
      <c r="I11" s="359"/>
      <c r="J11" s="359"/>
      <c r="K11" s="359"/>
      <c r="L11" s="359"/>
      <c r="M11" s="359"/>
      <c r="N11" s="359"/>
      <c r="O11" s="359"/>
      <c r="P11" s="359"/>
      <c r="Q11" s="359"/>
      <c r="R11" s="359"/>
      <c r="S11" s="359"/>
      <c r="T11" s="107"/>
      <c r="U11" s="107"/>
      <c r="V11" s="107"/>
      <c r="W11" s="107"/>
      <c r="X11" s="107"/>
      <c r="Y11" s="107"/>
      <c r="Z11" s="107"/>
      <c r="AA11" s="107"/>
      <c r="AB11" s="107"/>
    </row>
    <row r="12" spans="1:28" s="14" customFormat="1" ht="18.75" x14ac:dyDescent="0.2">
      <c r="A12" s="354" t="s">
        <v>5</v>
      </c>
      <c r="B12" s="354"/>
      <c r="C12" s="354"/>
      <c r="D12" s="354"/>
      <c r="E12" s="354"/>
      <c r="F12" s="354"/>
      <c r="G12" s="354"/>
      <c r="H12" s="354"/>
      <c r="I12" s="354"/>
      <c r="J12" s="354"/>
      <c r="K12" s="354"/>
      <c r="L12" s="354"/>
      <c r="M12" s="354"/>
      <c r="N12" s="354"/>
      <c r="O12" s="354"/>
      <c r="P12" s="354"/>
      <c r="Q12" s="354"/>
      <c r="R12" s="354"/>
      <c r="S12" s="354"/>
      <c r="T12" s="107"/>
      <c r="U12" s="107"/>
      <c r="V12" s="107"/>
      <c r="W12" s="107"/>
      <c r="X12" s="107"/>
      <c r="Y12" s="107"/>
      <c r="Z12" s="107"/>
      <c r="AA12" s="107"/>
      <c r="AB12" s="107"/>
    </row>
    <row r="13" spans="1:28" s="14"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108"/>
      <c r="U13" s="108"/>
      <c r="V13" s="108"/>
      <c r="W13" s="108"/>
      <c r="X13" s="108"/>
      <c r="Y13" s="108"/>
      <c r="Z13" s="108"/>
      <c r="AA13" s="108"/>
      <c r="AB13" s="108"/>
    </row>
    <row r="14" spans="1:28" s="106" customFormat="1" ht="15.75" x14ac:dyDescent="0.2">
      <c r="A14" s="353" t="str">
        <f>'1. паспорт местоположение'!A15:C15</f>
        <v>Строительство сетей электроснабжения многоквартирных ж/домов в г.Пионерском, ул. Октябрьская  КН:39:19:010314:37</v>
      </c>
      <c r="B14" s="353"/>
      <c r="C14" s="353"/>
      <c r="D14" s="353"/>
      <c r="E14" s="353"/>
      <c r="F14" s="353"/>
      <c r="G14" s="353"/>
      <c r="H14" s="353"/>
      <c r="I14" s="353"/>
      <c r="J14" s="353"/>
      <c r="K14" s="353"/>
      <c r="L14" s="353"/>
      <c r="M14" s="353"/>
      <c r="N14" s="353"/>
      <c r="O14" s="353"/>
      <c r="P14" s="353"/>
      <c r="Q14" s="353"/>
      <c r="R14" s="353"/>
      <c r="S14" s="353"/>
      <c r="T14" s="109"/>
      <c r="U14" s="109"/>
      <c r="V14" s="109"/>
      <c r="W14" s="109"/>
      <c r="X14" s="109"/>
      <c r="Y14" s="109"/>
      <c r="Z14" s="109"/>
      <c r="AA14" s="109"/>
      <c r="AB14" s="109"/>
    </row>
    <row r="15" spans="1:28" s="106" customFormat="1" ht="15" customHeight="1" x14ac:dyDescent="0.2">
      <c r="A15" s="354" t="s">
        <v>4</v>
      </c>
      <c r="B15" s="354"/>
      <c r="C15" s="354"/>
      <c r="D15" s="354"/>
      <c r="E15" s="354"/>
      <c r="F15" s="354"/>
      <c r="G15" s="354"/>
      <c r="H15" s="354"/>
      <c r="I15" s="354"/>
      <c r="J15" s="354"/>
      <c r="K15" s="354"/>
      <c r="L15" s="354"/>
      <c r="M15" s="354"/>
      <c r="N15" s="354"/>
      <c r="O15" s="354"/>
      <c r="P15" s="354"/>
      <c r="Q15" s="354"/>
      <c r="R15" s="354"/>
      <c r="S15" s="354"/>
      <c r="T15" s="110"/>
      <c r="U15" s="110"/>
      <c r="V15" s="110"/>
      <c r="W15" s="110"/>
      <c r="X15" s="110"/>
      <c r="Y15" s="110"/>
      <c r="Z15" s="110"/>
      <c r="AA15" s="110"/>
      <c r="AB15" s="110"/>
    </row>
    <row r="16" spans="1:28" s="106"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108"/>
      <c r="U16" s="108"/>
      <c r="V16" s="108"/>
      <c r="W16" s="108"/>
      <c r="X16" s="108"/>
      <c r="Y16" s="108"/>
    </row>
    <row r="17" spans="1:28" s="106" customFormat="1" ht="45.75" customHeight="1" x14ac:dyDescent="0.2">
      <c r="A17" s="356" t="s">
        <v>382</v>
      </c>
      <c r="B17" s="356"/>
      <c r="C17" s="356"/>
      <c r="D17" s="356"/>
      <c r="E17" s="356"/>
      <c r="F17" s="356"/>
      <c r="G17" s="356"/>
      <c r="H17" s="356"/>
      <c r="I17" s="356"/>
      <c r="J17" s="356"/>
      <c r="K17" s="356"/>
      <c r="L17" s="356"/>
      <c r="M17" s="356"/>
      <c r="N17" s="356"/>
      <c r="O17" s="356"/>
      <c r="P17" s="356"/>
      <c r="Q17" s="356"/>
      <c r="R17" s="356"/>
      <c r="S17" s="356"/>
      <c r="T17" s="111"/>
      <c r="U17" s="111"/>
      <c r="V17" s="111"/>
      <c r="W17" s="111"/>
      <c r="X17" s="111"/>
      <c r="Y17" s="111"/>
      <c r="Z17" s="111"/>
      <c r="AA17" s="111"/>
      <c r="AB17" s="111"/>
    </row>
    <row r="18" spans="1:28" s="106"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108"/>
      <c r="U18" s="108"/>
      <c r="V18" s="108"/>
      <c r="W18" s="108"/>
      <c r="X18" s="108"/>
      <c r="Y18" s="108"/>
    </row>
    <row r="19" spans="1:28" s="106" customFormat="1" ht="54" customHeight="1" x14ac:dyDescent="0.2">
      <c r="A19" s="360" t="s">
        <v>3</v>
      </c>
      <c r="B19" s="360" t="s">
        <v>94</v>
      </c>
      <c r="C19" s="361" t="s">
        <v>303</v>
      </c>
      <c r="D19" s="360" t="s">
        <v>302</v>
      </c>
      <c r="E19" s="360" t="s">
        <v>93</v>
      </c>
      <c r="F19" s="360" t="s">
        <v>92</v>
      </c>
      <c r="G19" s="360" t="s">
        <v>298</v>
      </c>
      <c r="H19" s="360" t="s">
        <v>91</v>
      </c>
      <c r="I19" s="360" t="s">
        <v>90</v>
      </c>
      <c r="J19" s="360" t="s">
        <v>89</v>
      </c>
      <c r="K19" s="360" t="s">
        <v>88</v>
      </c>
      <c r="L19" s="360" t="s">
        <v>87</v>
      </c>
      <c r="M19" s="360" t="s">
        <v>86</v>
      </c>
      <c r="N19" s="360" t="s">
        <v>85</v>
      </c>
      <c r="O19" s="360" t="s">
        <v>84</v>
      </c>
      <c r="P19" s="360" t="s">
        <v>83</v>
      </c>
      <c r="Q19" s="360" t="s">
        <v>301</v>
      </c>
      <c r="R19" s="360"/>
      <c r="S19" s="363" t="s">
        <v>376</v>
      </c>
      <c r="T19" s="108"/>
      <c r="U19" s="108"/>
      <c r="V19" s="108"/>
      <c r="W19" s="108"/>
      <c r="X19" s="108"/>
      <c r="Y19" s="108"/>
    </row>
    <row r="20" spans="1:28" s="106" customFormat="1" ht="180.75" customHeight="1" x14ac:dyDescent="0.2">
      <c r="A20" s="360"/>
      <c r="B20" s="360"/>
      <c r="C20" s="362"/>
      <c r="D20" s="360"/>
      <c r="E20" s="360"/>
      <c r="F20" s="360"/>
      <c r="G20" s="360"/>
      <c r="H20" s="360"/>
      <c r="I20" s="360"/>
      <c r="J20" s="360"/>
      <c r="K20" s="360"/>
      <c r="L20" s="360"/>
      <c r="M20" s="360"/>
      <c r="N20" s="360"/>
      <c r="O20" s="360"/>
      <c r="P20" s="360"/>
      <c r="Q20" s="112" t="s">
        <v>299</v>
      </c>
      <c r="R20" s="113" t="s">
        <v>300</v>
      </c>
      <c r="S20" s="363"/>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78" customHeight="1" x14ac:dyDescent="0.2">
      <c r="A22" s="116">
        <v>1</v>
      </c>
      <c r="B22" s="115" t="s">
        <v>646</v>
      </c>
      <c r="C22" s="115" t="s">
        <v>647</v>
      </c>
      <c r="D22" s="115" t="s">
        <v>631</v>
      </c>
      <c r="E22" s="115" t="s">
        <v>638</v>
      </c>
      <c r="F22" s="115" t="s">
        <v>537</v>
      </c>
      <c r="G22" s="114" t="s">
        <v>639</v>
      </c>
      <c r="H22" s="342">
        <v>0.3851</v>
      </c>
      <c r="I22" s="114">
        <v>0</v>
      </c>
      <c r="J22" s="114">
        <v>0</v>
      </c>
      <c r="K22" s="114" t="s">
        <v>632</v>
      </c>
      <c r="L22" s="114">
        <v>3</v>
      </c>
      <c r="M22" s="114">
        <v>0.4</v>
      </c>
      <c r="N22" s="114">
        <v>1</v>
      </c>
      <c r="O22" s="114" t="s">
        <v>537</v>
      </c>
      <c r="P22" s="114" t="s">
        <v>537</v>
      </c>
      <c r="Q22" s="115" t="s">
        <v>648</v>
      </c>
      <c r="R22" s="184" t="s">
        <v>537</v>
      </c>
      <c r="S22" s="341">
        <v>13.23492283</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2"/>
  <sheetViews>
    <sheetView view="pageBreakPreview" topLeftCell="A16" zoomScale="80" zoomScaleNormal="60" zoomScaleSheetLayoutView="80" workbookViewId="0">
      <selection activeCell="O28" sqref="O28"/>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48" t="str">
        <f>'1. паспорт местоположение'!A5:C5</f>
        <v>Год раскрытия информации: 2023 год</v>
      </c>
      <c r="B6" s="348"/>
      <c r="C6" s="348"/>
      <c r="D6" s="348"/>
      <c r="E6" s="348"/>
      <c r="F6" s="348"/>
      <c r="G6" s="348"/>
      <c r="H6" s="348"/>
      <c r="I6" s="348"/>
      <c r="J6" s="348"/>
      <c r="K6" s="348"/>
      <c r="L6" s="348"/>
      <c r="M6" s="348"/>
      <c r="N6" s="348"/>
      <c r="O6" s="348"/>
      <c r="P6" s="348"/>
      <c r="Q6" s="348"/>
      <c r="R6" s="348"/>
      <c r="S6" s="348"/>
      <c r="T6" s="348"/>
    </row>
    <row r="7" spans="1:20" s="14" customFormat="1" x14ac:dyDescent="0.2">
      <c r="A7" s="105"/>
    </row>
    <row r="8" spans="1:20" s="14" customFormat="1" ht="18.75" x14ac:dyDescent="0.2">
      <c r="A8" s="358" t="s">
        <v>7</v>
      </c>
      <c r="B8" s="358"/>
      <c r="C8" s="358"/>
      <c r="D8" s="358"/>
      <c r="E8" s="358"/>
      <c r="F8" s="358"/>
      <c r="G8" s="358"/>
      <c r="H8" s="358"/>
      <c r="I8" s="358"/>
      <c r="J8" s="358"/>
      <c r="K8" s="358"/>
      <c r="L8" s="358"/>
      <c r="M8" s="358"/>
      <c r="N8" s="358"/>
      <c r="O8" s="358"/>
      <c r="P8" s="358"/>
      <c r="Q8" s="358"/>
      <c r="R8" s="358"/>
      <c r="S8" s="358"/>
      <c r="T8" s="358"/>
    </row>
    <row r="9" spans="1:20" s="14" customFormat="1" ht="18.75" x14ac:dyDescent="0.2">
      <c r="A9" s="358"/>
      <c r="B9" s="358"/>
      <c r="C9" s="358"/>
      <c r="D9" s="358"/>
      <c r="E9" s="358"/>
      <c r="F9" s="358"/>
      <c r="G9" s="358"/>
      <c r="H9" s="358"/>
      <c r="I9" s="358"/>
      <c r="J9" s="358"/>
      <c r="K9" s="358"/>
      <c r="L9" s="358"/>
      <c r="M9" s="358"/>
      <c r="N9" s="358"/>
      <c r="O9" s="358"/>
      <c r="P9" s="358"/>
      <c r="Q9" s="358"/>
      <c r="R9" s="358"/>
      <c r="S9" s="358"/>
      <c r="T9" s="358"/>
    </row>
    <row r="10" spans="1:20" s="14" customFormat="1" ht="18.75" customHeight="1" x14ac:dyDescent="0.2">
      <c r="A10" s="353" t="str">
        <f>'1. паспорт местоположение'!A9:C9</f>
        <v xml:space="preserve">Акционерное общество "Западная энергетическая компания" </v>
      </c>
      <c r="B10" s="353"/>
      <c r="C10" s="353"/>
      <c r="D10" s="353"/>
      <c r="E10" s="353"/>
      <c r="F10" s="353"/>
      <c r="G10" s="353"/>
      <c r="H10" s="353"/>
      <c r="I10" s="353"/>
      <c r="J10" s="353"/>
      <c r="K10" s="353"/>
      <c r="L10" s="353"/>
      <c r="M10" s="353"/>
      <c r="N10" s="353"/>
      <c r="O10" s="353"/>
      <c r="P10" s="353"/>
      <c r="Q10" s="353"/>
      <c r="R10" s="353"/>
      <c r="S10" s="353"/>
      <c r="T10" s="353"/>
    </row>
    <row r="11" spans="1:20" s="14" customFormat="1" ht="18.75" customHeight="1" x14ac:dyDescent="0.2">
      <c r="A11" s="354" t="s">
        <v>6</v>
      </c>
      <c r="B11" s="354"/>
      <c r="C11" s="354"/>
      <c r="D11" s="354"/>
      <c r="E11" s="354"/>
      <c r="F11" s="354"/>
      <c r="G11" s="354"/>
      <c r="H11" s="354"/>
      <c r="I11" s="354"/>
      <c r="J11" s="354"/>
      <c r="K11" s="354"/>
      <c r="L11" s="354"/>
      <c r="M11" s="354"/>
      <c r="N11" s="354"/>
      <c r="O11" s="354"/>
      <c r="P11" s="354"/>
      <c r="Q11" s="354"/>
      <c r="R11" s="354"/>
      <c r="S11" s="354"/>
      <c r="T11" s="354"/>
    </row>
    <row r="12" spans="1:20" s="14" customFormat="1" ht="18.75" x14ac:dyDescent="0.2">
      <c r="A12" s="358"/>
      <c r="B12" s="358"/>
      <c r="C12" s="358"/>
      <c r="D12" s="358"/>
      <c r="E12" s="358"/>
      <c r="F12" s="358"/>
      <c r="G12" s="358"/>
      <c r="H12" s="358"/>
      <c r="I12" s="358"/>
      <c r="J12" s="358"/>
      <c r="K12" s="358"/>
      <c r="L12" s="358"/>
      <c r="M12" s="358"/>
      <c r="N12" s="358"/>
      <c r="O12" s="358"/>
      <c r="P12" s="358"/>
      <c r="Q12" s="358"/>
      <c r="R12" s="358"/>
      <c r="S12" s="358"/>
      <c r="T12" s="358"/>
    </row>
    <row r="13" spans="1:20" s="14" customFormat="1" ht="18.75" customHeight="1" x14ac:dyDescent="0.2">
      <c r="A13" s="359" t="str">
        <f>'1. паспорт местоположение'!A12:C12</f>
        <v>M_22-20</v>
      </c>
      <c r="B13" s="359"/>
      <c r="C13" s="359"/>
      <c r="D13" s="359"/>
      <c r="E13" s="359"/>
      <c r="F13" s="359"/>
      <c r="G13" s="359"/>
      <c r="H13" s="359"/>
      <c r="I13" s="359"/>
      <c r="J13" s="359"/>
      <c r="K13" s="359"/>
      <c r="L13" s="359"/>
      <c r="M13" s="359"/>
      <c r="N13" s="359"/>
      <c r="O13" s="359"/>
      <c r="P13" s="359"/>
      <c r="Q13" s="359"/>
      <c r="R13" s="359"/>
      <c r="S13" s="359"/>
      <c r="T13" s="359"/>
    </row>
    <row r="14" spans="1:20" s="14" customFormat="1" ht="18.75" customHeight="1" x14ac:dyDescent="0.2">
      <c r="A14" s="354" t="s">
        <v>5</v>
      </c>
      <c r="B14" s="354"/>
      <c r="C14" s="354"/>
      <c r="D14" s="354"/>
      <c r="E14" s="354"/>
      <c r="F14" s="354"/>
      <c r="G14" s="354"/>
      <c r="H14" s="354"/>
      <c r="I14" s="354"/>
      <c r="J14" s="354"/>
      <c r="K14" s="354"/>
      <c r="L14" s="354"/>
      <c r="M14" s="354"/>
      <c r="N14" s="354"/>
      <c r="O14" s="354"/>
      <c r="P14" s="354"/>
      <c r="Q14" s="354"/>
      <c r="R14" s="354"/>
      <c r="S14" s="354"/>
      <c r="T14" s="354"/>
    </row>
    <row r="15" spans="1:20" s="14"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106" customFormat="1" x14ac:dyDescent="0.2">
      <c r="A16" s="353" t="str">
        <f>'1. паспорт местоположение'!A15:C15</f>
        <v>Строительство сетей электроснабжения многоквартирных ж/домов в г.Пионерском, ул. Октябрьская  КН:39:19:010314:37</v>
      </c>
      <c r="B16" s="353"/>
      <c r="C16" s="353"/>
      <c r="D16" s="353"/>
      <c r="E16" s="353"/>
      <c r="F16" s="353"/>
      <c r="G16" s="353"/>
      <c r="H16" s="353"/>
      <c r="I16" s="353"/>
      <c r="J16" s="353"/>
      <c r="K16" s="353"/>
      <c r="L16" s="353"/>
      <c r="M16" s="353"/>
      <c r="N16" s="353"/>
      <c r="O16" s="353"/>
      <c r="P16" s="353"/>
      <c r="Q16" s="353"/>
      <c r="R16" s="353"/>
      <c r="S16" s="353"/>
      <c r="T16" s="353"/>
    </row>
    <row r="17" spans="1:20" s="106" customFormat="1" ht="15" customHeight="1" x14ac:dyDescent="0.2">
      <c r="A17" s="354" t="s">
        <v>4</v>
      </c>
      <c r="B17" s="354"/>
      <c r="C17" s="354"/>
      <c r="D17" s="354"/>
      <c r="E17" s="354"/>
      <c r="F17" s="354"/>
      <c r="G17" s="354"/>
      <c r="H17" s="354"/>
      <c r="I17" s="354"/>
      <c r="J17" s="354"/>
      <c r="K17" s="354"/>
      <c r="L17" s="354"/>
      <c r="M17" s="354"/>
      <c r="N17" s="354"/>
      <c r="O17" s="354"/>
      <c r="P17" s="354"/>
      <c r="Q17" s="354"/>
      <c r="R17" s="354"/>
      <c r="S17" s="354"/>
      <c r="T17" s="354"/>
    </row>
    <row r="18" spans="1:20" s="106"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20" s="106" customFormat="1" ht="15" customHeight="1" x14ac:dyDescent="0.2">
      <c r="A19" s="367" t="s">
        <v>387</v>
      </c>
      <c r="B19" s="367"/>
      <c r="C19" s="367"/>
      <c r="D19" s="367"/>
      <c r="E19" s="367"/>
      <c r="F19" s="367"/>
      <c r="G19" s="367"/>
      <c r="H19" s="367"/>
      <c r="I19" s="367"/>
      <c r="J19" s="367"/>
      <c r="K19" s="367"/>
      <c r="L19" s="367"/>
      <c r="M19" s="367"/>
      <c r="N19" s="367"/>
      <c r="O19" s="367"/>
      <c r="P19" s="367"/>
      <c r="Q19" s="367"/>
      <c r="R19" s="367"/>
      <c r="S19" s="367"/>
      <c r="T19" s="367"/>
    </row>
    <row r="20" spans="1:20" s="27" customFormat="1" ht="21" customHeight="1" x14ac:dyDescent="0.25">
      <c r="A20" s="368"/>
      <c r="B20" s="368"/>
      <c r="C20" s="368"/>
      <c r="D20" s="368"/>
      <c r="E20" s="368"/>
      <c r="F20" s="368"/>
      <c r="G20" s="368"/>
      <c r="H20" s="368"/>
      <c r="I20" s="368"/>
      <c r="J20" s="368"/>
      <c r="K20" s="368"/>
      <c r="L20" s="368"/>
      <c r="M20" s="368"/>
      <c r="N20" s="368"/>
      <c r="O20" s="368"/>
      <c r="P20" s="368"/>
      <c r="Q20" s="368"/>
      <c r="R20" s="368"/>
      <c r="S20" s="368"/>
      <c r="T20" s="368"/>
    </row>
    <row r="21" spans="1:20" ht="46.5" customHeight="1" x14ac:dyDescent="0.25">
      <c r="A21" s="369" t="s">
        <v>3</v>
      </c>
      <c r="B21" s="372" t="s">
        <v>200</v>
      </c>
      <c r="C21" s="373"/>
      <c r="D21" s="376" t="s">
        <v>116</v>
      </c>
      <c r="E21" s="372" t="s">
        <v>415</v>
      </c>
      <c r="F21" s="373"/>
      <c r="G21" s="372" t="s">
        <v>239</v>
      </c>
      <c r="H21" s="373"/>
      <c r="I21" s="372" t="s">
        <v>115</v>
      </c>
      <c r="J21" s="373"/>
      <c r="K21" s="376" t="s">
        <v>114</v>
      </c>
      <c r="L21" s="372" t="s">
        <v>113</v>
      </c>
      <c r="M21" s="373"/>
      <c r="N21" s="372" t="s">
        <v>441</v>
      </c>
      <c r="O21" s="373"/>
      <c r="P21" s="376" t="s">
        <v>112</v>
      </c>
      <c r="Q21" s="364" t="s">
        <v>111</v>
      </c>
      <c r="R21" s="365"/>
      <c r="S21" s="364" t="s">
        <v>110</v>
      </c>
      <c r="T21" s="366"/>
    </row>
    <row r="22" spans="1:20" ht="204.75" customHeight="1" x14ac:dyDescent="0.25">
      <c r="A22" s="370"/>
      <c r="B22" s="374"/>
      <c r="C22" s="375"/>
      <c r="D22" s="379"/>
      <c r="E22" s="374"/>
      <c r="F22" s="375"/>
      <c r="G22" s="374"/>
      <c r="H22" s="375"/>
      <c r="I22" s="374"/>
      <c r="J22" s="375"/>
      <c r="K22" s="377"/>
      <c r="L22" s="374"/>
      <c r="M22" s="375"/>
      <c r="N22" s="374"/>
      <c r="O22" s="375"/>
      <c r="P22" s="377"/>
      <c r="Q22" s="54" t="s">
        <v>109</v>
      </c>
      <c r="R22" s="54" t="s">
        <v>386</v>
      </c>
      <c r="S22" s="54" t="s">
        <v>108</v>
      </c>
      <c r="T22" s="54" t="s">
        <v>107</v>
      </c>
    </row>
    <row r="23" spans="1:20" ht="51.75" customHeight="1" x14ac:dyDescent="0.25">
      <c r="A23" s="371"/>
      <c r="B23" s="54" t="s">
        <v>105</v>
      </c>
      <c r="C23" s="54" t="s">
        <v>106</v>
      </c>
      <c r="D23" s="377"/>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3">
        <v>1</v>
      </c>
      <c r="B25" s="93"/>
      <c r="C25" s="93" t="s">
        <v>633</v>
      </c>
      <c r="D25" s="93" t="s">
        <v>617</v>
      </c>
      <c r="E25" s="93"/>
      <c r="F25" s="93" t="s">
        <v>618</v>
      </c>
      <c r="G25" s="93"/>
      <c r="H25" s="93" t="s">
        <v>616</v>
      </c>
      <c r="I25" s="325"/>
      <c r="J25" s="325" t="s">
        <v>650</v>
      </c>
      <c r="K25" s="325"/>
      <c r="L25" s="325"/>
      <c r="M25" s="325" t="s">
        <v>612</v>
      </c>
      <c r="N25" s="93"/>
      <c r="O25" s="93"/>
      <c r="P25" s="325" t="s">
        <v>297</v>
      </c>
      <c r="Q25" s="325"/>
      <c r="R25" s="325"/>
      <c r="S25" s="325" t="s">
        <v>297</v>
      </c>
      <c r="T25" s="93" t="s">
        <v>297</v>
      </c>
    </row>
    <row r="26" spans="1:20" ht="47.25" customHeight="1" x14ac:dyDescent="0.25">
      <c r="A26" s="93"/>
      <c r="B26" s="93"/>
      <c r="C26" s="93"/>
      <c r="D26" s="326" t="s">
        <v>619</v>
      </c>
      <c r="E26" s="326"/>
      <c r="F26" s="326" t="s">
        <v>620</v>
      </c>
      <c r="G26" s="326"/>
      <c r="H26" s="326" t="s">
        <v>621</v>
      </c>
      <c r="I26" s="325"/>
      <c r="J26" s="325" t="s">
        <v>650</v>
      </c>
      <c r="K26" s="325"/>
      <c r="L26" s="325"/>
      <c r="M26" s="325" t="s">
        <v>613</v>
      </c>
      <c r="N26" s="327"/>
      <c r="O26" s="327"/>
      <c r="P26" s="325" t="s">
        <v>297</v>
      </c>
      <c r="Q26" s="93"/>
      <c r="R26" s="93"/>
      <c r="S26" s="327" t="s">
        <v>297</v>
      </c>
      <c r="T26" s="327" t="s">
        <v>297</v>
      </c>
    </row>
    <row r="27" spans="1:20" ht="24" customHeight="1" x14ac:dyDescent="0.25">
      <c r="A27" s="93"/>
      <c r="B27" s="93"/>
      <c r="C27" s="93"/>
      <c r="D27" s="326" t="s">
        <v>614</v>
      </c>
      <c r="E27" s="326"/>
      <c r="F27" s="326" t="s">
        <v>649</v>
      </c>
      <c r="G27" s="326"/>
      <c r="H27" s="326" t="s">
        <v>615</v>
      </c>
      <c r="I27" s="325"/>
      <c r="J27" s="326">
        <v>2022</v>
      </c>
      <c r="K27" s="325"/>
      <c r="L27" s="325"/>
      <c r="M27" s="325" t="s">
        <v>368</v>
      </c>
      <c r="N27" s="327"/>
      <c r="O27" s="327">
        <v>0.4</v>
      </c>
      <c r="P27" s="325" t="s">
        <v>297</v>
      </c>
      <c r="Q27" s="325"/>
      <c r="R27" s="325"/>
      <c r="S27" s="327" t="s">
        <v>297</v>
      </c>
      <c r="T27" s="327" t="s">
        <v>297</v>
      </c>
    </row>
    <row r="28" spans="1:20" ht="24" customHeight="1" x14ac:dyDescent="0.25">
      <c r="A28" s="93"/>
      <c r="B28" s="93"/>
      <c r="C28" s="93"/>
      <c r="D28" s="326"/>
      <c r="E28" s="326"/>
      <c r="F28" s="326"/>
      <c r="G28" s="326"/>
      <c r="H28" s="326"/>
      <c r="I28" s="325"/>
      <c r="J28" s="326"/>
      <c r="K28" s="325"/>
      <c r="L28" s="325"/>
      <c r="M28" s="325"/>
      <c r="N28" s="327"/>
      <c r="O28" s="327"/>
      <c r="P28" s="325"/>
      <c r="Q28" s="325"/>
      <c r="R28" s="325"/>
      <c r="S28" s="327"/>
      <c r="T28" s="327"/>
    </row>
    <row r="29" spans="1:20" s="30" customFormat="1" ht="12.75" x14ac:dyDescent="0.2"/>
    <row r="30" spans="1:20" s="30" customFormat="1" ht="12.75" x14ac:dyDescent="0.2"/>
    <row r="31" spans="1:20" s="30" customFormat="1" ht="12.75" x14ac:dyDescent="0.2"/>
    <row r="32" spans="1:20" s="30" customFormat="1" ht="12.75" x14ac:dyDescent="0.2"/>
    <row r="33" spans="2:18" s="30" customFormat="1" ht="12.75" x14ac:dyDescent="0.2"/>
    <row r="34" spans="2:18" s="30" customFormat="1" ht="12.75" x14ac:dyDescent="0.2"/>
    <row r="35" spans="2:18" s="30" customFormat="1" ht="12.75" x14ac:dyDescent="0.2"/>
    <row r="36" spans="2:18" s="30" customFormat="1" ht="12.75" x14ac:dyDescent="0.2"/>
    <row r="37" spans="2:18" s="30" customFormat="1" ht="12.75" x14ac:dyDescent="0.2"/>
    <row r="38" spans="2:18" s="30" customFormat="1" ht="12.75" x14ac:dyDescent="0.2"/>
    <row r="39" spans="2:18" s="30" customFormat="1" ht="12.75" x14ac:dyDescent="0.2"/>
    <row r="40" spans="2:18" s="30" customFormat="1" ht="12.75" x14ac:dyDescent="0.2"/>
    <row r="41" spans="2:18" s="30" customFormat="1" ht="12.75" x14ac:dyDescent="0.2"/>
    <row r="42" spans="2:18" s="30" customFormat="1" ht="12.75" x14ac:dyDescent="0.2"/>
    <row r="43" spans="2:18" s="30" customFormat="1" ht="12.75" x14ac:dyDescent="0.2"/>
    <row r="44" spans="2:18" s="30" customFormat="1" ht="12.75" x14ac:dyDescent="0.2"/>
    <row r="45" spans="2:18" s="30" customFormat="1" ht="12.75" x14ac:dyDescent="0.2"/>
    <row r="46" spans="2:18" s="30" customFormat="1" ht="12.75" x14ac:dyDescent="0.2"/>
    <row r="47" spans="2:18" s="30" customFormat="1" ht="12.75" x14ac:dyDescent="0.2"/>
    <row r="48" spans="2:18" s="30" customFormat="1" x14ac:dyDescent="0.25">
      <c r="B48" s="26" t="s">
        <v>104</v>
      </c>
      <c r="C48" s="26"/>
      <c r="D48" s="26"/>
      <c r="E48" s="26"/>
      <c r="F48" s="26"/>
      <c r="G48" s="26"/>
      <c r="H48" s="26"/>
      <c r="I48" s="26"/>
      <c r="J48" s="26"/>
      <c r="K48" s="26"/>
      <c r="L48" s="26"/>
      <c r="M48" s="26"/>
      <c r="N48" s="26"/>
      <c r="O48" s="26"/>
      <c r="P48" s="26"/>
      <c r="Q48" s="26"/>
      <c r="R48" s="26"/>
    </row>
    <row r="49" spans="2:113" x14ac:dyDescent="0.25">
      <c r="B49" s="378" t="s">
        <v>421</v>
      </c>
      <c r="C49" s="378"/>
      <c r="D49" s="378"/>
      <c r="E49" s="378"/>
      <c r="F49" s="378"/>
      <c r="G49" s="378"/>
      <c r="H49" s="378"/>
      <c r="I49" s="378"/>
      <c r="J49" s="378"/>
      <c r="K49" s="378"/>
      <c r="L49" s="378"/>
      <c r="M49" s="378"/>
      <c r="N49" s="378"/>
      <c r="O49" s="378"/>
      <c r="P49" s="378"/>
      <c r="Q49" s="378"/>
      <c r="R49" s="378"/>
    </row>
    <row r="50" spans="2:113" x14ac:dyDescent="0.25">
      <c r="F50" s="26" t="s">
        <v>617</v>
      </c>
    </row>
    <row r="51" spans="2:113" x14ac:dyDescent="0.25">
      <c r="B51" s="28" t="s">
        <v>385</v>
      </c>
      <c r="C51" s="28"/>
      <c r="D51" s="28"/>
      <c r="E51" s="28"/>
      <c r="H51" s="28"/>
      <c r="I51" s="28"/>
      <c r="J51" s="28"/>
      <c r="K51" s="28"/>
      <c r="L51" s="28"/>
      <c r="M51" s="28"/>
      <c r="N51" s="28"/>
      <c r="O51" s="28"/>
      <c r="P51" s="28"/>
      <c r="Q51" s="28"/>
      <c r="R51" s="28"/>
      <c r="S51" s="29"/>
      <c r="T51" s="29"/>
      <c r="U51" s="29"/>
      <c r="V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row>
    <row r="52" spans="2:113" x14ac:dyDescent="0.25">
      <c r="B52" s="28" t="s">
        <v>103</v>
      </c>
      <c r="C52" s="28"/>
      <c r="D52" s="28"/>
      <c r="E52" s="28"/>
      <c r="H52" s="28"/>
      <c r="I52" s="28"/>
      <c r="J52" s="28"/>
      <c r="K52" s="28"/>
      <c r="L52" s="28"/>
      <c r="M52" s="28"/>
      <c r="N52" s="28"/>
      <c r="O52" s="28"/>
      <c r="P52" s="28"/>
      <c r="Q52" s="28"/>
      <c r="R52" s="28"/>
    </row>
    <row r="53" spans="2:113" x14ac:dyDescent="0.25">
      <c r="B53" s="28" t="s">
        <v>102</v>
      </c>
      <c r="C53" s="28"/>
      <c r="D53" s="28"/>
      <c r="E53" s="28"/>
      <c r="H53" s="28"/>
      <c r="I53" s="28"/>
      <c r="J53" s="28"/>
      <c r="K53" s="28"/>
      <c r="L53" s="28"/>
      <c r="M53" s="28"/>
      <c r="N53" s="28"/>
      <c r="O53" s="28"/>
      <c r="P53" s="28"/>
      <c r="Q53" s="28"/>
      <c r="R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row>
    <row r="54" spans="2:113" x14ac:dyDescent="0.25">
      <c r="B54" s="28" t="s">
        <v>101</v>
      </c>
      <c r="C54" s="28"/>
      <c r="D54" s="28"/>
      <c r="E54" s="28"/>
      <c r="H54" s="28"/>
      <c r="I54" s="28"/>
      <c r="J54" s="28"/>
      <c r="K54" s="28"/>
      <c r="L54" s="28"/>
      <c r="M54" s="28"/>
      <c r="N54" s="28"/>
      <c r="O54" s="28"/>
      <c r="P54" s="28"/>
      <c r="Q54" s="28"/>
      <c r="R54" s="28"/>
      <c r="S54" s="28"/>
      <c r="T54" s="28"/>
      <c r="U54" s="28"/>
      <c r="V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row>
    <row r="55" spans="2:113" x14ac:dyDescent="0.25">
      <c r="B55" s="28" t="s">
        <v>100</v>
      </c>
      <c r="C55" s="28"/>
      <c r="D55" s="28"/>
      <c r="E55" s="28"/>
      <c r="H55" s="28"/>
      <c r="I55" s="28"/>
      <c r="J55" s="28"/>
      <c r="K55" s="28"/>
      <c r="L55" s="28"/>
      <c r="M55" s="28"/>
      <c r="N55" s="28"/>
      <c r="O55" s="28"/>
      <c r="P55" s="28"/>
      <c r="Q55" s="28"/>
      <c r="R55" s="28"/>
      <c r="S55" s="28"/>
      <c r="T55" s="28"/>
      <c r="U55" s="28"/>
      <c r="V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row>
    <row r="56" spans="2:113" x14ac:dyDescent="0.25">
      <c r="B56" s="28" t="s">
        <v>99</v>
      </c>
      <c r="C56" s="28"/>
      <c r="D56" s="28"/>
      <c r="E56" s="28"/>
      <c r="H56" s="28"/>
      <c r="I56" s="28"/>
      <c r="J56" s="28"/>
      <c r="K56" s="28"/>
      <c r="L56" s="28"/>
      <c r="M56" s="28"/>
      <c r="N56" s="28"/>
      <c r="O56" s="28"/>
      <c r="P56" s="28"/>
      <c r="Q56" s="28"/>
      <c r="R56" s="28"/>
      <c r="S56" s="28"/>
      <c r="T56" s="28"/>
      <c r="U56" s="28"/>
      <c r="V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row>
    <row r="57" spans="2:113" x14ac:dyDescent="0.25">
      <c r="B57" s="28" t="s">
        <v>98</v>
      </c>
      <c r="C57" s="28"/>
      <c r="D57" s="28"/>
      <c r="E57" s="28"/>
      <c r="H57" s="28"/>
      <c r="I57" s="28"/>
      <c r="J57" s="28"/>
      <c r="K57" s="28"/>
      <c r="L57" s="28"/>
      <c r="M57" s="28"/>
      <c r="N57" s="28"/>
      <c r="O57" s="28"/>
      <c r="P57" s="28"/>
      <c r="Q57" s="28"/>
      <c r="R57" s="28"/>
      <c r="S57" s="28"/>
      <c r="T57" s="28"/>
      <c r="U57" s="28"/>
      <c r="V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row>
    <row r="58" spans="2:113" x14ac:dyDescent="0.25">
      <c r="B58" s="28" t="s">
        <v>97</v>
      </c>
      <c r="C58" s="28"/>
      <c r="D58" s="28"/>
      <c r="E58" s="28"/>
      <c r="H58" s="28"/>
      <c r="I58" s="28"/>
      <c r="J58" s="28"/>
      <c r="K58" s="28"/>
      <c r="L58" s="28"/>
      <c r="M58" s="28"/>
      <c r="N58" s="28"/>
      <c r="O58" s="28"/>
      <c r="P58" s="28"/>
      <c r="Q58" s="28"/>
      <c r="R58" s="28"/>
      <c r="S58" s="28"/>
      <c r="T58" s="28"/>
      <c r="U58" s="28"/>
      <c r="V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c r="CJ58" s="27"/>
      <c r="CK58" s="27"/>
      <c r="CL58" s="27"/>
      <c r="CM58" s="27"/>
      <c r="CN58" s="27"/>
      <c r="CO58" s="27"/>
      <c r="CP58" s="27"/>
      <c r="CQ58" s="27"/>
      <c r="CR58" s="27"/>
      <c r="CS58" s="27"/>
      <c r="CT58" s="27"/>
      <c r="CU58" s="27"/>
      <c r="CV58" s="27"/>
      <c r="CW58" s="27"/>
      <c r="CX58" s="27"/>
      <c r="CY58" s="27"/>
      <c r="CZ58" s="27"/>
      <c r="DA58" s="27"/>
      <c r="DB58" s="27"/>
      <c r="DC58" s="27"/>
      <c r="DD58" s="27"/>
      <c r="DE58" s="27"/>
      <c r="DF58" s="27"/>
      <c r="DG58" s="27"/>
      <c r="DH58" s="27"/>
      <c r="DI58" s="27"/>
    </row>
    <row r="59" spans="2:113" x14ac:dyDescent="0.25">
      <c r="B59" s="28" t="s">
        <v>96</v>
      </c>
      <c r="C59" s="28"/>
      <c r="D59" s="28"/>
      <c r="E59" s="28"/>
      <c r="H59" s="28"/>
      <c r="I59" s="28"/>
      <c r="J59" s="28"/>
      <c r="K59" s="28"/>
      <c r="L59" s="28"/>
      <c r="M59" s="28"/>
      <c r="N59" s="28"/>
      <c r="O59" s="28"/>
      <c r="P59" s="28"/>
      <c r="Q59" s="28"/>
      <c r="R59" s="28"/>
      <c r="S59" s="28"/>
      <c r="T59" s="28"/>
      <c r="U59" s="28"/>
      <c r="V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row>
    <row r="60" spans="2:113" x14ac:dyDescent="0.25">
      <c r="B60" s="28" t="s">
        <v>95</v>
      </c>
      <c r="C60" s="28"/>
      <c r="D60" s="28"/>
      <c r="E60" s="28"/>
      <c r="H60" s="28"/>
      <c r="I60" s="28"/>
      <c r="J60" s="28"/>
      <c r="K60" s="28"/>
      <c r="L60" s="28"/>
      <c r="M60" s="28"/>
      <c r="N60" s="28"/>
      <c r="O60" s="28"/>
      <c r="P60" s="28"/>
      <c r="Q60" s="28"/>
      <c r="R60" s="28"/>
      <c r="S60" s="28"/>
      <c r="T60" s="28"/>
      <c r="U60" s="28"/>
      <c r="V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c r="CJ60" s="27"/>
      <c r="CK60" s="27"/>
      <c r="CL60" s="27"/>
      <c r="CM60" s="27"/>
      <c r="CN60" s="27"/>
      <c r="CO60" s="27"/>
      <c r="CP60" s="27"/>
      <c r="CQ60" s="27"/>
      <c r="CR60" s="27"/>
      <c r="CS60" s="27"/>
      <c r="CT60" s="27"/>
      <c r="CU60" s="27"/>
      <c r="CV60" s="27"/>
      <c r="CW60" s="27"/>
      <c r="CX60" s="27"/>
      <c r="CY60" s="27"/>
      <c r="CZ60" s="27"/>
      <c r="DA60" s="27"/>
      <c r="DB60" s="27"/>
      <c r="DC60" s="27"/>
      <c r="DD60" s="27"/>
      <c r="DE60" s="27"/>
      <c r="DF60" s="27"/>
      <c r="DG60" s="27"/>
      <c r="DH60" s="27"/>
      <c r="DI60" s="27"/>
    </row>
    <row r="61" spans="2:113" x14ac:dyDescent="0.25">
      <c r="Q61" s="28"/>
      <c r="R61" s="28"/>
      <c r="S61" s="28"/>
      <c r="T61" s="28"/>
      <c r="U61" s="28"/>
      <c r="V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c r="CS61" s="27"/>
      <c r="CT61" s="27"/>
      <c r="CU61" s="27"/>
      <c r="CV61" s="27"/>
      <c r="CW61" s="27"/>
      <c r="CX61" s="27"/>
      <c r="CY61" s="27"/>
      <c r="CZ61" s="27"/>
      <c r="DA61" s="27"/>
      <c r="DB61" s="27"/>
      <c r="DC61" s="27"/>
      <c r="DD61" s="27"/>
      <c r="DE61" s="27"/>
      <c r="DF61" s="27"/>
      <c r="DG61" s="27"/>
      <c r="DH61" s="27"/>
      <c r="DI61" s="27"/>
    </row>
    <row r="62" spans="2:113" x14ac:dyDescent="0.25">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row>
  </sheetData>
  <mergeCells count="27">
    <mergeCell ref="B49:R4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2" type="noConversion"/>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3" zoomScale="80" zoomScaleSheetLayoutView="80" workbookViewId="0">
      <selection activeCell="R26" sqref="R26"/>
    </sheetView>
  </sheetViews>
  <sheetFormatPr defaultColWidth="10.7109375" defaultRowHeight="15.75" x14ac:dyDescent="0.25"/>
  <cols>
    <col min="1" max="2" width="10.7109375" style="26"/>
    <col min="3" max="3" width="32" style="26" customWidth="1"/>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15.7109375" style="26" customWidth="1"/>
    <col min="11" max="11" width="11.140625" style="26" customWidth="1"/>
    <col min="12" max="12" width="8.85546875" style="26" customWidth="1"/>
    <col min="13" max="13" width="8.7109375" style="26" customWidth="1"/>
    <col min="14" max="14" width="19.42578125" style="26" customWidth="1"/>
    <col min="15" max="15" width="8.7109375" style="26" customWidth="1"/>
    <col min="16" max="16" width="9.85546875" style="26" customWidth="1"/>
    <col min="17" max="17" width="11.85546875" style="26" customWidth="1"/>
    <col min="18" max="18" width="12" style="26" customWidth="1"/>
    <col min="19" max="19" width="18.28515625" style="26" customWidth="1"/>
    <col min="20" max="20" width="17.5703125" style="26" customWidth="1"/>
    <col min="21" max="21" width="17.140625" style="26" customWidth="1"/>
    <col min="22" max="22" width="11.42578125" style="26" customWidth="1"/>
    <col min="23" max="23" width="12.85546875" style="26" customWidth="1"/>
    <col min="24" max="24" width="19"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48" t="str">
        <f>'1. паспорт местоположение'!A5:C5</f>
        <v>Год раскрытия информации: 2023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58" t="s">
        <v>7</v>
      </c>
      <c r="F7" s="358"/>
      <c r="G7" s="358"/>
      <c r="H7" s="358"/>
      <c r="I7" s="358"/>
      <c r="J7" s="358"/>
      <c r="K7" s="358"/>
      <c r="L7" s="358"/>
      <c r="M7" s="358"/>
      <c r="N7" s="358"/>
      <c r="O7" s="358"/>
      <c r="P7" s="358"/>
      <c r="Q7" s="358"/>
      <c r="R7" s="358"/>
      <c r="S7" s="358"/>
      <c r="T7" s="358"/>
      <c r="U7" s="358"/>
      <c r="V7" s="358"/>
      <c r="W7" s="358"/>
      <c r="X7" s="358"/>
      <c r="Y7" s="358"/>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53" t="str">
        <f>'1. паспорт местоположение'!A9</f>
        <v xml:space="preserve">Акционерное общество "Западная энергетическая компания" </v>
      </c>
      <c r="F9" s="353"/>
      <c r="G9" s="353"/>
      <c r="H9" s="353"/>
      <c r="I9" s="353"/>
      <c r="J9" s="353"/>
      <c r="K9" s="353"/>
      <c r="L9" s="353"/>
      <c r="M9" s="353"/>
      <c r="N9" s="353"/>
      <c r="O9" s="353"/>
      <c r="P9" s="353"/>
      <c r="Q9" s="353"/>
      <c r="R9" s="353"/>
      <c r="S9" s="353"/>
      <c r="T9" s="353"/>
      <c r="U9" s="353"/>
      <c r="V9" s="353"/>
      <c r="W9" s="353"/>
      <c r="X9" s="353"/>
      <c r="Y9" s="353"/>
    </row>
    <row r="10" spans="1:27" s="14" customFormat="1" ht="18.75" customHeight="1" x14ac:dyDescent="0.2">
      <c r="E10" s="354" t="s">
        <v>6</v>
      </c>
      <c r="F10" s="354"/>
      <c r="G10" s="354"/>
      <c r="H10" s="354"/>
      <c r="I10" s="354"/>
      <c r="J10" s="354"/>
      <c r="K10" s="354"/>
      <c r="L10" s="354"/>
      <c r="M10" s="354"/>
      <c r="N10" s="354"/>
      <c r="O10" s="354"/>
      <c r="P10" s="354"/>
      <c r="Q10" s="354"/>
      <c r="R10" s="354"/>
      <c r="S10" s="354"/>
      <c r="T10" s="354"/>
      <c r="U10" s="354"/>
      <c r="V10" s="354"/>
      <c r="W10" s="354"/>
      <c r="X10" s="354"/>
      <c r="Y10" s="354"/>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53" t="str">
        <f>'1. паспорт местоположение'!A12</f>
        <v>M_22-20</v>
      </c>
      <c r="F12" s="353"/>
      <c r="G12" s="353"/>
      <c r="H12" s="353"/>
      <c r="I12" s="353"/>
      <c r="J12" s="353"/>
      <c r="K12" s="353"/>
      <c r="L12" s="353"/>
      <c r="M12" s="353"/>
      <c r="N12" s="353"/>
      <c r="O12" s="353"/>
      <c r="P12" s="353"/>
      <c r="Q12" s="353"/>
      <c r="R12" s="353"/>
      <c r="S12" s="353"/>
      <c r="T12" s="353"/>
      <c r="U12" s="353"/>
      <c r="V12" s="353"/>
      <c r="W12" s="353"/>
      <c r="X12" s="353"/>
      <c r="Y12" s="353"/>
    </row>
    <row r="13" spans="1:27" s="14" customFormat="1" ht="18.75" customHeight="1" x14ac:dyDescent="0.2">
      <c r="E13" s="354" t="s">
        <v>5</v>
      </c>
      <c r="F13" s="354"/>
      <c r="G13" s="354"/>
      <c r="H13" s="354"/>
      <c r="I13" s="354"/>
      <c r="J13" s="354"/>
      <c r="K13" s="354"/>
      <c r="L13" s="354"/>
      <c r="M13" s="354"/>
      <c r="N13" s="354"/>
      <c r="O13" s="354"/>
      <c r="P13" s="354"/>
      <c r="Q13" s="354"/>
      <c r="R13" s="354"/>
      <c r="S13" s="354"/>
      <c r="T13" s="354"/>
      <c r="U13" s="354"/>
      <c r="V13" s="354"/>
      <c r="W13" s="354"/>
      <c r="X13" s="354"/>
      <c r="Y13" s="354"/>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53" t="str">
        <f>'1. паспорт местоположение'!A15</f>
        <v>Строительство сетей электроснабжения многоквартирных ж/домов в г.Пионерском, ул. Октябрьская  КН:39:19:010314:37</v>
      </c>
      <c r="F15" s="353"/>
      <c r="G15" s="353"/>
      <c r="H15" s="353"/>
      <c r="I15" s="353"/>
      <c r="J15" s="353"/>
      <c r="K15" s="353"/>
      <c r="L15" s="353"/>
      <c r="M15" s="353"/>
      <c r="N15" s="353"/>
      <c r="O15" s="353"/>
      <c r="P15" s="353"/>
      <c r="Q15" s="353"/>
      <c r="R15" s="353"/>
      <c r="S15" s="353"/>
      <c r="T15" s="353"/>
      <c r="U15" s="353"/>
      <c r="V15" s="353"/>
      <c r="W15" s="353"/>
      <c r="X15" s="353"/>
      <c r="Y15" s="353"/>
    </row>
    <row r="16" spans="1:27" s="106" customFormat="1" ht="15" customHeight="1" x14ac:dyDescent="0.2">
      <c r="E16" s="354" t="s">
        <v>4</v>
      </c>
      <c r="F16" s="354"/>
      <c r="G16" s="354"/>
      <c r="H16" s="354"/>
      <c r="I16" s="354"/>
      <c r="J16" s="354"/>
      <c r="K16" s="354"/>
      <c r="L16" s="354"/>
      <c r="M16" s="354"/>
      <c r="N16" s="354"/>
      <c r="O16" s="354"/>
      <c r="P16" s="354"/>
      <c r="Q16" s="354"/>
      <c r="R16" s="354"/>
      <c r="S16" s="354"/>
      <c r="T16" s="354"/>
      <c r="U16" s="354"/>
      <c r="V16" s="354"/>
      <c r="W16" s="354"/>
      <c r="X16" s="354"/>
      <c r="Y16" s="354"/>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389</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27" customFormat="1" ht="21" customHeight="1" x14ac:dyDescent="0.25"/>
    <row r="21" spans="1:27" ht="15.75" customHeight="1" x14ac:dyDescent="0.25">
      <c r="A21" s="376" t="s">
        <v>3</v>
      </c>
      <c r="B21" s="372" t="s">
        <v>396</v>
      </c>
      <c r="C21" s="373"/>
      <c r="D21" s="372" t="s">
        <v>398</v>
      </c>
      <c r="E21" s="373"/>
      <c r="F21" s="364" t="s">
        <v>88</v>
      </c>
      <c r="G21" s="366"/>
      <c r="H21" s="366"/>
      <c r="I21" s="365"/>
      <c r="J21" s="376" t="s">
        <v>399</v>
      </c>
      <c r="K21" s="372" t="s">
        <v>400</v>
      </c>
      <c r="L21" s="373"/>
      <c r="M21" s="372" t="s">
        <v>401</v>
      </c>
      <c r="N21" s="373"/>
      <c r="O21" s="372" t="s">
        <v>388</v>
      </c>
      <c r="P21" s="373"/>
      <c r="Q21" s="372" t="s">
        <v>121</v>
      </c>
      <c r="R21" s="373"/>
      <c r="S21" s="376" t="s">
        <v>120</v>
      </c>
      <c r="T21" s="376" t="s">
        <v>402</v>
      </c>
      <c r="U21" s="376" t="s">
        <v>397</v>
      </c>
      <c r="V21" s="372" t="s">
        <v>119</v>
      </c>
      <c r="W21" s="373"/>
      <c r="X21" s="364" t="s">
        <v>111</v>
      </c>
      <c r="Y21" s="366"/>
      <c r="Z21" s="364" t="s">
        <v>110</v>
      </c>
      <c r="AA21" s="366"/>
    </row>
    <row r="22" spans="1:27" ht="216" customHeight="1" x14ac:dyDescent="0.25">
      <c r="A22" s="379"/>
      <c r="B22" s="374"/>
      <c r="C22" s="375"/>
      <c r="D22" s="374"/>
      <c r="E22" s="375"/>
      <c r="F22" s="364" t="s">
        <v>118</v>
      </c>
      <c r="G22" s="365"/>
      <c r="H22" s="364" t="s">
        <v>117</v>
      </c>
      <c r="I22" s="365"/>
      <c r="J22" s="377"/>
      <c r="K22" s="374"/>
      <c r="L22" s="375"/>
      <c r="M22" s="374"/>
      <c r="N22" s="375"/>
      <c r="O22" s="374"/>
      <c r="P22" s="375"/>
      <c r="Q22" s="374"/>
      <c r="R22" s="375"/>
      <c r="S22" s="377"/>
      <c r="T22" s="377"/>
      <c r="U22" s="377"/>
      <c r="V22" s="374"/>
      <c r="W22" s="375"/>
      <c r="X22" s="54" t="s">
        <v>109</v>
      </c>
      <c r="Y22" s="54" t="s">
        <v>386</v>
      </c>
      <c r="Z22" s="54" t="s">
        <v>108</v>
      </c>
      <c r="AA22" s="54" t="s">
        <v>107</v>
      </c>
    </row>
    <row r="23" spans="1:27" ht="60" customHeight="1" x14ac:dyDescent="0.25">
      <c r="A23" s="377"/>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29.25" customHeight="1" x14ac:dyDescent="0.25">
      <c r="A25" s="93">
        <v>1</v>
      </c>
      <c r="B25" s="94" t="s">
        <v>297</v>
      </c>
      <c r="C25" s="93" t="s">
        <v>651</v>
      </c>
      <c r="D25" s="93" t="s">
        <v>297</v>
      </c>
      <c r="E25" s="93" t="s">
        <v>537</v>
      </c>
      <c r="F25" s="93" t="s">
        <v>537</v>
      </c>
      <c r="G25" s="93">
        <v>15</v>
      </c>
      <c r="H25" s="93" t="s">
        <v>537</v>
      </c>
      <c r="I25" s="93">
        <v>15</v>
      </c>
      <c r="J25" s="93">
        <v>2021</v>
      </c>
      <c r="K25" s="93" t="s">
        <v>537</v>
      </c>
      <c r="L25" s="93" t="s">
        <v>537</v>
      </c>
      <c r="M25" s="93" t="s">
        <v>537</v>
      </c>
      <c r="N25" s="93" t="s">
        <v>653</v>
      </c>
      <c r="O25" s="93" t="s">
        <v>537</v>
      </c>
      <c r="P25" s="93" t="s">
        <v>585</v>
      </c>
      <c r="Q25" s="93" t="s">
        <v>537</v>
      </c>
      <c r="R25" s="93">
        <v>0.2</v>
      </c>
      <c r="S25" s="93" t="s">
        <v>537</v>
      </c>
      <c r="T25" s="93" t="s">
        <v>537</v>
      </c>
      <c r="U25" s="93" t="s">
        <v>537</v>
      </c>
      <c r="V25" s="93" t="s">
        <v>537</v>
      </c>
      <c r="W25" s="93" t="s">
        <v>537</v>
      </c>
      <c r="X25" s="93" t="s">
        <v>537</v>
      </c>
      <c r="Y25" s="93" t="s">
        <v>537</v>
      </c>
      <c r="Z25" s="93" t="s">
        <v>537</v>
      </c>
      <c r="AA25" s="93" t="s">
        <v>537</v>
      </c>
    </row>
    <row r="26" spans="1:27" s="27" customFormat="1" ht="47.25" x14ac:dyDescent="0.25">
      <c r="A26" s="93">
        <v>2</v>
      </c>
      <c r="B26" s="93"/>
      <c r="C26" s="93" t="s">
        <v>652</v>
      </c>
      <c r="D26" s="93"/>
      <c r="E26" s="93" t="s">
        <v>537</v>
      </c>
      <c r="F26" s="93" t="s">
        <v>537</v>
      </c>
      <c r="G26" s="93">
        <v>15</v>
      </c>
      <c r="H26" s="93"/>
      <c r="I26" s="93">
        <v>15</v>
      </c>
      <c r="J26" s="93">
        <v>2021</v>
      </c>
      <c r="K26" s="93" t="s">
        <v>537</v>
      </c>
      <c r="L26" s="93" t="s">
        <v>537</v>
      </c>
      <c r="M26" s="93" t="s">
        <v>537</v>
      </c>
      <c r="N26" s="93" t="s">
        <v>653</v>
      </c>
      <c r="O26" s="93" t="s">
        <v>537</v>
      </c>
      <c r="P26" s="93" t="s">
        <v>585</v>
      </c>
      <c r="Q26" s="93" t="s">
        <v>537</v>
      </c>
      <c r="R26" s="93">
        <v>0.2</v>
      </c>
      <c r="S26" s="93" t="s">
        <v>537</v>
      </c>
      <c r="T26" s="93" t="s">
        <v>537</v>
      </c>
      <c r="U26" s="93" t="s">
        <v>537</v>
      </c>
      <c r="V26" s="93" t="s">
        <v>537</v>
      </c>
      <c r="W26" s="93" t="s">
        <v>537</v>
      </c>
      <c r="X26" s="93" t="s">
        <v>537</v>
      </c>
      <c r="Y26" s="93" t="s">
        <v>537</v>
      </c>
      <c r="Z26" s="93" t="s">
        <v>537</v>
      </c>
      <c r="AA26" s="93" t="s">
        <v>537</v>
      </c>
    </row>
    <row r="27" spans="1:27" x14ac:dyDescent="0.25">
      <c r="R27" s="26">
        <f>SUM(R25:R26)</f>
        <v>0.4</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honeticPr fontId="102" type="noConversion"/>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29" sqref="C29"/>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48" t="str">
        <f>'1. паспорт местоположение'!A5:C5</f>
        <v>Год раскрытия информации: 2023 год</v>
      </c>
      <c r="B5" s="348"/>
      <c r="C5" s="348"/>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x14ac:dyDescent="0.3">
      <c r="A6" s="105"/>
      <c r="G6" s="12"/>
    </row>
    <row r="7" spans="1:29" s="14" customFormat="1" ht="18.75" x14ac:dyDescent="0.2">
      <c r="A7" s="358" t="s">
        <v>7</v>
      </c>
      <c r="B7" s="358"/>
      <c r="C7" s="358"/>
      <c r="D7" s="107"/>
      <c r="E7" s="107"/>
      <c r="F7" s="107"/>
      <c r="G7" s="107"/>
      <c r="H7" s="107"/>
      <c r="I7" s="107"/>
      <c r="J7" s="107"/>
      <c r="K7" s="107"/>
      <c r="L7" s="107"/>
      <c r="M7" s="107"/>
      <c r="N7" s="107"/>
      <c r="O7" s="107"/>
      <c r="P7" s="107"/>
      <c r="Q7" s="107"/>
      <c r="R7" s="107"/>
      <c r="S7" s="107"/>
      <c r="T7" s="107"/>
      <c r="U7" s="107"/>
    </row>
    <row r="8" spans="1:29" s="14" customFormat="1" ht="18.75" x14ac:dyDescent="0.2">
      <c r="A8" s="358"/>
      <c r="B8" s="358"/>
      <c r="C8" s="358"/>
      <c r="D8" s="118"/>
      <c r="E8" s="118"/>
      <c r="F8" s="118"/>
      <c r="G8" s="118"/>
      <c r="H8" s="107"/>
      <c r="I8" s="107"/>
      <c r="J8" s="107"/>
      <c r="K8" s="107"/>
      <c r="L8" s="107"/>
      <c r="M8" s="107"/>
      <c r="N8" s="107"/>
      <c r="O8" s="107"/>
      <c r="P8" s="107"/>
      <c r="Q8" s="107"/>
      <c r="R8" s="107"/>
      <c r="S8" s="107"/>
      <c r="T8" s="107"/>
      <c r="U8" s="107"/>
    </row>
    <row r="9" spans="1:29" s="14" customFormat="1" ht="18.75" x14ac:dyDescent="0.2">
      <c r="A9" s="353" t="str">
        <f>'1. паспорт местоположение'!A9:C9</f>
        <v xml:space="preserve">Акционерное общество "Западная энергетическая компания" </v>
      </c>
      <c r="B9" s="353"/>
      <c r="C9" s="353"/>
      <c r="D9" s="109"/>
      <c r="E9" s="109"/>
      <c r="F9" s="109"/>
      <c r="G9" s="109"/>
      <c r="H9" s="107"/>
      <c r="I9" s="107"/>
      <c r="J9" s="107"/>
      <c r="K9" s="107"/>
      <c r="L9" s="107"/>
      <c r="M9" s="107"/>
      <c r="N9" s="107"/>
      <c r="O9" s="107"/>
      <c r="P9" s="107"/>
      <c r="Q9" s="107"/>
      <c r="R9" s="107"/>
      <c r="S9" s="107"/>
      <c r="T9" s="107"/>
      <c r="U9" s="107"/>
    </row>
    <row r="10" spans="1:29" s="14" customFormat="1" ht="18.75" x14ac:dyDescent="0.2">
      <c r="A10" s="354" t="s">
        <v>6</v>
      </c>
      <c r="B10" s="354"/>
      <c r="C10" s="354"/>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58"/>
      <c r="B11" s="358"/>
      <c r="C11" s="358"/>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53" t="str">
        <f>'1. паспорт местоположение'!A12:C12</f>
        <v>M_22-20</v>
      </c>
      <c r="B12" s="353"/>
      <c r="C12" s="353"/>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54" t="s">
        <v>5</v>
      </c>
      <c r="B13" s="354"/>
      <c r="C13" s="354"/>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55"/>
      <c r="B14" s="355"/>
      <c r="C14" s="355"/>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80" t="str">
        <f>'1. паспорт местоположение'!A15:C15</f>
        <v>Строительство сетей электроснабжения многоквартирных ж/домов в г.Пионерском, ул. Октябрьская  КН:39:19:010314:37</v>
      </c>
      <c r="B15" s="380"/>
      <c r="C15" s="380"/>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54" t="s">
        <v>4</v>
      </c>
      <c r="B16" s="354"/>
      <c r="C16" s="354"/>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55"/>
      <c r="B17" s="355"/>
      <c r="C17" s="355"/>
      <c r="D17" s="108"/>
      <c r="E17" s="108"/>
      <c r="F17" s="108"/>
      <c r="G17" s="108"/>
      <c r="H17" s="108"/>
      <c r="I17" s="108"/>
      <c r="J17" s="108"/>
      <c r="K17" s="108"/>
      <c r="L17" s="108"/>
      <c r="M17" s="108"/>
      <c r="N17" s="108"/>
      <c r="O17" s="108"/>
      <c r="P17" s="108"/>
      <c r="Q17" s="108"/>
      <c r="R17" s="108"/>
    </row>
    <row r="18" spans="1:21" s="106" customFormat="1" ht="27.75" customHeight="1" x14ac:dyDescent="0.2">
      <c r="A18" s="356" t="s">
        <v>381</v>
      </c>
      <c r="B18" s="356"/>
      <c r="C18" s="356"/>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
        <v>640</v>
      </c>
      <c r="D22" s="110"/>
      <c r="E22" s="110"/>
      <c r="F22" s="108"/>
      <c r="G22" s="108"/>
      <c r="H22" s="108"/>
      <c r="I22" s="108"/>
      <c r="J22" s="108"/>
      <c r="K22" s="108"/>
      <c r="L22" s="108"/>
      <c r="M22" s="108"/>
      <c r="N22" s="108"/>
      <c r="O22" s="108"/>
      <c r="P22" s="108"/>
    </row>
    <row r="23" spans="1:21" ht="63" customHeight="1" x14ac:dyDescent="0.25">
      <c r="A23" s="120" t="s">
        <v>61</v>
      </c>
      <c r="B23" s="121" t="s">
        <v>58</v>
      </c>
      <c r="C23" s="122" t="s">
        <v>654</v>
      </c>
    </row>
    <row r="24" spans="1:21" ht="89.25" customHeight="1" x14ac:dyDescent="0.25">
      <c r="A24" s="120" t="s">
        <v>60</v>
      </c>
      <c r="B24" s="121" t="s">
        <v>413</v>
      </c>
      <c r="C24" s="122" t="s">
        <v>655</v>
      </c>
    </row>
    <row r="25" spans="1:21" ht="63" customHeight="1" x14ac:dyDescent="0.25">
      <c r="A25" s="120" t="s">
        <v>59</v>
      </c>
      <c r="B25" s="121" t="s">
        <v>414</v>
      </c>
      <c r="C25" s="331"/>
    </row>
    <row r="26" spans="1:21" ht="42.75" customHeight="1" x14ac:dyDescent="0.25">
      <c r="A26" s="120" t="s">
        <v>57</v>
      </c>
      <c r="B26" s="121" t="s">
        <v>208</v>
      </c>
      <c r="C26" s="119" t="s">
        <v>436</v>
      </c>
    </row>
    <row r="27" spans="1:21" ht="31.5" x14ac:dyDescent="0.25">
      <c r="A27" s="120" t="s">
        <v>56</v>
      </c>
      <c r="B27" s="121" t="s">
        <v>395</v>
      </c>
      <c r="C27" s="119" t="s">
        <v>641</v>
      </c>
    </row>
    <row r="28" spans="1:21" ht="42.75" customHeight="1" x14ac:dyDescent="0.25">
      <c r="A28" s="120" t="s">
        <v>54</v>
      </c>
      <c r="B28" s="121" t="s">
        <v>55</v>
      </c>
      <c r="C28" s="122">
        <v>2022</v>
      </c>
    </row>
    <row r="29" spans="1:21" ht="42.75" customHeight="1" x14ac:dyDescent="0.25">
      <c r="A29" s="120" t="s">
        <v>52</v>
      </c>
      <c r="B29" s="119" t="s">
        <v>53</v>
      </c>
      <c r="C29" s="122">
        <v>2022</v>
      </c>
    </row>
    <row r="30" spans="1:21" ht="42.75" customHeight="1" x14ac:dyDescent="0.25">
      <c r="A30" s="120" t="s">
        <v>70</v>
      </c>
      <c r="B30" s="119" t="s">
        <v>51</v>
      </c>
      <c r="C30" s="119" t="s">
        <v>634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48" t="str">
        <f>'1. паспорт местоположение'!A5:C5</f>
        <v>Год раскрытия информации: 2023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8" t="s">
        <v>7</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107"/>
      <c r="AB6" s="107"/>
    </row>
    <row r="7" spans="1:28" ht="18.75" x14ac:dyDescent="0.25">
      <c r="A7" s="358"/>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107"/>
      <c r="AB7" s="107"/>
    </row>
    <row r="8" spans="1:28" ht="15.75" x14ac:dyDescent="0.25">
      <c r="A8" s="353" t="str">
        <f>'1. паспорт местоположение'!A9:C9</f>
        <v xml:space="preserve">Акционерное общество "Западная энергетическая компания" </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109"/>
      <c r="AB8" s="109"/>
    </row>
    <row r="9" spans="1:28" ht="15.75" x14ac:dyDescent="0.25">
      <c r="A9" s="354" t="s">
        <v>6</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110"/>
      <c r="AB9" s="110"/>
    </row>
    <row r="10" spans="1:28" ht="18.75" x14ac:dyDescent="0.25">
      <c r="A10" s="358"/>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107"/>
      <c r="AB10" s="107"/>
    </row>
    <row r="11" spans="1:28" ht="15.75" x14ac:dyDescent="0.25">
      <c r="A11" s="359" t="str">
        <f>'1. паспорт местоположение'!A12:C12</f>
        <v>M_22-20</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109"/>
      <c r="AB11" s="109"/>
    </row>
    <row r="12" spans="1:28" ht="15.75" x14ac:dyDescent="0.25">
      <c r="A12" s="354" t="s">
        <v>5</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110"/>
      <c r="AB12" s="110"/>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124"/>
      <c r="AB13" s="124"/>
    </row>
    <row r="14" spans="1:28" ht="15.75" x14ac:dyDescent="0.25">
      <c r="A14" s="353" t="str">
        <f>'1. паспорт местоположение'!A15:C15</f>
        <v>Строительство сетей электроснабжения многоквартирных ж/домов в г.Пионерском, ул. Октябрьская  КН:39:19:010314:37</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109"/>
      <c r="AB14" s="109"/>
    </row>
    <row r="15" spans="1:28" ht="15.75" x14ac:dyDescent="0.25">
      <c r="A15" s="354" t="s">
        <v>4</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110"/>
      <c r="AB15" s="110"/>
    </row>
    <row r="16" spans="1:28"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125"/>
      <c r="AB16" s="125"/>
    </row>
    <row r="17" spans="1:2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125"/>
      <c r="AB17" s="125"/>
    </row>
    <row r="18" spans="1:28"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125"/>
      <c r="AB18" s="125"/>
    </row>
    <row r="19" spans="1:2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125"/>
      <c r="AB19" s="125"/>
    </row>
    <row r="20" spans="1:28"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125"/>
      <c r="AB20" s="125"/>
    </row>
    <row r="21" spans="1:28" x14ac:dyDescent="0.25">
      <c r="A21" s="381"/>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125"/>
      <c r="AB21" s="125"/>
    </row>
    <row r="22" spans="1:28" x14ac:dyDescent="0.25">
      <c r="A22" s="382" t="s">
        <v>412</v>
      </c>
      <c r="B22" s="382"/>
      <c r="C22" s="382"/>
      <c r="D22" s="382"/>
      <c r="E22" s="382"/>
      <c r="F22" s="382"/>
      <c r="G22" s="382"/>
      <c r="H22" s="382"/>
      <c r="I22" s="382"/>
      <c r="J22" s="382"/>
      <c r="K22" s="382"/>
      <c r="L22" s="382"/>
      <c r="M22" s="382"/>
      <c r="N22" s="382"/>
      <c r="O22" s="382"/>
      <c r="P22" s="382"/>
      <c r="Q22" s="382"/>
      <c r="R22" s="382"/>
      <c r="S22" s="382"/>
      <c r="T22" s="382"/>
      <c r="U22" s="382"/>
      <c r="V22" s="382"/>
      <c r="W22" s="382"/>
      <c r="X22" s="382"/>
      <c r="Y22" s="382"/>
      <c r="Z22" s="382"/>
      <c r="AA22" s="126"/>
      <c r="AB22" s="126"/>
    </row>
    <row r="23" spans="1:28" ht="32.25" customHeight="1" x14ac:dyDescent="0.25">
      <c r="A23" s="384" t="s">
        <v>295</v>
      </c>
      <c r="B23" s="385"/>
      <c r="C23" s="385"/>
      <c r="D23" s="385"/>
      <c r="E23" s="385"/>
      <c r="F23" s="385"/>
      <c r="G23" s="385"/>
      <c r="H23" s="385"/>
      <c r="I23" s="385"/>
      <c r="J23" s="385"/>
      <c r="K23" s="385"/>
      <c r="L23" s="386"/>
      <c r="M23" s="383" t="s">
        <v>296</v>
      </c>
      <c r="N23" s="383"/>
      <c r="O23" s="383"/>
      <c r="P23" s="383"/>
      <c r="Q23" s="383"/>
      <c r="R23" s="383"/>
      <c r="S23" s="383"/>
      <c r="T23" s="383"/>
      <c r="U23" s="383"/>
      <c r="V23" s="383"/>
      <c r="W23" s="383"/>
      <c r="X23" s="383"/>
      <c r="Y23" s="383"/>
      <c r="Z23" s="383"/>
    </row>
    <row r="24" spans="1:28" ht="151.5" customHeight="1" x14ac:dyDescent="0.25">
      <c r="A24" s="127" t="s">
        <v>210</v>
      </c>
      <c r="B24" s="128" t="s">
        <v>230</v>
      </c>
      <c r="C24" s="127" t="s">
        <v>293</v>
      </c>
      <c r="D24" s="127" t="s">
        <v>211</v>
      </c>
      <c r="E24" s="127" t="s">
        <v>294</v>
      </c>
      <c r="F24" s="127" t="s">
        <v>442</v>
      </c>
      <c r="G24" s="127" t="s">
        <v>443</v>
      </c>
      <c r="H24" s="127" t="s">
        <v>212</v>
      </c>
      <c r="I24" s="127" t="s">
        <v>444</v>
      </c>
      <c r="J24" s="127" t="s">
        <v>235</v>
      </c>
      <c r="K24" s="128" t="s">
        <v>229</v>
      </c>
      <c r="L24" s="128" t="s">
        <v>213</v>
      </c>
      <c r="M24" s="129" t="s">
        <v>242</v>
      </c>
      <c r="N24" s="128" t="s">
        <v>445</v>
      </c>
      <c r="O24" s="127" t="s">
        <v>446</v>
      </c>
      <c r="P24" s="127" t="s">
        <v>447</v>
      </c>
      <c r="Q24" s="127" t="s">
        <v>448</v>
      </c>
      <c r="R24" s="127" t="s">
        <v>212</v>
      </c>
      <c r="S24" s="127" t="s">
        <v>449</v>
      </c>
      <c r="T24" s="127" t="s">
        <v>450</v>
      </c>
      <c r="U24" s="127" t="s">
        <v>451</v>
      </c>
      <c r="V24" s="127" t="s">
        <v>448</v>
      </c>
      <c r="W24" s="130" t="s">
        <v>452</v>
      </c>
      <c r="X24" s="130" t="s">
        <v>453</v>
      </c>
      <c r="Y24" s="130" t="s">
        <v>454</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455</v>
      </c>
      <c r="D26" s="133" t="s">
        <v>456</v>
      </c>
      <c r="E26" s="133" t="s">
        <v>457</v>
      </c>
      <c r="F26" s="133" t="s">
        <v>458</v>
      </c>
      <c r="G26" s="133" t="s">
        <v>459</v>
      </c>
      <c r="H26" s="133" t="s">
        <v>212</v>
      </c>
      <c r="I26" s="133" t="s">
        <v>460</v>
      </c>
      <c r="J26" s="133" t="s">
        <v>461</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462</v>
      </c>
      <c r="G27" s="133" t="s">
        <v>463</v>
      </c>
      <c r="H27" s="134" t="s">
        <v>212</v>
      </c>
      <c r="I27" s="133" t="s">
        <v>464</v>
      </c>
      <c r="J27" s="133" t="s">
        <v>465</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466</v>
      </c>
      <c r="G28" s="133" t="s">
        <v>467</v>
      </c>
      <c r="H28" s="134" t="s">
        <v>212</v>
      </c>
      <c r="I28" s="133" t="s">
        <v>236</v>
      </c>
      <c r="J28" s="133" t="s">
        <v>468</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469</v>
      </c>
      <c r="G29" s="133" t="s">
        <v>470</v>
      </c>
      <c r="H29" s="134" t="s">
        <v>212</v>
      </c>
      <c r="I29" s="133" t="s">
        <v>237</v>
      </c>
      <c r="J29" s="133" t="s">
        <v>471</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472</v>
      </c>
      <c r="G30" s="133" t="s">
        <v>473</v>
      </c>
      <c r="H30" s="134" t="s">
        <v>212</v>
      </c>
      <c r="I30" s="133" t="s">
        <v>238</v>
      </c>
      <c r="J30" s="133" t="s">
        <v>474</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475</v>
      </c>
      <c r="D32" s="133" t="s">
        <v>476</v>
      </c>
      <c r="E32" s="133" t="s">
        <v>477</v>
      </c>
      <c r="F32" s="133" t="s">
        <v>478</v>
      </c>
      <c r="G32" s="133" t="s">
        <v>479</v>
      </c>
      <c r="H32" s="133" t="s">
        <v>212</v>
      </c>
      <c r="I32" s="133" t="s">
        <v>480</v>
      </c>
      <c r="J32" s="133" t="s">
        <v>481</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48" t="str">
        <f>'1. паспорт местоположение'!A5:C5</f>
        <v>Год раскрытия информации: 2023 год</v>
      </c>
      <c r="B5" s="348"/>
      <c r="C5" s="348"/>
      <c r="D5" s="348"/>
      <c r="E5" s="348"/>
      <c r="F5" s="348"/>
      <c r="G5" s="348"/>
      <c r="H5" s="348"/>
      <c r="I5" s="348"/>
      <c r="J5" s="348"/>
      <c r="K5" s="348"/>
      <c r="L5" s="348"/>
      <c r="M5" s="348"/>
      <c r="N5" s="348"/>
      <c r="O5" s="348"/>
      <c r="P5" s="85"/>
      <c r="Q5" s="85"/>
      <c r="R5" s="85"/>
      <c r="S5" s="85"/>
      <c r="T5" s="85"/>
      <c r="U5" s="85"/>
      <c r="V5" s="85"/>
      <c r="W5" s="85"/>
      <c r="X5" s="85"/>
      <c r="Y5" s="85"/>
      <c r="Z5" s="85"/>
      <c r="AA5" s="85"/>
      <c r="AB5" s="85"/>
    </row>
    <row r="6" spans="1:28" s="14" customFormat="1" ht="18.75" x14ac:dyDescent="0.3">
      <c r="A6" s="105"/>
      <c r="B6" s="105"/>
      <c r="L6" s="12"/>
    </row>
    <row r="7" spans="1:28" s="14" customFormat="1" ht="18.75" x14ac:dyDescent="0.2">
      <c r="A7" s="358" t="s">
        <v>7</v>
      </c>
      <c r="B7" s="358"/>
      <c r="C7" s="358"/>
      <c r="D7" s="358"/>
      <c r="E7" s="358"/>
      <c r="F7" s="358"/>
      <c r="G7" s="358"/>
      <c r="H7" s="358"/>
      <c r="I7" s="358"/>
      <c r="J7" s="358"/>
      <c r="K7" s="358"/>
      <c r="L7" s="358"/>
      <c r="M7" s="358"/>
      <c r="N7" s="358"/>
      <c r="O7" s="358"/>
      <c r="P7" s="107"/>
      <c r="Q7" s="107"/>
      <c r="R7" s="107"/>
      <c r="S7" s="107"/>
      <c r="T7" s="107"/>
      <c r="U7" s="107"/>
      <c r="V7" s="107"/>
      <c r="W7" s="107"/>
      <c r="X7" s="107"/>
      <c r="Y7" s="107"/>
      <c r="Z7" s="107"/>
    </row>
    <row r="8" spans="1:28" s="14" customFormat="1" ht="18.75" x14ac:dyDescent="0.2">
      <c r="A8" s="358"/>
      <c r="B8" s="358"/>
      <c r="C8" s="358"/>
      <c r="D8" s="358"/>
      <c r="E8" s="358"/>
      <c r="F8" s="358"/>
      <c r="G8" s="358"/>
      <c r="H8" s="358"/>
      <c r="I8" s="358"/>
      <c r="J8" s="358"/>
      <c r="K8" s="358"/>
      <c r="L8" s="358"/>
      <c r="M8" s="358"/>
      <c r="N8" s="358"/>
      <c r="O8" s="358"/>
      <c r="P8" s="107"/>
      <c r="Q8" s="107"/>
      <c r="R8" s="107"/>
      <c r="S8" s="107"/>
      <c r="T8" s="107"/>
      <c r="U8" s="107"/>
      <c r="V8" s="107"/>
      <c r="W8" s="107"/>
      <c r="X8" s="107"/>
      <c r="Y8" s="107"/>
      <c r="Z8" s="107"/>
    </row>
    <row r="9" spans="1:28" s="14" customFormat="1" ht="18.75" x14ac:dyDescent="0.2">
      <c r="A9" s="353" t="str">
        <f>'1. паспорт местоположение'!A9:C9</f>
        <v xml:space="preserve">Акционерное общество "Западная энергетическая компания" </v>
      </c>
      <c r="B9" s="353"/>
      <c r="C9" s="353"/>
      <c r="D9" s="353"/>
      <c r="E9" s="353"/>
      <c r="F9" s="353"/>
      <c r="G9" s="353"/>
      <c r="H9" s="353"/>
      <c r="I9" s="353"/>
      <c r="J9" s="353"/>
      <c r="K9" s="353"/>
      <c r="L9" s="353"/>
      <c r="M9" s="353"/>
      <c r="N9" s="353"/>
      <c r="O9" s="353"/>
      <c r="P9" s="107"/>
      <c r="Q9" s="107"/>
      <c r="R9" s="107"/>
      <c r="S9" s="107"/>
      <c r="T9" s="107"/>
      <c r="U9" s="107"/>
      <c r="V9" s="107"/>
      <c r="W9" s="107"/>
      <c r="X9" s="107"/>
      <c r="Y9" s="107"/>
      <c r="Z9" s="107"/>
    </row>
    <row r="10" spans="1:28" s="14" customFormat="1" ht="18.75" x14ac:dyDescent="0.2">
      <c r="A10" s="354" t="s">
        <v>6</v>
      </c>
      <c r="B10" s="354"/>
      <c r="C10" s="354"/>
      <c r="D10" s="354"/>
      <c r="E10" s="354"/>
      <c r="F10" s="354"/>
      <c r="G10" s="354"/>
      <c r="H10" s="354"/>
      <c r="I10" s="354"/>
      <c r="J10" s="354"/>
      <c r="K10" s="354"/>
      <c r="L10" s="354"/>
      <c r="M10" s="354"/>
      <c r="N10" s="354"/>
      <c r="O10" s="354"/>
      <c r="P10" s="107"/>
      <c r="Q10" s="107"/>
      <c r="R10" s="107"/>
      <c r="S10" s="107"/>
      <c r="T10" s="107"/>
      <c r="U10" s="107"/>
      <c r="V10" s="107"/>
      <c r="W10" s="107"/>
      <c r="X10" s="107"/>
      <c r="Y10" s="107"/>
      <c r="Z10" s="107"/>
    </row>
    <row r="11" spans="1:28" s="14" customFormat="1" ht="18.75" x14ac:dyDescent="0.2">
      <c r="A11" s="358"/>
      <c r="B11" s="358"/>
      <c r="C11" s="358"/>
      <c r="D11" s="358"/>
      <c r="E11" s="358"/>
      <c r="F11" s="358"/>
      <c r="G11" s="358"/>
      <c r="H11" s="358"/>
      <c r="I11" s="358"/>
      <c r="J11" s="358"/>
      <c r="K11" s="358"/>
      <c r="L11" s="358"/>
      <c r="M11" s="358"/>
      <c r="N11" s="358"/>
      <c r="O11" s="358"/>
      <c r="P11" s="107"/>
      <c r="Q11" s="107"/>
      <c r="R11" s="107"/>
      <c r="S11" s="107"/>
      <c r="T11" s="107"/>
      <c r="U11" s="107"/>
      <c r="V11" s="107"/>
      <c r="W11" s="107"/>
      <c r="X11" s="107"/>
      <c r="Y11" s="107"/>
      <c r="Z11" s="107"/>
    </row>
    <row r="12" spans="1:28" s="14" customFormat="1" ht="18.75" x14ac:dyDescent="0.2">
      <c r="A12" s="359" t="str">
        <f>'1. паспорт местоположение'!A12:C12</f>
        <v>M_22-20</v>
      </c>
      <c r="B12" s="359"/>
      <c r="C12" s="359"/>
      <c r="D12" s="359"/>
      <c r="E12" s="359"/>
      <c r="F12" s="359"/>
      <c r="G12" s="359"/>
      <c r="H12" s="359"/>
      <c r="I12" s="359"/>
      <c r="J12" s="359"/>
      <c r="K12" s="359"/>
      <c r="L12" s="359"/>
      <c r="M12" s="359"/>
      <c r="N12" s="359"/>
      <c r="O12" s="359"/>
      <c r="P12" s="107"/>
      <c r="Q12" s="107"/>
      <c r="R12" s="107"/>
      <c r="S12" s="107"/>
      <c r="T12" s="107"/>
      <c r="U12" s="107"/>
      <c r="V12" s="107"/>
      <c r="W12" s="107"/>
      <c r="X12" s="107"/>
      <c r="Y12" s="107"/>
      <c r="Z12" s="107"/>
    </row>
    <row r="13" spans="1:28" s="14" customFormat="1" ht="18.75" x14ac:dyDescent="0.2">
      <c r="A13" s="354" t="s">
        <v>5</v>
      </c>
      <c r="B13" s="354"/>
      <c r="C13" s="354"/>
      <c r="D13" s="354"/>
      <c r="E13" s="354"/>
      <c r="F13" s="354"/>
      <c r="G13" s="354"/>
      <c r="H13" s="354"/>
      <c r="I13" s="354"/>
      <c r="J13" s="354"/>
      <c r="K13" s="354"/>
      <c r="L13" s="354"/>
      <c r="M13" s="354"/>
      <c r="N13" s="354"/>
      <c r="O13" s="354"/>
      <c r="P13" s="107"/>
      <c r="Q13" s="107"/>
      <c r="R13" s="107"/>
      <c r="S13" s="107"/>
      <c r="T13" s="107"/>
      <c r="U13" s="107"/>
      <c r="V13" s="107"/>
      <c r="W13" s="107"/>
      <c r="X13" s="107"/>
      <c r="Y13" s="107"/>
      <c r="Z13" s="107"/>
    </row>
    <row r="14" spans="1:28" s="14" customFormat="1" ht="15.75" customHeight="1" x14ac:dyDescent="0.2">
      <c r="A14" s="355"/>
      <c r="B14" s="355"/>
      <c r="C14" s="355"/>
      <c r="D14" s="355"/>
      <c r="E14" s="355"/>
      <c r="F14" s="355"/>
      <c r="G14" s="355"/>
      <c r="H14" s="355"/>
      <c r="I14" s="355"/>
      <c r="J14" s="355"/>
      <c r="K14" s="355"/>
      <c r="L14" s="355"/>
      <c r="M14" s="355"/>
      <c r="N14" s="355"/>
      <c r="O14" s="355"/>
      <c r="P14" s="108"/>
      <c r="Q14" s="108"/>
      <c r="R14" s="108"/>
      <c r="S14" s="108"/>
      <c r="T14" s="108"/>
      <c r="U14" s="108"/>
      <c r="V14" s="108"/>
      <c r="W14" s="108"/>
      <c r="X14" s="108"/>
      <c r="Y14" s="108"/>
      <c r="Z14" s="108"/>
    </row>
    <row r="15" spans="1:28" s="106" customFormat="1" ht="15.75" x14ac:dyDescent="0.2">
      <c r="A15" s="353" t="str">
        <f>'1. паспорт местоположение'!A15:C15</f>
        <v>Строительство сетей электроснабжения многоквартирных ж/домов в г.Пионерском, ул. Октябрьская  КН:39:19:010314:37</v>
      </c>
      <c r="B15" s="353"/>
      <c r="C15" s="353"/>
      <c r="D15" s="353"/>
      <c r="E15" s="353"/>
      <c r="F15" s="353"/>
      <c r="G15" s="353"/>
      <c r="H15" s="353"/>
      <c r="I15" s="353"/>
      <c r="J15" s="353"/>
      <c r="K15" s="353"/>
      <c r="L15" s="353"/>
      <c r="M15" s="353"/>
      <c r="N15" s="353"/>
      <c r="O15" s="353"/>
      <c r="P15" s="109"/>
      <c r="Q15" s="109"/>
      <c r="R15" s="109"/>
      <c r="S15" s="109"/>
      <c r="T15" s="109"/>
      <c r="U15" s="109"/>
      <c r="V15" s="109"/>
      <c r="W15" s="109"/>
      <c r="X15" s="109"/>
      <c r="Y15" s="109"/>
      <c r="Z15" s="109"/>
    </row>
    <row r="16" spans="1:28" s="106" customFormat="1" ht="15" customHeight="1" x14ac:dyDescent="0.2">
      <c r="A16" s="354" t="s">
        <v>4</v>
      </c>
      <c r="B16" s="354"/>
      <c r="C16" s="354"/>
      <c r="D16" s="354"/>
      <c r="E16" s="354"/>
      <c r="F16" s="354"/>
      <c r="G16" s="354"/>
      <c r="H16" s="354"/>
      <c r="I16" s="354"/>
      <c r="J16" s="354"/>
      <c r="K16" s="354"/>
      <c r="L16" s="354"/>
      <c r="M16" s="354"/>
      <c r="N16" s="354"/>
      <c r="O16" s="354"/>
      <c r="P16" s="110"/>
      <c r="Q16" s="110"/>
      <c r="R16" s="110"/>
      <c r="S16" s="110"/>
      <c r="T16" s="110"/>
      <c r="U16" s="110"/>
      <c r="V16" s="110"/>
      <c r="W16" s="110"/>
      <c r="X16" s="110"/>
      <c r="Y16" s="110"/>
      <c r="Z16" s="110"/>
    </row>
    <row r="17" spans="1:26" s="106" customFormat="1" ht="15" customHeight="1" x14ac:dyDescent="0.2">
      <c r="A17" s="355"/>
      <c r="B17" s="355"/>
      <c r="C17" s="355"/>
      <c r="D17" s="355"/>
      <c r="E17" s="355"/>
      <c r="F17" s="355"/>
      <c r="G17" s="355"/>
      <c r="H17" s="355"/>
      <c r="I17" s="355"/>
      <c r="J17" s="355"/>
      <c r="K17" s="355"/>
      <c r="L17" s="355"/>
      <c r="M17" s="355"/>
      <c r="N17" s="355"/>
      <c r="O17" s="355"/>
      <c r="P17" s="108"/>
      <c r="Q17" s="108"/>
      <c r="R17" s="108"/>
      <c r="S17" s="108"/>
      <c r="T17" s="108"/>
      <c r="U17" s="108"/>
      <c r="V17" s="108"/>
      <c r="W17" s="108"/>
    </row>
    <row r="18" spans="1:26" s="106" customFormat="1" ht="91.5" customHeight="1" x14ac:dyDescent="0.2">
      <c r="A18" s="391" t="s">
        <v>390</v>
      </c>
      <c r="B18" s="391"/>
      <c r="C18" s="391"/>
      <c r="D18" s="391"/>
      <c r="E18" s="391"/>
      <c r="F18" s="391"/>
      <c r="G18" s="391"/>
      <c r="H18" s="391"/>
      <c r="I18" s="391"/>
      <c r="J18" s="391"/>
      <c r="K18" s="391"/>
      <c r="L18" s="391"/>
      <c r="M18" s="391"/>
      <c r="N18" s="391"/>
      <c r="O18" s="391"/>
      <c r="P18" s="111"/>
      <c r="Q18" s="111"/>
      <c r="R18" s="111"/>
      <c r="S18" s="111"/>
      <c r="T18" s="111"/>
      <c r="U18" s="111"/>
      <c r="V18" s="111"/>
      <c r="W18" s="111"/>
      <c r="X18" s="111"/>
      <c r="Y18" s="111"/>
      <c r="Z18" s="111"/>
    </row>
    <row r="19" spans="1:26" s="106" customFormat="1" ht="78" customHeight="1" x14ac:dyDescent="0.2">
      <c r="A19" s="387" t="s">
        <v>3</v>
      </c>
      <c r="B19" s="387" t="s">
        <v>82</v>
      </c>
      <c r="C19" s="387" t="s">
        <v>81</v>
      </c>
      <c r="D19" s="387" t="s">
        <v>73</v>
      </c>
      <c r="E19" s="388" t="s">
        <v>80</v>
      </c>
      <c r="F19" s="389"/>
      <c r="G19" s="389"/>
      <c r="H19" s="389"/>
      <c r="I19" s="390"/>
      <c r="J19" s="387" t="s">
        <v>79</v>
      </c>
      <c r="K19" s="387"/>
      <c r="L19" s="387"/>
      <c r="M19" s="387"/>
      <c r="N19" s="387"/>
      <c r="O19" s="387"/>
      <c r="P19" s="108"/>
      <c r="Q19" s="108"/>
      <c r="R19" s="108"/>
      <c r="S19" s="108"/>
      <c r="T19" s="108"/>
      <c r="U19" s="108"/>
      <c r="V19" s="108"/>
      <c r="W19" s="108"/>
    </row>
    <row r="20" spans="1:26" s="106" customFormat="1" ht="51" customHeight="1" x14ac:dyDescent="0.2">
      <c r="A20" s="387"/>
      <c r="B20" s="387"/>
      <c r="C20" s="387"/>
      <c r="D20" s="387"/>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624</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52" zoomScale="90" zoomScaleNormal="90" workbookViewId="0">
      <selection activeCell="B25" sqref="B25"/>
    </sheetView>
  </sheetViews>
  <sheetFormatPr defaultColWidth="9.140625" defaultRowHeight="15.75" x14ac:dyDescent="0.2"/>
  <cols>
    <col min="1" max="1" width="61.7109375" style="210" customWidth="1"/>
    <col min="2" max="2" width="18.5703125" style="189" customWidth="1"/>
    <col min="3" max="12" width="16.85546875" style="189" customWidth="1"/>
    <col min="13" max="42" width="16.85546875" style="189" hidden="1" customWidth="1"/>
    <col min="43"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440</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397" t="str">
        <f>'1. паспорт местоположение'!A5:C5</f>
        <v>Год раскрытия информации: 2023 год</v>
      </c>
      <c r="B5" s="397"/>
      <c r="C5" s="397"/>
      <c r="D5" s="397"/>
      <c r="E5" s="397"/>
      <c r="F5" s="397"/>
      <c r="G5" s="397"/>
      <c r="H5" s="397"/>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398" t="s">
        <v>7</v>
      </c>
      <c r="B7" s="398"/>
      <c r="C7" s="398"/>
      <c r="D7" s="398"/>
      <c r="E7" s="398"/>
      <c r="F7" s="398"/>
      <c r="G7" s="398"/>
      <c r="H7" s="398"/>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399" t="str">
        <f>'1. паспорт местоположение'!A9:C10</f>
        <v xml:space="preserve">Акционерное общество "Западная энергетическая компания" </v>
      </c>
      <c r="B9" s="399"/>
      <c r="C9" s="399"/>
      <c r="D9" s="399"/>
      <c r="E9" s="399"/>
      <c r="F9" s="399"/>
      <c r="G9" s="399"/>
      <c r="H9" s="3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400" t="s">
        <v>6</v>
      </c>
      <c r="B10" s="400"/>
      <c r="C10" s="400"/>
      <c r="D10" s="400"/>
      <c r="E10" s="400"/>
      <c r="F10" s="400"/>
      <c r="G10" s="400"/>
      <c r="H10" s="400"/>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399" t="str">
        <f>'1. паспорт местоположение'!A12:C12</f>
        <v>M_22-20</v>
      </c>
      <c r="B12" s="399"/>
      <c r="C12" s="399"/>
      <c r="D12" s="399"/>
      <c r="E12" s="399"/>
      <c r="F12" s="399"/>
      <c r="G12" s="399"/>
      <c r="H12" s="3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400" t="s">
        <v>5</v>
      </c>
      <c r="B13" s="400"/>
      <c r="C13" s="400"/>
      <c r="D13" s="400"/>
      <c r="E13" s="400"/>
      <c r="F13" s="400"/>
      <c r="G13" s="400"/>
      <c r="H13" s="400"/>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01" t="str">
        <f>'1. паспорт местоположение'!A15:C15</f>
        <v>Строительство сетей электроснабжения многоквартирных ж/домов в г.Пионерском, ул. Октябрьская  КН:39:19:010314:37</v>
      </c>
      <c r="B15" s="401"/>
      <c r="C15" s="401"/>
      <c r="D15" s="401"/>
      <c r="E15" s="401"/>
      <c r="F15" s="401"/>
      <c r="G15" s="401"/>
      <c r="H15" s="401"/>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400" t="s">
        <v>4</v>
      </c>
      <c r="B16" s="400"/>
      <c r="C16" s="400"/>
      <c r="D16" s="400"/>
      <c r="E16" s="400"/>
      <c r="F16" s="400"/>
      <c r="G16" s="400"/>
      <c r="H16" s="400"/>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399" t="s">
        <v>391</v>
      </c>
      <c r="B18" s="399"/>
      <c r="C18" s="399"/>
      <c r="D18" s="399"/>
      <c r="E18" s="399"/>
      <c r="F18" s="399"/>
      <c r="G18" s="399"/>
      <c r="H18" s="399"/>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6">
        <f>B126/1.2</f>
        <v>5083341</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392" t="s">
        <v>285</v>
      </c>
      <c r="E28" s="393"/>
      <c r="F28" s="394"/>
      <c r="G28" s="395">
        <f ca="1">IF(SUM(B89:L89)=0,"не окупается",SUM(B89:L89))</f>
        <v>6.5052793463416396</v>
      </c>
      <c r="H28" s="396"/>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5083.3409999999994</v>
      </c>
      <c r="C29" s="189"/>
      <c r="D29" s="392" t="s">
        <v>283</v>
      </c>
      <c r="E29" s="393"/>
      <c r="F29" s="394"/>
      <c r="G29" s="395">
        <f ca="1">IF(SUM(B90:L90)=0,"не окупается",SUM(B90:L90))</f>
        <v>7.6507376204762689</v>
      </c>
      <c r="H29" s="396"/>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392" t="s">
        <v>546</v>
      </c>
      <c r="E30" s="393"/>
      <c r="F30" s="394"/>
      <c r="G30" s="404">
        <f ca="1">L87</f>
        <v>2660415.5975193987</v>
      </c>
      <c r="H30" s="405"/>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406"/>
      <c r="E31" s="407"/>
      <c r="F31" s="408"/>
      <c r="G31" s="406"/>
      <c r="H31" s="408"/>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2"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2"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2"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2"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2"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2"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2"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2"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2"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2"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2"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2" s="191" customFormat="1" x14ac:dyDescent="0.2">
      <c r="A44" s="228" t="s">
        <v>272</v>
      </c>
      <c r="B44" s="230">
        <f>B129</f>
        <v>9.8699999999999996E-2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2"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2" s="191" customFormat="1" ht="16.5" thickBot="1" x14ac:dyDescent="0.25">
      <c r="A46" s="231" t="s">
        <v>547</v>
      </c>
      <c r="B46" s="232">
        <f>B45*B44+B43*B42*(1-B36)</f>
        <v>9.8699999999999996E-2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2"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191" customFormat="1" x14ac:dyDescent="0.2">
      <c r="A48" s="236" t="s">
        <v>269</v>
      </c>
      <c r="B48" s="237">
        <v>4.9000000000000002E-2</v>
      </c>
      <c r="C48" s="237">
        <v>0.13900000000000001</v>
      </c>
      <c r="D48" s="237">
        <v>5.8999999999999997E-2</v>
      </c>
      <c r="E48" s="237">
        <v>5.2999999999999999E-2</v>
      </c>
      <c r="F48" s="237">
        <v>4.8000000000000001E-2</v>
      </c>
      <c r="G48" s="237">
        <v>4.7E-2</v>
      </c>
      <c r="H48" s="237">
        <v>4.7E-2</v>
      </c>
      <c r="I48" s="237">
        <v>4.7E-2</v>
      </c>
      <c r="J48" s="237">
        <v>4.7E-2</v>
      </c>
      <c r="K48" s="237">
        <v>4.7E-2</v>
      </c>
      <c r="L48" s="237">
        <v>4.7E-2</v>
      </c>
      <c r="M48" s="237">
        <v>4.7E-2</v>
      </c>
      <c r="N48" s="237">
        <v>4.7E-2</v>
      </c>
      <c r="O48" s="237">
        <v>4.7E-2</v>
      </c>
      <c r="P48" s="237">
        <v>4.7E-2</v>
      </c>
      <c r="Q48" s="237">
        <v>4.7E-2</v>
      </c>
      <c r="R48" s="237">
        <v>4.7E-2</v>
      </c>
      <c r="S48" s="237">
        <v>4.7E-2</v>
      </c>
      <c r="T48" s="237">
        <v>4.7E-2</v>
      </c>
      <c r="U48" s="237">
        <v>4.7E-2</v>
      </c>
      <c r="V48" s="237">
        <v>4.7E-2</v>
      </c>
      <c r="W48" s="237">
        <v>4.7E-2</v>
      </c>
      <c r="X48" s="237">
        <v>4.7E-2</v>
      </c>
      <c r="Y48" s="237">
        <v>4.7E-2</v>
      </c>
      <c r="Z48" s="237">
        <v>4.7E-2</v>
      </c>
      <c r="AA48" s="237">
        <v>4.7E-2</v>
      </c>
      <c r="AB48" s="237">
        <v>4.7E-2</v>
      </c>
      <c r="AC48" s="237">
        <v>4.7E-2</v>
      </c>
      <c r="AD48" s="237">
        <v>4.7E-2</v>
      </c>
      <c r="AE48" s="237">
        <f t="shared" ref="AE48:AP48" si="1">AJ136</f>
        <v>4.7E-2</v>
      </c>
      <c r="AF48" s="237">
        <f t="shared" si="1"/>
        <v>4.7E-2</v>
      </c>
      <c r="AG48" s="237">
        <f t="shared" si="1"/>
        <v>4.7E-2</v>
      </c>
      <c r="AH48" s="237">
        <f t="shared" si="1"/>
        <v>4.7E-2</v>
      </c>
      <c r="AI48" s="237">
        <f t="shared" si="1"/>
        <v>4.7E-2</v>
      </c>
      <c r="AJ48" s="237">
        <f t="shared" si="1"/>
        <v>4.7E-2</v>
      </c>
      <c r="AK48" s="237">
        <f t="shared" si="1"/>
        <v>4.7E-2</v>
      </c>
      <c r="AL48" s="237">
        <f t="shared" si="1"/>
        <v>4.7E-2</v>
      </c>
      <c r="AM48" s="237">
        <f t="shared" si="1"/>
        <v>4.7E-2</v>
      </c>
      <c r="AN48" s="237">
        <f t="shared" si="1"/>
        <v>4.7E-2</v>
      </c>
      <c r="AO48" s="237">
        <f t="shared" si="1"/>
        <v>4.7E-2</v>
      </c>
      <c r="AP48" s="237">
        <f t="shared" si="1"/>
        <v>4.7E-2</v>
      </c>
    </row>
    <row r="49" spans="1:45" x14ac:dyDescent="0.2">
      <c r="A49" s="236" t="s">
        <v>268</v>
      </c>
      <c r="B49" s="237">
        <f>G137</f>
        <v>0.21544892057600018</v>
      </c>
      <c r="C49" s="237">
        <f t="shared" ref="C49:AP49" si="2">H137</f>
        <v>0.27743681552537613</v>
      </c>
      <c r="D49" s="237">
        <f t="shared" si="2"/>
        <v>0.34003121948611947</v>
      </c>
      <c r="E49" s="237">
        <f t="shared" si="2"/>
        <v>0.403012686801967</v>
      </c>
      <c r="F49" s="237">
        <f t="shared" si="2"/>
        <v>0.46895428308165932</v>
      </c>
      <c r="G49" s="237">
        <f t="shared" si="2"/>
        <v>0.53799513438649726</v>
      </c>
      <c r="H49" s="237">
        <f t="shared" si="2"/>
        <v>0.61028090570266258</v>
      </c>
      <c r="I49" s="237">
        <f t="shared" si="2"/>
        <v>0.68596410827068754</v>
      </c>
      <c r="J49" s="237">
        <f t="shared" si="2"/>
        <v>0.7652044213594098</v>
      </c>
      <c r="K49" s="237">
        <f t="shared" si="2"/>
        <v>0.84816902916330195</v>
      </c>
      <c r="L49" s="237">
        <f t="shared" si="2"/>
        <v>0.93503297353397707</v>
      </c>
      <c r="M49" s="237">
        <f t="shared" si="2"/>
        <v>1.0259795232900739</v>
      </c>
      <c r="N49" s="237">
        <f t="shared" si="2"/>
        <v>1.1212005608847071</v>
      </c>
      <c r="O49" s="237">
        <f t="shared" si="2"/>
        <v>1.220896987246288</v>
      </c>
      <c r="P49" s="237">
        <f t="shared" si="2"/>
        <v>1.3252791456468636</v>
      </c>
      <c r="Q49" s="237">
        <f t="shared" si="2"/>
        <v>1.4345672654922659</v>
      </c>
      <c r="R49" s="237">
        <f t="shared" si="2"/>
        <v>1.5489919269704022</v>
      </c>
      <c r="S49" s="237">
        <f t="shared" si="2"/>
        <v>1.668794547538011</v>
      </c>
      <c r="T49" s="237">
        <f t="shared" si="2"/>
        <v>1.7942278912722975</v>
      </c>
      <c r="U49" s="237">
        <f t="shared" si="2"/>
        <v>1.9255566021620951</v>
      </c>
      <c r="V49" s="237">
        <f t="shared" si="2"/>
        <v>2.0630577624637132</v>
      </c>
      <c r="W49" s="237">
        <f t="shared" si="2"/>
        <v>2.2070214772995076</v>
      </c>
      <c r="X49" s="237">
        <f t="shared" si="2"/>
        <v>2.3577514867325844</v>
      </c>
      <c r="Y49" s="237">
        <f t="shared" si="2"/>
        <v>2.5155658066090156</v>
      </c>
      <c r="Z49" s="237">
        <f t="shared" si="2"/>
        <v>2.6807973995196392</v>
      </c>
      <c r="AA49" s="237">
        <f t="shared" si="2"/>
        <v>2.8537948772970618</v>
      </c>
      <c r="AB49" s="237">
        <f t="shared" si="2"/>
        <v>3.0349232365300232</v>
      </c>
      <c r="AC49" s="237">
        <f t="shared" si="2"/>
        <v>3.2245646286469336</v>
      </c>
      <c r="AD49" s="237">
        <f t="shared" si="2"/>
        <v>3.4231191661933389</v>
      </c>
      <c r="AE49" s="237">
        <f t="shared" si="2"/>
        <v>3.6310057670044253</v>
      </c>
      <c r="AF49" s="237">
        <f t="shared" si="2"/>
        <v>3.8486630380536333</v>
      </c>
      <c r="AG49" s="237">
        <f t="shared" si="2"/>
        <v>4.0765502008421537</v>
      </c>
      <c r="AH49" s="237">
        <f t="shared" si="2"/>
        <v>4.3151480602817349</v>
      </c>
      <c r="AI49" s="237">
        <f t="shared" si="2"/>
        <v>4.5649600191149764</v>
      </c>
      <c r="AJ49" s="237">
        <f t="shared" si="2"/>
        <v>4.8265131400133798</v>
      </c>
      <c r="AK49" s="237">
        <f t="shared" si="2"/>
        <v>5.1003592575940084</v>
      </c>
      <c r="AL49" s="237">
        <f t="shared" si="2"/>
        <v>5.3870761427009262</v>
      </c>
      <c r="AM49" s="237">
        <f t="shared" si="2"/>
        <v>5.687268721407869</v>
      </c>
      <c r="AN49" s="237">
        <f t="shared" si="2"/>
        <v>6.0015703513140384</v>
      </c>
      <c r="AO49" s="237">
        <f t="shared" si="2"/>
        <v>6.3306441578257973</v>
      </c>
      <c r="AP49" s="237">
        <f t="shared" si="2"/>
        <v>6.6751844332436097</v>
      </c>
      <c r="AQ49" s="191"/>
      <c r="AR49" s="191"/>
      <c r="AS49" s="191"/>
    </row>
    <row r="50" spans="1:45" ht="16.5" thickBot="1" x14ac:dyDescent="0.25">
      <c r="A50" s="238" t="s">
        <v>431</v>
      </c>
      <c r="B50" s="239">
        <v>8233098</v>
      </c>
      <c r="C50" s="239">
        <f>C108*(1+C49)</f>
        <v>0</v>
      </c>
      <c r="D50" s="239">
        <f>H108*(1+H49)</f>
        <v>307559.93860899296</v>
      </c>
      <c r="E50" s="239">
        <f t="shared" ref="E50:M50" si="3">I108*(1+E49)</f>
        <v>535944.37379502703</v>
      </c>
      <c r="F50" s="239">
        <f t="shared" si="3"/>
        <v>841700.63904508995</v>
      </c>
      <c r="G50" s="239">
        <f t="shared" si="3"/>
        <v>1175014.0921069453</v>
      </c>
      <c r="H50" s="239">
        <f t="shared" si="3"/>
        <v>1537799.6930449647</v>
      </c>
      <c r="I50" s="239">
        <f t="shared" si="3"/>
        <v>2254106.790065309</v>
      </c>
      <c r="J50" s="239">
        <f t="shared" si="3"/>
        <v>2360049.8091983786</v>
      </c>
      <c r="K50" s="239">
        <f t="shared" si="3"/>
        <v>2470972.150230702</v>
      </c>
      <c r="L50" s="239">
        <f t="shared" si="3"/>
        <v>2587107.841291545</v>
      </c>
      <c r="M50" s="239">
        <f t="shared" si="3"/>
        <v>2708701.9098322475</v>
      </c>
      <c r="N50" s="239">
        <f t="shared" ref="N50:AP50" si="4">N108*(1+N49)</f>
        <v>2836010.8995943628</v>
      </c>
      <c r="O50" s="239">
        <f t="shared" si="4"/>
        <v>2969303.4118752973</v>
      </c>
      <c r="P50" s="239">
        <f t="shared" si="4"/>
        <v>3108860.6722334363</v>
      </c>
      <c r="Q50" s="239">
        <f t="shared" si="4"/>
        <v>3254977.1238284078</v>
      </c>
      <c r="R50" s="239">
        <f t="shared" si="4"/>
        <v>3407961.0486483425</v>
      </c>
      <c r="S50" s="239">
        <f t="shared" si="4"/>
        <v>3568135.2179348147</v>
      </c>
      <c r="T50" s="239">
        <f t="shared" si="4"/>
        <v>3735837.5731777507</v>
      </c>
      <c r="U50" s="239">
        <f t="shared" si="4"/>
        <v>3911421.9391171047</v>
      </c>
      <c r="V50" s="239">
        <f t="shared" si="4"/>
        <v>4095258.770255608</v>
      </c>
      <c r="W50" s="239">
        <f t="shared" si="4"/>
        <v>4287735.9324576212</v>
      </c>
      <c r="X50" s="239">
        <f t="shared" si="4"/>
        <v>4489259.5212831292</v>
      </c>
      <c r="Y50" s="239">
        <f t="shared" si="4"/>
        <v>4700254.7187834363</v>
      </c>
      <c r="Z50" s="239">
        <f t="shared" si="4"/>
        <v>4921166.6905662576</v>
      </c>
      <c r="AA50" s="239">
        <f t="shared" si="4"/>
        <v>5152461.5250228709</v>
      </c>
      <c r="AB50" s="239">
        <f t="shared" si="4"/>
        <v>5394627.2166989455</v>
      </c>
      <c r="AC50" s="239">
        <f t="shared" si="4"/>
        <v>5648174.6958837947</v>
      </c>
      <c r="AD50" s="239">
        <f t="shared" si="4"/>
        <v>5913638.9065903323</v>
      </c>
      <c r="AE50" s="239">
        <f t="shared" si="4"/>
        <v>6191579.9352000775</v>
      </c>
      <c r="AF50" s="239">
        <f t="shared" si="4"/>
        <v>6482584.1921544811</v>
      </c>
      <c r="AG50" s="239">
        <f t="shared" si="4"/>
        <v>6787265.6491857413</v>
      </c>
      <c r="AH50" s="239">
        <f t="shared" si="4"/>
        <v>7106267.1346974708</v>
      </c>
      <c r="AI50" s="239">
        <f t="shared" si="4"/>
        <v>7440261.6900282521</v>
      </c>
      <c r="AJ50" s="239">
        <f t="shared" si="4"/>
        <v>7789953.9894595789</v>
      </c>
      <c r="AK50" s="239">
        <f t="shared" si="4"/>
        <v>8156081.8269641791</v>
      </c>
      <c r="AL50" s="239">
        <f t="shared" si="4"/>
        <v>8539417.6728314944</v>
      </c>
      <c r="AM50" s="239">
        <f t="shared" si="4"/>
        <v>8940770.3034545742</v>
      </c>
      <c r="AN50" s="239">
        <f t="shared" si="4"/>
        <v>9360986.5077169389</v>
      </c>
      <c r="AO50" s="239">
        <f t="shared" si="4"/>
        <v>9800952.8735796325</v>
      </c>
      <c r="AP50" s="239">
        <f t="shared" si="4"/>
        <v>10261597.658637876</v>
      </c>
      <c r="AQ50" s="191"/>
      <c r="AR50" s="191"/>
      <c r="AS50" s="191"/>
    </row>
    <row r="51" spans="1:45" ht="16.5" thickBot="1" x14ac:dyDescent="0.25">
      <c r="B51" s="263">
        <v>2021</v>
      </c>
      <c r="C51" s="263">
        <v>2022</v>
      </c>
      <c r="D51" s="189">
        <v>2023</v>
      </c>
      <c r="E51" s="189">
        <v>2024</v>
      </c>
      <c r="F51" s="189">
        <v>2025</v>
      </c>
      <c r="G51" s="189">
        <v>2026</v>
      </c>
      <c r="H51" s="189">
        <v>2027</v>
      </c>
      <c r="I51" s="189">
        <v>2028</v>
      </c>
      <c r="J51" s="189">
        <v>2029</v>
      </c>
      <c r="K51" s="189">
        <v>2030</v>
      </c>
      <c r="L51" s="189">
        <v>2031</v>
      </c>
      <c r="M51" s="189">
        <v>2032</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5">C58</f>
        <v>2</v>
      </c>
      <c r="D52" s="241">
        <f t="shared" si="5"/>
        <v>3</v>
      </c>
      <c r="E52" s="241">
        <f t="shared" si="5"/>
        <v>4</v>
      </c>
      <c r="F52" s="241">
        <f t="shared" si="5"/>
        <v>5</v>
      </c>
      <c r="G52" s="241">
        <f t="shared" si="5"/>
        <v>6</v>
      </c>
      <c r="H52" s="241">
        <f t="shared" si="5"/>
        <v>7</v>
      </c>
      <c r="I52" s="241">
        <f t="shared" si="5"/>
        <v>8</v>
      </c>
      <c r="J52" s="241">
        <f t="shared" si="5"/>
        <v>9</v>
      </c>
      <c r="K52" s="241">
        <f t="shared" si="5"/>
        <v>10</v>
      </c>
      <c r="L52" s="241">
        <f t="shared" si="5"/>
        <v>11</v>
      </c>
      <c r="M52" s="241">
        <f t="shared" si="5"/>
        <v>12</v>
      </c>
      <c r="N52" s="241">
        <f t="shared" si="5"/>
        <v>13</v>
      </c>
      <c r="O52" s="241">
        <f t="shared" si="5"/>
        <v>14</v>
      </c>
      <c r="P52" s="241">
        <f t="shared" si="5"/>
        <v>15</v>
      </c>
      <c r="Q52" s="241">
        <f t="shared" si="5"/>
        <v>16</v>
      </c>
      <c r="R52" s="241">
        <f t="shared" si="5"/>
        <v>17</v>
      </c>
      <c r="S52" s="241">
        <f t="shared" si="5"/>
        <v>18</v>
      </c>
      <c r="T52" s="241">
        <f t="shared" si="5"/>
        <v>19</v>
      </c>
      <c r="U52" s="241">
        <f t="shared" si="5"/>
        <v>20</v>
      </c>
      <c r="V52" s="241">
        <f t="shared" si="5"/>
        <v>21</v>
      </c>
      <c r="W52" s="241">
        <f t="shared" si="5"/>
        <v>22</v>
      </c>
      <c r="X52" s="241">
        <f t="shared" si="5"/>
        <v>23</v>
      </c>
      <c r="Y52" s="241">
        <f t="shared" si="5"/>
        <v>24</v>
      </c>
      <c r="Z52" s="241">
        <f t="shared" si="5"/>
        <v>25</v>
      </c>
      <c r="AA52" s="241">
        <f t="shared" si="5"/>
        <v>26</v>
      </c>
      <c r="AB52" s="241">
        <f t="shared" si="5"/>
        <v>27</v>
      </c>
      <c r="AC52" s="241">
        <f t="shared" si="5"/>
        <v>28</v>
      </c>
      <c r="AD52" s="241">
        <f t="shared" si="5"/>
        <v>29</v>
      </c>
      <c r="AE52" s="241">
        <f t="shared" si="5"/>
        <v>30</v>
      </c>
      <c r="AF52" s="241">
        <f t="shared" si="5"/>
        <v>31</v>
      </c>
      <c r="AG52" s="241">
        <f t="shared" si="5"/>
        <v>32</v>
      </c>
      <c r="AH52" s="241">
        <f t="shared" si="5"/>
        <v>33</v>
      </c>
      <c r="AI52" s="241">
        <f t="shared" si="5"/>
        <v>34</v>
      </c>
      <c r="AJ52" s="241">
        <f t="shared" si="5"/>
        <v>35</v>
      </c>
      <c r="AK52" s="241">
        <f t="shared" si="5"/>
        <v>36</v>
      </c>
      <c r="AL52" s="241">
        <f t="shared" si="5"/>
        <v>37</v>
      </c>
      <c r="AM52" s="241">
        <f t="shared" si="5"/>
        <v>38</v>
      </c>
      <c r="AN52" s="241">
        <f t="shared" si="5"/>
        <v>39</v>
      </c>
      <c r="AO52" s="241">
        <f t="shared" si="5"/>
        <v>40</v>
      </c>
      <c r="AP52" s="241">
        <f>AP58</f>
        <v>41</v>
      </c>
    </row>
    <row r="53" spans="1:45" x14ac:dyDescent="0.2">
      <c r="A53" s="242" t="s">
        <v>266</v>
      </c>
      <c r="B53" s="243">
        <v>0</v>
      </c>
      <c r="C53" s="243">
        <f t="shared" ref="C53:AP53" si="6">B53+B54-B55</f>
        <v>0</v>
      </c>
      <c r="D53" s="243">
        <f t="shared" si="6"/>
        <v>0</v>
      </c>
      <c r="E53" s="243">
        <f t="shared" si="6"/>
        <v>0</v>
      </c>
      <c r="F53" s="243">
        <f t="shared" si="6"/>
        <v>0</v>
      </c>
      <c r="G53" s="243">
        <f t="shared" si="6"/>
        <v>0</v>
      </c>
      <c r="H53" s="243">
        <f t="shared" si="6"/>
        <v>0</v>
      </c>
      <c r="I53" s="243">
        <f t="shared" si="6"/>
        <v>0</v>
      </c>
      <c r="J53" s="243">
        <f t="shared" si="6"/>
        <v>0</v>
      </c>
      <c r="K53" s="243">
        <f t="shared" si="6"/>
        <v>0</v>
      </c>
      <c r="L53" s="243">
        <f t="shared" si="6"/>
        <v>0</v>
      </c>
      <c r="M53" s="243">
        <f t="shared" si="6"/>
        <v>0</v>
      </c>
      <c r="N53" s="243">
        <f t="shared" si="6"/>
        <v>0</v>
      </c>
      <c r="O53" s="243">
        <f t="shared" si="6"/>
        <v>0</v>
      </c>
      <c r="P53" s="243">
        <f t="shared" si="6"/>
        <v>0</v>
      </c>
      <c r="Q53" s="243">
        <f t="shared" si="6"/>
        <v>0</v>
      </c>
      <c r="R53" s="243">
        <f t="shared" si="6"/>
        <v>0</v>
      </c>
      <c r="S53" s="243">
        <f t="shared" si="6"/>
        <v>0</v>
      </c>
      <c r="T53" s="243">
        <f t="shared" si="6"/>
        <v>0</v>
      </c>
      <c r="U53" s="243">
        <f t="shared" si="6"/>
        <v>0</v>
      </c>
      <c r="V53" s="243">
        <f t="shared" si="6"/>
        <v>0</v>
      </c>
      <c r="W53" s="243">
        <f t="shared" si="6"/>
        <v>0</v>
      </c>
      <c r="X53" s="243">
        <f t="shared" si="6"/>
        <v>0</v>
      </c>
      <c r="Y53" s="243">
        <f t="shared" si="6"/>
        <v>0</v>
      </c>
      <c r="Z53" s="243">
        <f t="shared" si="6"/>
        <v>0</v>
      </c>
      <c r="AA53" s="243">
        <f t="shared" si="6"/>
        <v>0</v>
      </c>
      <c r="AB53" s="243">
        <f t="shared" si="6"/>
        <v>0</v>
      </c>
      <c r="AC53" s="243">
        <f t="shared" si="6"/>
        <v>0</v>
      </c>
      <c r="AD53" s="243">
        <f t="shared" si="6"/>
        <v>0</v>
      </c>
      <c r="AE53" s="243">
        <f t="shared" si="6"/>
        <v>0</v>
      </c>
      <c r="AF53" s="243">
        <f t="shared" si="6"/>
        <v>0</v>
      </c>
      <c r="AG53" s="243">
        <f t="shared" si="6"/>
        <v>0</v>
      </c>
      <c r="AH53" s="243">
        <f t="shared" si="6"/>
        <v>0</v>
      </c>
      <c r="AI53" s="243">
        <f t="shared" si="6"/>
        <v>0</v>
      </c>
      <c r="AJ53" s="243">
        <f t="shared" si="6"/>
        <v>0</v>
      </c>
      <c r="AK53" s="243">
        <f t="shared" si="6"/>
        <v>0</v>
      </c>
      <c r="AL53" s="243">
        <f t="shared" si="6"/>
        <v>0</v>
      </c>
      <c r="AM53" s="243">
        <f t="shared" si="6"/>
        <v>0</v>
      </c>
      <c r="AN53" s="243">
        <f t="shared" si="6"/>
        <v>0</v>
      </c>
      <c r="AO53" s="243">
        <f t="shared" si="6"/>
        <v>0</v>
      </c>
      <c r="AP53" s="243">
        <f t="shared" si="6"/>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7">IF(ROUND(C53,1)=0,0,B55+C54/$B$40)</f>
        <v>0</v>
      </c>
      <c r="D55" s="243">
        <f t="shared" si="7"/>
        <v>0</v>
      </c>
      <c r="E55" s="243">
        <f t="shared" si="7"/>
        <v>0</v>
      </c>
      <c r="F55" s="243">
        <f t="shared" si="7"/>
        <v>0</v>
      </c>
      <c r="G55" s="243">
        <f t="shared" si="7"/>
        <v>0</v>
      </c>
      <c r="H55" s="243">
        <f t="shared" si="7"/>
        <v>0</v>
      </c>
      <c r="I55" s="243">
        <f t="shared" si="7"/>
        <v>0</v>
      </c>
      <c r="J55" s="243">
        <f t="shared" si="7"/>
        <v>0</v>
      </c>
      <c r="K55" s="243">
        <f t="shared" si="7"/>
        <v>0</v>
      </c>
      <c r="L55" s="243">
        <f t="shared" si="7"/>
        <v>0</v>
      </c>
      <c r="M55" s="243">
        <f t="shared" si="7"/>
        <v>0</v>
      </c>
      <c r="N55" s="243">
        <f t="shared" si="7"/>
        <v>0</v>
      </c>
      <c r="O55" s="243">
        <f t="shared" si="7"/>
        <v>0</v>
      </c>
      <c r="P55" s="243">
        <f t="shared" si="7"/>
        <v>0</v>
      </c>
      <c r="Q55" s="243">
        <f t="shared" si="7"/>
        <v>0</v>
      </c>
      <c r="R55" s="243">
        <f t="shared" si="7"/>
        <v>0</v>
      </c>
      <c r="S55" s="243">
        <f t="shared" si="7"/>
        <v>0</v>
      </c>
      <c r="T55" s="243">
        <f t="shared" si="7"/>
        <v>0</v>
      </c>
      <c r="U55" s="243">
        <f t="shared" si="7"/>
        <v>0</v>
      </c>
      <c r="V55" s="243">
        <f t="shared" si="7"/>
        <v>0</v>
      </c>
      <c r="W55" s="243">
        <f t="shared" si="7"/>
        <v>0</v>
      </c>
      <c r="X55" s="243">
        <f t="shared" si="7"/>
        <v>0</v>
      </c>
      <c r="Y55" s="243">
        <f t="shared" si="7"/>
        <v>0</v>
      </c>
      <c r="Z55" s="243">
        <f t="shared" si="7"/>
        <v>0</v>
      </c>
      <c r="AA55" s="243">
        <f t="shared" si="7"/>
        <v>0</v>
      </c>
      <c r="AB55" s="243">
        <f t="shared" si="7"/>
        <v>0</v>
      </c>
      <c r="AC55" s="243">
        <f t="shared" si="7"/>
        <v>0</v>
      </c>
      <c r="AD55" s="243">
        <f t="shared" si="7"/>
        <v>0</v>
      </c>
      <c r="AE55" s="243">
        <f t="shared" si="7"/>
        <v>0</v>
      </c>
      <c r="AF55" s="243">
        <f t="shared" si="7"/>
        <v>0</v>
      </c>
      <c r="AG55" s="243">
        <f t="shared" si="7"/>
        <v>0</v>
      </c>
      <c r="AH55" s="243">
        <f t="shared" si="7"/>
        <v>0</v>
      </c>
      <c r="AI55" s="243">
        <f t="shared" si="7"/>
        <v>0</v>
      </c>
      <c r="AJ55" s="243">
        <f t="shared" si="7"/>
        <v>0</v>
      </c>
      <c r="AK55" s="243">
        <f t="shared" si="7"/>
        <v>0</v>
      </c>
      <c r="AL55" s="243">
        <f t="shared" si="7"/>
        <v>0</v>
      </c>
      <c r="AM55" s="243">
        <f t="shared" si="7"/>
        <v>0</v>
      </c>
      <c r="AN55" s="243">
        <f t="shared" si="7"/>
        <v>0</v>
      </c>
      <c r="AO55" s="243">
        <f t="shared" si="7"/>
        <v>0</v>
      </c>
      <c r="AP55" s="243">
        <f t="shared" si="7"/>
        <v>0</v>
      </c>
    </row>
    <row r="56" spans="1:45" ht="16.5" thickBot="1" x14ac:dyDescent="0.25">
      <c r="A56" s="244" t="s">
        <v>263</v>
      </c>
      <c r="B56" s="245">
        <f t="shared" ref="B56:AP56" si="8">AVERAGE(SUM(B53:B54),(SUM(B53:B54)-B55))*$B$42</f>
        <v>0</v>
      </c>
      <c r="C56" s="245">
        <f t="shared" si="8"/>
        <v>0</v>
      </c>
      <c r="D56" s="245">
        <f t="shared" si="8"/>
        <v>0</v>
      </c>
      <c r="E56" s="245">
        <f t="shared" si="8"/>
        <v>0</v>
      </c>
      <c r="F56" s="245">
        <f t="shared" si="8"/>
        <v>0</v>
      </c>
      <c r="G56" s="245">
        <f t="shared" si="8"/>
        <v>0</v>
      </c>
      <c r="H56" s="245">
        <f t="shared" si="8"/>
        <v>0</v>
      </c>
      <c r="I56" s="245">
        <f t="shared" si="8"/>
        <v>0</v>
      </c>
      <c r="J56" s="245">
        <f t="shared" si="8"/>
        <v>0</v>
      </c>
      <c r="K56" s="245">
        <f t="shared" si="8"/>
        <v>0</v>
      </c>
      <c r="L56" s="245">
        <f t="shared" si="8"/>
        <v>0</v>
      </c>
      <c r="M56" s="245">
        <f t="shared" si="8"/>
        <v>0</v>
      </c>
      <c r="N56" s="245">
        <f t="shared" si="8"/>
        <v>0</v>
      </c>
      <c r="O56" s="245">
        <f t="shared" si="8"/>
        <v>0</v>
      </c>
      <c r="P56" s="245">
        <f t="shared" si="8"/>
        <v>0</v>
      </c>
      <c r="Q56" s="245">
        <f t="shared" si="8"/>
        <v>0</v>
      </c>
      <c r="R56" s="245">
        <f t="shared" si="8"/>
        <v>0</v>
      </c>
      <c r="S56" s="245">
        <f t="shared" si="8"/>
        <v>0</v>
      </c>
      <c r="T56" s="245">
        <f t="shared" si="8"/>
        <v>0</v>
      </c>
      <c r="U56" s="245">
        <f t="shared" si="8"/>
        <v>0</v>
      </c>
      <c r="V56" s="245">
        <f t="shared" si="8"/>
        <v>0</v>
      </c>
      <c r="W56" s="245">
        <f t="shared" si="8"/>
        <v>0</v>
      </c>
      <c r="X56" s="245">
        <f t="shared" si="8"/>
        <v>0</v>
      </c>
      <c r="Y56" s="245">
        <f t="shared" si="8"/>
        <v>0</v>
      </c>
      <c r="Z56" s="245">
        <f t="shared" si="8"/>
        <v>0</v>
      </c>
      <c r="AA56" s="245">
        <f t="shared" si="8"/>
        <v>0</v>
      </c>
      <c r="AB56" s="245">
        <f t="shared" si="8"/>
        <v>0</v>
      </c>
      <c r="AC56" s="245">
        <f t="shared" si="8"/>
        <v>0</v>
      </c>
      <c r="AD56" s="245">
        <f t="shared" si="8"/>
        <v>0</v>
      </c>
      <c r="AE56" s="245">
        <f t="shared" si="8"/>
        <v>0</v>
      </c>
      <c r="AF56" s="245">
        <f t="shared" si="8"/>
        <v>0</v>
      </c>
      <c r="AG56" s="245">
        <f t="shared" si="8"/>
        <v>0</v>
      </c>
      <c r="AH56" s="245">
        <f t="shared" si="8"/>
        <v>0</v>
      </c>
      <c r="AI56" s="245">
        <f t="shared" si="8"/>
        <v>0</v>
      </c>
      <c r="AJ56" s="245">
        <f t="shared" si="8"/>
        <v>0</v>
      </c>
      <c r="AK56" s="245">
        <f t="shared" si="8"/>
        <v>0</v>
      </c>
      <c r="AL56" s="245">
        <f t="shared" si="8"/>
        <v>0</v>
      </c>
      <c r="AM56" s="245">
        <f t="shared" si="8"/>
        <v>0</v>
      </c>
      <c r="AN56" s="245">
        <f t="shared" si="8"/>
        <v>0</v>
      </c>
      <c r="AO56" s="245">
        <f t="shared" si="8"/>
        <v>0</v>
      </c>
      <c r="AP56" s="245">
        <f t="shared" si="8"/>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9">C58+1</f>
        <v>3</v>
      </c>
      <c r="E58" s="241">
        <f t="shared" si="9"/>
        <v>4</v>
      </c>
      <c r="F58" s="241">
        <f t="shared" si="9"/>
        <v>5</v>
      </c>
      <c r="G58" s="241">
        <f t="shared" si="9"/>
        <v>6</v>
      </c>
      <c r="H58" s="241">
        <f t="shared" si="9"/>
        <v>7</v>
      </c>
      <c r="I58" s="241">
        <f t="shared" si="9"/>
        <v>8</v>
      </c>
      <c r="J58" s="241">
        <f t="shared" si="9"/>
        <v>9</v>
      </c>
      <c r="K58" s="241">
        <f t="shared" si="9"/>
        <v>10</v>
      </c>
      <c r="L58" s="241">
        <f t="shared" si="9"/>
        <v>11</v>
      </c>
      <c r="M58" s="241">
        <f t="shared" si="9"/>
        <v>12</v>
      </c>
      <c r="N58" s="241">
        <f t="shared" si="9"/>
        <v>13</v>
      </c>
      <c r="O58" s="241">
        <f t="shared" si="9"/>
        <v>14</v>
      </c>
      <c r="P58" s="241">
        <f t="shared" si="9"/>
        <v>15</v>
      </c>
      <c r="Q58" s="241">
        <f t="shared" si="9"/>
        <v>16</v>
      </c>
      <c r="R58" s="241">
        <f t="shared" si="9"/>
        <v>17</v>
      </c>
      <c r="S58" s="241">
        <f t="shared" si="9"/>
        <v>18</v>
      </c>
      <c r="T58" s="241">
        <f t="shared" si="9"/>
        <v>19</v>
      </c>
      <c r="U58" s="241">
        <f t="shared" si="9"/>
        <v>20</v>
      </c>
      <c r="V58" s="241">
        <f t="shared" si="9"/>
        <v>21</v>
      </c>
      <c r="W58" s="241">
        <f t="shared" si="9"/>
        <v>22</v>
      </c>
      <c r="X58" s="241">
        <f t="shared" si="9"/>
        <v>23</v>
      </c>
      <c r="Y58" s="241">
        <f t="shared" si="9"/>
        <v>24</v>
      </c>
      <c r="Z58" s="241">
        <f t="shared" si="9"/>
        <v>25</v>
      </c>
      <c r="AA58" s="241">
        <f t="shared" si="9"/>
        <v>26</v>
      </c>
      <c r="AB58" s="241">
        <f t="shared" si="9"/>
        <v>27</v>
      </c>
      <c r="AC58" s="241">
        <f t="shared" si="9"/>
        <v>28</v>
      </c>
      <c r="AD58" s="241">
        <f t="shared" si="9"/>
        <v>29</v>
      </c>
      <c r="AE58" s="241">
        <f t="shared" si="9"/>
        <v>30</v>
      </c>
      <c r="AF58" s="241">
        <f t="shared" si="9"/>
        <v>31</v>
      </c>
      <c r="AG58" s="241">
        <f t="shared" si="9"/>
        <v>32</v>
      </c>
      <c r="AH58" s="241">
        <f t="shared" si="9"/>
        <v>33</v>
      </c>
      <c r="AI58" s="241">
        <f t="shared" si="9"/>
        <v>34</v>
      </c>
      <c r="AJ58" s="241">
        <f t="shared" si="9"/>
        <v>35</v>
      </c>
      <c r="AK58" s="241">
        <f t="shared" si="9"/>
        <v>36</v>
      </c>
      <c r="AL58" s="241">
        <f t="shared" si="9"/>
        <v>37</v>
      </c>
      <c r="AM58" s="241">
        <f t="shared" si="9"/>
        <v>38</v>
      </c>
      <c r="AN58" s="241">
        <f t="shared" si="9"/>
        <v>39</v>
      </c>
      <c r="AO58" s="241">
        <f t="shared" si="9"/>
        <v>40</v>
      </c>
      <c r="AP58" s="241">
        <f t="shared" si="9"/>
        <v>41</v>
      </c>
    </row>
    <row r="59" spans="1:45" ht="14.25" x14ac:dyDescent="0.2">
      <c r="A59" s="249" t="s">
        <v>262</v>
      </c>
      <c r="B59" s="250">
        <f>B50*$B$28</f>
        <v>8233098</v>
      </c>
      <c r="C59" s="250">
        <f>C50*$B$28</f>
        <v>0</v>
      </c>
      <c r="D59" s="250">
        <f t="shared" ref="D59:AP59" si="10">D50*$B$28</f>
        <v>307559.93860899296</v>
      </c>
      <c r="E59" s="250">
        <f t="shared" si="10"/>
        <v>535944.37379502703</v>
      </c>
      <c r="F59" s="250">
        <f t="shared" si="10"/>
        <v>841700.63904508995</v>
      </c>
      <c r="G59" s="250">
        <f>G50*$B$28</f>
        <v>1175014.0921069453</v>
      </c>
      <c r="H59" s="250">
        <f t="shared" si="10"/>
        <v>1537799.6930449647</v>
      </c>
      <c r="I59" s="250">
        <f t="shared" si="10"/>
        <v>2254106.790065309</v>
      </c>
      <c r="J59" s="250">
        <f t="shared" si="10"/>
        <v>2360049.8091983786</v>
      </c>
      <c r="K59" s="250">
        <f t="shared" si="10"/>
        <v>2470972.150230702</v>
      </c>
      <c r="L59" s="250">
        <f t="shared" si="10"/>
        <v>2587107.841291545</v>
      </c>
      <c r="M59" s="250">
        <f t="shared" si="10"/>
        <v>2708701.9098322475</v>
      </c>
      <c r="N59" s="250">
        <f t="shared" si="10"/>
        <v>2836010.8995943628</v>
      </c>
      <c r="O59" s="250">
        <f t="shared" si="10"/>
        <v>2969303.4118752973</v>
      </c>
      <c r="P59" s="250">
        <f t="shared" si="10"/>
        <v>3108860.6722334363</v>
      </c>
      <c r="Q59" s="250">
        <f t="shared" si="10"/>
        <v>3254977.1238284078</v>
      </c>
      <c r="R59" s="250">
        <f t="shared" si="10"/>
        <v>3407961.0486483425</v>
      </c>
      <c r="S59" s="250">
        <f t="shared" si="10"/>
        <v>3568135.2179348147</v>
      </c>
      <c r="T59" s="250">
        <f t="shared" si="10"/>
        <v>3735837.5731777507</v>
      </c>
      <c r="U59" s="250">
        <f t="shared" si="10"/>
        <v>3911421.9391171047</v>
      </c>
      <c r="V59" s="250">
        <f t="shared" si="10"/>
        <v>4095258.770255608</v>
      </c>
      <c r="W59" s="250">
        <f t="shared" si="10"/>
        <v>4287735.9324576212</v>
      </c>
      <c r="X59" s="250">
        <f t="shared" si="10"/>
        <v>4489259.5212831292</v>
      </c>
      <c r="Y59" s="250">
        <f t="shared" si="10"/>
        <v>4700254.7187834363</v>
      </c>
      <c r="Z59" s="250">
        <f t="shared" si="10"/>
        <v>4921166.6905662576</v>
      </c>
      <c r="AA59" s="250">
        <f t="shared" si="10"/>
        <v>5152461.5250228709</v>
      </c>
      <c r="AB59" s="250">
        <f t="shared" si="10"/>
        <v>5394627.2166989455</v>
      </c>
      <c r="AC59" s="250">
        <f t="shared" si="10"/>
        <v>5648174.6958837947</v>
      </c>
      <c r="AD59" s="250">
        <f t="shared" si="10"/>
        <v>5913638.9065903323</v>
      </c>
      <c r="AE59" s="250">
        <f t="shared" si="10"/>
        <v>6191579.9352000775</v>
      </c>
      <c r="AF59" s="250">
        <f t="shared" si="10"/>
        <v>6482584.1921544811</v>
      </c>
      <c r="AG59" s="250">
        <f t="shared" si="10"/>
        <v>6787265.6491857413</v>
      </c>
      <c r="AH59" s="250">
        <f t="shared" si="10"/>
        <v>7106267.1346974708</v>
      </c>
      <c r="AI59" s="250">
        <f t="shared" si="10"/>
        <v>7440261.6900282521</v>
      </c>
      <c r="AJ59" s="250">
        <f t="shared" si="10"/>
        <v>7789953.9894595789</v>
      </c>
      <c r="AK59" s="250">
        <f t="shared" si="10"/>
        <v>8156081.8269641791</v>
      </c>
      <c r="AL59" s="250">
        <f t="shared" si="10"/>
        <v>8539417.6728314944</v>
      </c>
      <c r="AM59" s="250">
        <f t="shared" si="10"/>
        <v>8940770.3034545742</v>
      </c>
      <c r="AN59" s="250">
        <f t="shared" si="10"/>
        <v>9360986.5077169389</v>
      </c>
      <c r="AO59" s="250">
        <f t="shared" si="10"/>
        <v>9800952.8735796325</v>
      </c>
      <c r="AP59" s="250">
        <f t="shared" si="10"/>
        <v>10261597.658637876</v>
      </c>
    </row>
    <row r="60" spans="1:45" x14ac:dyDescent="0.2">
      <c r="A60" s="242" t="s">
        <v>261</v>
      </c>
      <c r="B60" s="243">
        <f t="shared" ref="B60:AP60" si="11">SUM(B61:B65)</f>
        <v>0</v>
      </c>
      <c r="C60" s="243">
        <f t="shared" si="11"/>
        <v>-108105.71859999999</v>
      </c>
      <c r="D60" s="243">
        <f>SUM(D61:D65)</f>
        <v>-104377.93519999999</v>
      </c>
      <c r="E60" s="243">
        <f>SUM(E61:E65)</f>
        <v>-107782.14371434058</v>
      </c>
      <c r="F60" s="243">
        <f t="shared" si="11"/>
        <v>-104389.56393431459</v>
      </c>
      <c r="G60" s="243">
        <f t="shared" si="11"/>
        <v>-101012.73872442737</v>
      </c>
      <c r="H60" s="243">
        <f t="shared" si="11"/>
        <v>-97652.408549475454</v>
      </c>
      <c r="I60" s="243">
        <f t="shared" si="11"/>
        <v>-94309.348676100781</v>
      </c>
      <c r="J60" s="243">
        <f t="shared" si="11"/>
        <v>-90984.370808477528</v>
      </c>
      <c r="K60" s="243">
        <f t="shared" si="11"/>
        <v>-87678.324800875969</v>
      </c>
      <c r="L60" s="243">
        <f t="shared" si="11"/>
        <v>-84392.100450717146</v>
      </c>
      <c r="M60" s="243">
        <f t="shared" si="11"/>
        <v>-81126.62937590084</v>
      </c>
      <c r="N60" s="243">
        <f t="shared" si="11"/>
        <v>-77882.886980368174</v>
      </c>
      <c r="O60" s="243">
        <f t="shared" si="11"/>
        <v>-74661.894512045474</v>
      </c>
      <c r="P60" s="243">
        <f t="shared" si="11"/>
        <v>-71464.721217511615</v>
      </c>
      <c r="Q60" s="243">
        <f t="shared" si="11"/>
        <v>-68292.48659793465</v>
      </c>
      <c r="R60" s="243">
        <f t="shared" si="11"/>
        <v>-65146.36277103758</v>
      </c>
      <c r="S60" s="243">
        <f t="shared" si="11"/>
        <v>-62027.576944076347</v>
      </c>
      <c r="T60" s="243">
        <f t="shared" si="11"/>
        <v>-58937.414003047939</v>
      </c>
      <c r="U60" s="243">
        <f t="shared" si="11"/>
        <v>-55877.219223591193</v>
      </c>
      <c r="V60" s="243">
        <f t="shared" si="11"/>
        <v>-52848.401109299986</v>
      </c>
      <c r="W60" s="243">
        <f t="shared" si="11"/>
        <v>-49852.434363437082</v>
      </c>
      <c r="X60" s="243">
        <f t="shared" si="11"/>
        <v>-46890.863000318634</v>
      </c>
      <c r="Y60" s="243">
        <f t="shared" si="11"/>
        <v>-43965.303602933614</v>
      </c>
      <c r="Z60" s="243">
        <f t="shared" si="11"/>
        <v>-41077.448733671496</v>
      </c>
      <c r="AA60" s="243">
        <f t="shared" si="11"/>
        <v>-38229.070505354059</v>
      </c>
      <c r="AB60" s="243">
        <f t="shared" si="11"/>
        <v>-35422.024320105702</v>
      </c>
      <c r="AC60" s="243">
        <f t="shared" si="11"/>
        <v>-32658.252783950669</v>
      </c>
      <c r="AD60" s="243">
        <f t="shared" si="11"/>
        <v>-29939.789805396351</v>
      </c>
      <c r="AE60" s="243">
        <f t="shared" si="11"/>
        <v>-27268.764886649977</v>
      </c>
      <c r="AF60" s="243">
        <f t="shared" si="11"/>
        <v>-24647.407616522531</v>
      </c>
      <c r="AG60" s="243">
        <f t="shared" si="11"/>
        <v>-25805.835774499152</v>
      </c>
      <c r="AH60" s="243">
        <f t="shared" si="11"/>
        <v>-27018.71005590061</v>
      </c>
      <c r="AI60" s="243">
        <f t="shared" si="11"/>
        <v>-28288.589428527939</v>
      </c>
      <c r="AJ60" s="243">
        <f t="shared" si="11"/>
        <v>-29618.153131668751</v>
      </c>
      <c r="AK60" s="243">
        <f t="shared" si="11"/>
        <v>-31010.206328857181</v>
      </c>
      <c r="AL60" s="243">
        <f t="shared" si="11"/>
        <v>-32467.686026313466</v>
      </c>
      <c r="AM60" s="243">
        <f t="shared" si="11"/>
        <v>-33993.667269550191</v>
      </c>
      <c r="AN60" s="243">
        <f t="shared" si="11"/>
        <v>-35591.369631219051</v>
      </c>
      <c r="AO60" s="243">
        <f t="shared" si="11"/>
        <v>-37264.164003886341</v>
      </c>
      <c r="AP60" s="243">
        <f t="shared" si="11"/>
        <v>-39015.579712068997</v>
      </c>
    </row>
    <row r="61" spans="1:45" x14ac:dyDescent="0.2">
      <c r="A61" s="251" t="s">
        <v>260</v>
      </c>
      <c r="B61" s="243"/>
      <c r="C61" s="243">
        <f>-IF(C$47&lt;=$B$30,0,$B$29*(1+C$49)*$B$28)</f>
        <v>0</v>
      </c>
      <c r="D61" s="243">
        <f>-IF(D$47&lt;=$B$30,0,$B$29*(1+D$49)*$B$28)</f>
        <v>0</v>
      </c>
      <c r="E61" s="243">
        <f>-IF(E$47&lt;=$B$30,0,$B$29*(1+E$49)*$B$28)</f>
        <v>-7131.9919143405968</v>
      </c>
      <c r="F61" s="243">
        <f t="shared" ref="F61:AP61" si="12">-IF(F$47&lt;=$B$30,0,$B$29*(1+F$49)*$B$28)</f>
        <v>-7467.1955343146046</v>
      </c>
      <c r="G61" s="243">
        <f t="shared" si="12"/>
        <v>-7818.1537244273904</v>
      </c>
      <c r="H61" s="243">
        <f t="shared" si="12"/>
        <v>-8185.6069494754774</v>
      </c>
      <c r="I61" s="243">
        <f t="shared" si="12"/>
        <v>-8570.3304761008239</v>
      </c>
      <c r="J61" s="243">
        <f t="shared" si="12"/>
        <v>-8973.1360084775624</v>
      </c>
      <c r="K61" s="243">
        <f t="shared" si="12"/>
        <v>-9394.8734008760075</v>
      </c>
      <c r="L61" s="243">
        <f t="shared" si="12"/>
        <v>-9836.4324507171787</v>
      </c>
      <c r="M61" s="243">
        <f t="shared" si="12"/>
        <v>-10298.744775900886</v>
      </c>
      <c r="N61" s="243">
        <f t="shared" si="12"/>
        <v>-10782.785780368227</v>
      </c>
      <c r="O61" s="243">
        <f t="shared" si="12"/>
        <v>-11289.576712045531</v>
      </c>
      <c r="P61" s="243">
        <f t="shared" si="12"/>
        <v>-11820.186817511672</v>
      </c>
      <c r="Q61" s="243">
        <f t="shared" si="12"/>
        <v>-12375.735597934719</v>
      </c>
      <c r="R61" s="243">
        <f t="shared" si="12"/>
        <v>-12957.39517103765</v>
      </c>
      <c r="S61" s="243">
        <f t="shared" si="12"/>
        <v>-13566.392744076418</v>
      </c>
      <c r="T61" s="243">
        <f t="shared" si="12"/>
        <v>-14204.013203048011</v>
      </c>
      <c r="U61" s="243">
        <f t="shared" si="12"/>
        <v>-14871.601823591265</v>
      </c>
      <c r="V61" s="243">
        <f t="shared" si="12"/>
        <v>-15570.567109300053</v>
      </c>
      <c r="W61" s="243">
        <f t="shared" si="12"/>
        <v>-16302.383763437154</v>
      </c>
      <c r="X61" s="243">
        <f t="shared" si="12"/>
        <v>-17068.595800318701</v>
      </c>
      <c r="Y61" s="243">
        <f t="shared" si="12"/>
        <v>-17870.819802933678</v>
      </c>
      <c r="Z61" s="243">
        <f t="shared" si="12"/>
        <v>-18710.74833367156</v>
      </c>
      <c r="AA61" s="243">
        <f t="shared" si="12"/>
        <v>-19590.153505354123</v>
      </c>
      <c r="AB61" s="243">
        <f t="shared" si="12"/>
        <v>-20510.890720105763</v>
      </c>
      <c r="AC61" s="243">
        <f t="shared" si="12"/>
        <v>-21474.90258395073</v>
      </c>
      <c r="AD61" s="243">
        <f t="shared" si="12"/>
        <v>-22484.223005396412</v>
      </c>
      <c r="AE61" s="243">
        <f t="shared" si="12"/>
        <v>-23540.981486650038</v>
      </c>
      <c r="AF61" s="243">
        <f t="shared" si="12"/>
        <v>-24647.407616522592</v>
      </c>
      <c r="AG61" s="243">
        <f t="shared" si="12"/>
        <v>-25805.835774499152</v>
      </c>
      <c r="AH61" s="243">
        <f t="shared" si="12"/>
        <v>-27018.71005590061</v>
      </c>
      <c r="AI61" s="243">
        <f t="shared" si="12"/>
        <v>-28288.589428527939</v>
      </c>
      <c r="AJ61" s="243">
        <f t="shared" si="12"/>
        <v>-29618.153131668751</v>
      </c>
      <c r="AK61" s="243">
        <f t="shared" si="12"/>
        <v>-31010.206328857181</v>
      </c>
      <c r="AL61" s="243">
        <f t="shared" si="12"/>
        <v>-32467.686026313466</v>
      </c>
      <c r="AM61" s="243">
        <f t="shared" si="12"/>
        <v>-33993.667269550191</v>
      </c>
      <c r="AN61" s="243">
        <f t="shared" si="12"/>
        <v>-35591.369631219051</v>
      </c>
      <c r="AO61" s="243">
        <f t="shared" si="12"/>
        <v>-37264.164003886341</v>
      </c>
      <c r="AP61" s="243">
        <f t="shared" si="12"/>
        <v>-39015.579712068997</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548</v>
      </c>
      <c r="B65" s="243"/>
      <c r="C65" s="339">
        <f>-($B$25+C67)*0.022</f>
        <v>-108105.71859999999</v>
      </c>
      <c r="D65" s="339">
        <f>-($B$25+D67+C67)*0.022</f>
        <v>-104377.93519999999</v>
      </c>
      <c r="E65" s="340">
        <f>-($B$25+E67+C67+D67)*0.022</f>
        <v>-100650.15179999998</v>
      </c>
      <c r="F65" s="340">
        <f>-($B$25+F67+D67+E67+C67)*0.022</f>
        <v>-96922.368399999978</v>
      </c>
      <c r="G65" s="340">
        <f>-($B$25+G67+E67+F67+D67+C67)*0.022</f>
        <v>-93194.584999999977</v>
      </c>
      <c r="H65" s="340">
        <f>-($B$25+H67+F67+G67+E67+C67+D67)*0.022</f>
        <v>-89466.801599999977</v>
      </c>
      <c r="I65" s="340">
        <f>-($B$25+C67+I67+G67+H67+F67+D67+E67)*0.022</f>
        <v>-85739.018199999962</v>
      </c>
      <c r="J65" s="340">
        <f>-($B$25+D67+J67+H67+I67+G67+E67+F67+C67)*0.022</f>
        <v>-82011.234799999962</v>
      </c>
      <c r="K65" s="340">
        <f>-($B$25+E67+K67+I67+J67+H67+F67+G67+C67+D67)*0.022</f>
        <v>-78283.451399999962</v>
      </c>
      <c r="L65" s="340">
        <f>-($B$25+F67+L67+J67+K67+I67+G67+H67+E67+D67+C67)*0.022</f>
        <v>-74555.667999999961</v>
      </c>
      <c r="M65" s="340">
        <f>-($B$25+G67+M67+K67+L67+J67+H67+I67+F67+E67+C67+D67)*0.022</f>
        <v>-70827.884599999947</v>
      </c>
      <c r="N65" s="340">
        <f>-($B$25+H67+N67+L67+M67+K67+I67+J67+G67+F67+E67+C67+D67)*0.022</f>
        <v>-67100.101199999946</v>
      </c>
      <c r="O65" s="340">
        <f>-($B$25+I67+O67+M67+N67+L67+J67+K67+H67+G67+F67+D67+C67+E67)*0.022</f>
        <v>-63372.317799999946</v>
      </c>
      <c r="P65" s="340">
        <f>-($B$25+J67+P67+N67+O67+M67+K67+L67+I67+H67+G67+E67+F67+C67+D67)*0.022</f>
        <v>-59644.534399999939</v>
      </c>
      <c r="Q65" s="340">
        <f>-($B$25+K67+Q67+O67+P67+N67+L67+M67+J67+I67+H67+F67+G67+D67+C67+E67)*0.022</f>
        <v>-55916.750999999938</v>
      </c>
      <c r="R65" s="340">
        <f>-($B$25+L67+R67+P67+Q67+O67+M67+N67+K67+J67+I67+G67+H67+E67+D67+C67+F67)*0.022</f>
        <v>-52188.967599999931</v>
      </c>
      <c r="S65" s="340">
        <f>-($B$25+M67+S67+Q67+R67+P67+N67+O67+L67+K67+J67+H67+I67+F67+E67+D67+C67+G67)*0.022</f>
        <v>-48461.184199999931</v>
      </c>
      <c r="T65" s="340">
        <f>-($B$25+N67+T67+R67+S67+Q67+O67+P67+M67+L67+K67+I67+J67+G67+F67+E67+D67+C67+H67)*0.022</f>
        <v>-44733.40079999993</v>
      </c>
      <c r="U65" s="340">
        <f>-($B$25+O67+U67+S67+T67+R67+P67+Q67+N67+M67+L67+J67+K67+H67+G67+F67+E67+C67+D67++I67)*0.022</f>
        <v>-41005.61739999993</v>
      </c>
      <c r="V65" s="340">
        <f>-($B$25+P67+V67+T67+U67+S67+Q67+R67+O67+N67+M67+K67+L67+I67+H67+G67+F67+D67+E67+C67+J67)*0.022</f>
        <v>-37277.83399999993</v>
      </c>
      <c r="W65" s="340">
        <f>-($B$25+Q67+W67+U67+V67+T67+R67+S67+P67+O67+N67+L67+M67+J67+I67+H67+G67+E67+F67+D67+C67+K67)*0.022</f>
        <v>-33550.05059999993</v>
      </c>
      <c r="X65" s="340">
        <f>-($B$25+R67+X67+V67+W67+U67+S67+T67+Q67+P67+O67+M67+N67+K67+J67+I67+H67+F67+G67+E67+D67+C67+L67)*0.022</f>
        <v>-29822.267199999933</v>
      </c>
      <c r="Y65" s="340">
        <f>-($B$25+S67+Y67+W67+X67+V67+T67+U67+R67+Q67+P67+N67+O67+L67+K67+J67+I67+G67+H67+F67+E67+D67+C67+M67)*0.022</f>
        <v>-26094.483799999936</v>
      </c>
      <c r="Z65" s="340">
        <f>-($B$25+T67+Z67+X67+Y67+W67+U67+V67+S67+R67+Q67+O67+P67+M67+L67+K67+J67+H67+I67+G67+F67+E67+D67+C67+N67)*0.022</f>
        <v>-22366.700399999936</v>
      </c>
      <c r="AA65" s="340">
        <f>-($B$25+U67+AA67+Y67+Z67+X67+V67+W67+T67+S67+R67+P67+Q67+N67+M67+L67+K67+I67+J67+H67+G67+F67+E67+D67+C67+O67)*0.022</f>
        <v>-18638.916999999936</v>
      </c>
      <c r="AB65" s="340">
        <f>-($B$25+V67+AB67+Z67+AA67+Y67+W67+X67+U67+T67+S67+Q67+R67+O67+N67+M67+L67+J67+K67+I67+H67+G67+F67+E67+D67+C67+P67)*0.022</f>
        <v>-14911.133599999939</v>
      </c>
      <c r="AC65" s="340">
        <f>-($B$25+W67+AC67+AA67+AB67+Z67+X67+Y67+V67+U67+T67+R67+S67+P67+O67+N67+M67+K67+L67+J67+I67+H67+G67+F67+E67+D67+C67+Q67)*0.022</f>
        <v>-11183.350199999939</v>
      </c>
      <c r="AD65" s="340">
        <f>-($B$25+X67+AD67+AB67+AC67+AA67+Y67+Z67+W67+V67+U67+S67+T67+Q67+P67+O67+N67+L67+M67+K67+J67+I67+H67+G67+F67+E67+D67+C67+R67)*0.022</f>
        <v>-7455.5667999999387</v>
      </c>
      <c r="AE65" s="340">
        <f>-($B$25+Y67+AE67+AC67+AD67+AB67+Z67+AA67+X67+W67+V67+T67+U67+R67+Q67+P67+O67+M67+N67+L67+K67+J67+I67+H67+G67+F67+E67+D67+C67+S67)*0.022</f>
        <v>-3727.7833999999384</v>
      </c>
      <c r="AF65" s="340">
        <f>-($B$25+Z67+AF67+AD67+AE67+AC67+AA67+AB67+Y67+X67+W67+U67+V67+S67+R67+Q67+P67+N67+O67+M67+L67+K67+J67+I67+H67+G67+F67+E67+D67+C67+T67)*0.022</f>
        <v>6.1467289924621585E-11</v>
      </c>
      <c r="AG65" s="243"/>
      <c r="AH65" s="243"/>
      <c r="AI65" s="243"/>
      <c r="AJ65" s="243"/>
      <c r="AK65" s="243"/>
      <c r="AL65" s="243"/>
      <c r="AM65" s="243"/>
      <c r="AN65" s="243"/>
      <c r="AO65" s="243"/>
      <c r="AP65" s="243"/>
    </row>
    <row r="66" spans="1:45" ht="28.5" x14ac:dyDescent="0.2">
      <c r="A66" s="252" t="s">
        <v>549</v>
      </c>
      <c r="B66" s="250">
        <f t="shared" ref="B66:AO66" si="13">B59+B60</f>
        <v>8233098</v>
      </c>
      <c r="C66" s="250">
        <f t="shared" si="13"/>
        <v>-108105.71859999999</v>
      </c>
      <c r="D66" s="250">
        <f t="shared" si="13"/>
        <v>203182.00340899295</v>
      </c>
      <c r="E66" s="250">
        <f t="shared" si="13"/>
        <v>428162.23008068645</v>
      </c>
      <c r="F66" s="250">
        <f t="shared" si="13"/>
        <v>737311.07511077542</v>
      </c>
      <c r="G66" s="250">
        <f t="shared" si="13"/>
        <v>1074001.353382518</v>
      </c>
      <c r="H66" s="250">
        <f t="shared" si="13"/>
        <v>1440147.2844954892</v>
      </c>
      <c r="I66" s="250">
        <f t="shared" si="13"/>
        <v>2159797.4413892082</v>
      </c>
      <c r="J66" s="250">
        <f t="shared" si="13"/>
        <v>2269065.4383899011</v>
      </c>
      <c r="K66" s="250">
        <f t="shared" si="13"/>
        <v>2383293.825429826</v>
      </c>
      <c r="L66" s="250">
        <f t="shared" si="13"/>
        <v>2502715.740840828</v>
      </c>
      <c r="M66" s="250">
        <f t="shared" si="13"/>
        <v>2627575.2804563465</v>
      </c>
      <c r="N66" s="250">
        <f t="shared" si="13"/>
        <v>2758128.0126139945</v>
      </c>
      <c r="O66" s="250">
        <f t="shared" si="13"/>
        <v>2894641.5173632517</v>
      </c>
      <c r="P66" s="250">
        <f t="shared" si="13"/>
        <v>3037395.9510159246</v>
      </c>
      <c r="Q66" s="250">
        <f t="shared" si="13"/>
        <v>3186684.6372304731</v>
      </c>
      <c r="R66" s="250">
        <f t="shared" si="13"/>
        <v>3342814.685877305</v>
      </c>
      <c r="S66" s="250">
        <f t="shared" si="13"/>
        <v>3506107.6409907383</v>
      </c>
      <c r="T66" s="250">
        <f t="shared" si="13"/>
        <v>3676900.1591747026</v>
      </c>
      <c r="U66" s="250">
        <f t="shared" si="13"/>
        <v>3855544.7198935137</v>
      </c>
      <c r="V66" s="250">
        <f t="shared" si="13"/>
        <v>4042410.3691463079</v>
      </c>
      <c r="W66" s="250">
        <f t="shared" si="13"/>
        <v>4237883.4980941843</v>
      </c>
      <c r="X66" s="250">
        <f t="shared" si="13"/>
        <v>4442368.6582828108</v>
      </c>
      <c r="Y66" s="250">
        <f t="shared" si="13"/>
        <v>4656289.4151805025</v>
      </c>
      <c r="Z66" s="250">
        <f t="shared" si="13"/>
        <v>4880089.241832586</v>
      </c>
      <c r="AA66" s="250">
        <f t="shared" si="13"/>
        <v>5114232.4545175172</v>
      </c>
      <c r="AB66" s="250">
        <f t="shared" si="13"/>
        <v>5359205.1923788395</v>
      </c>
      <c r="AC66" s="250">
        <f t="shared" si="13"/>
        <v>5615516.4430998443</v>
      </c>
      <c r="AD66" s="250">
        <f t="shared" si="13"/>
        <v>5883699.1167849358</v>
      </c>
      <c r="AE66" s="250">
        <f t="shared" si="13"/>
        <v>6164311.1703134272</v>
      </c>
      <c r="AF66" s="250">
        <f t="shared" si="13"/>
        <v>6457936.7845379589</v>
      </c>
      <c r="AG66" s="250">
        <f t="shared" si="13"/>
        <v>6761459.8134112423</v>
      </c>
      <c r="AH66" s="250">
        <f t="shared" si="13"/>
        <v>7079248.4246415701</v>
      </c>
      <c r="AI66" s="250">
        <f t="shared" si="13"/>
        <v>7411973.1005997239</v>
      </c>
      <c r="AJ66" s="250">
        <f t="shared" si="13"/>
        <v>7760335.8363279104</v>
      </c>
      <c r="AK66" s="250">
        <f t="shared" si="13"/>
        <v>8125071.6206353223</v>
      </c>
      <c r="AL66" s="250">
        <f t="shared" si="13"/>
        <v>8506949.9868051801</v>
      </c>
      <c r="AM66" s="250">
        <f t="shared" si="13"/>
        <v>8906776.6361850239</v>
      </c>
      <c r="AN66" s="250">
        <f t="shared" si="13"/>
        <v>9325395.1380857192</v>
      </c>
      <c r="AO66" s="250">
        <f t="shared" si="13"/>
        <v>9763688.7095757462</v>
      </c>
      <c r="AP66" s="250">
        <f>AP59+AP60</f>
        <v>10222582.078925807</v>
      </c>
    </row>
    <row r="67" spans="1:45" x14ac:dyDescent="0.2">
      <c r="A67" s="251" t="s">
        <v>255</v>
      </c>
      <c r="B67" s="253"/>
      <c r="C67" s="334">
        <f>-($B$25)*$B$28/$B$27</f>
        <v>-169444.7</v>
      </c>
      <c r="D67" s="334">
        <f>C67</f>
        <v>-169444.7</v>
      </c>
      <c r="E67" s="334">
        <f t="shared" ref="E67:L67" si="14">D67</f>
        <v>-169444.7</v>
      </c>
      <c r="F67" s="334">
        <f t="shared" si="14"/>
        <v>-169444.7</v>
      </c>
      <c r="G67" s="334">
        <f t="shared" si="14"/>
        <v>-169444.7</v>
      </c>
      <c r="H67" s="334">
        <f t="shared" si="14"/>
        <v>-169444.7</v>
      </c>
      <c r="I67" s="334">
        <f t="shared" si="14"/>
        <v>-169444.7</v>
      </c>
      <c r="J67" s="334">
        <f t="shared" si="14"/>
        <v>-169444.7</v>
      </c>
      <c r="K67" s="334">
        <f t="shared" si="14"/>
        <v>-169444.7</v>
      </c>
      <c r="L67" s="334">
        <f t="shared" si="14"/>
        <v>-169444.7</v>
      </c>
      <c r="M67" s="243">
        <f t="shared" ref="M67:AP67" si="15">L67</f>
        <v>-169444.7</v>
      </c>
      <c r="N67" s="243">
        <f t="shared" si="15"/>
        <v>-169444.7</v>
      </c>
      <c r="O67" s="243">
        <f t="shared" si="15"/>
        <v>-169444.7</v>
      </c>
      <c r="P67" s="243">
        <f t="shared" si="15"/>
        <v>-169444.7</v>
      </c>
      <c r="Q67" s="243">
        <f t="shared" si="15"/>
        <v>-169444.7</v>
      </c>
      <c r="R67" s="243">
        <f t="shared" si="15"/>
        <v>-169444.7</v>
      </c>
      <c r="S67" s="243">
        <f t="shared" si="15"/>
        <v>-169444.7</v>
      </c>
      <c r="T67" s="243">
        <f t="shared" si="15"/>
        <v>-169444.7</v>
      </c>
      <c r="U67" s="243">
        <f t="shared" si="15"/>
        <v>-169444.7</v>
      </c>
      <c r="V67" s="243">
        <f t="shared" si="15"/>
        <v>-169444.7</v>
      </c>
      <c r="W67" s="243">
        <f t="shared" si="15"/>
        <v>-169444.7</v>
      </c>
      <c r="X67" s="243">
        <f t="shared" si="15"/>
        <v>-169444.7</v>
      </c>
      <c r="Y67" s="243">
        <f t="shared" si="15"/>
        <v>-169444.7</v>
      </c>
      <c r="Z67" s="243">
        <f t="shared" si="15"/>
        <v>-169444.7</v>
      </c>
      <c r="AA67" s="243">
        <f t="shared" si="15"/>
        <v>-169444.7</v>
      </c>
      <c r="AB67" s="243">
        <f t="shared" si="15"/>
        <v>-169444.7</v>
      </c>
      <c r="AC67" s="243">
        <f t="shared" si="15"/>
        <v>-169444.7</v>
      </c>
      <c r="AD67" s="243">
        <f t="shared" si="15"/>
        <v>-169444.7</v>
      </c>
      <c r="AE67" s="243">
        <f t="shared" si="15"/>
        <v>-169444.7</v>
      </c>
      <c r="AF67" s="243">
        <f t="shared" si="15"/>
        <v>-169444.7</v>
      </c>
      <c r="AG67" s="243">
        <f t="shared" si="15"/>
        <v>-169444.7</v>
      </c>
      <c r="AH67" s="243">
        <f t="shared" si="15"/>
        <v>-169444.7</v>
      </c>
      <c r="AI67" s="243">
        <f t="shared" si="15"/>
        <v>-169444.7</v>
      </c>
      <c r="AJ67" s="243">
        <f t="shared" si="15"/>
        <v>-169444.7</v>
      </c>
      <c r="AK67" s="243">
        <f t="shared" si="15"/>
        <v>-169444.7</v>
      </c>
      <c r="AL67" s="243">
        <f t="shared" si="15"/>
        <v>-169444.7</v>
      </c>
      <c r="AM67" s="243">
        <f t="shared" si="15"/>
        <v>-169444.7</v>
      </c>
      <c r="AN67" s="243">
        <f t="shared" si="15"/>
        <v>-169444.7</v>
      </c>
      <c r="AO67" s="243">
        <f t="shared" si="15"/>
        <v>-169444.7</v>
      </c>
      <c r="AP67" s="243">
        <f t="shared" si="15"/>
        <v>-169444.7</v>
      </c>
      <c r="AQ67" s="254"/>
      <c r="AR67" s="255"/>
      <c r="AS67" s="255"/>
    </row>
    <row r="68" spans="1:45" ht="28.5" x14ac:dyDescent="0.2">
      <c r="A68" s="252" t="s">
        <v>550</v>
      </c>
      <c r="B68" s="250">
        <f t="shared" ref="B68:J68" si="16">B66+B67</f>
        <v>8233098</v>
      </c>
      <c r="C68" s="250">
        <f>C66+C67</f>
        <v>-277550.41859999998</v>
      </c>
      <c r="D68" s="250">
        <f>D66+D67</f>
        <v>33737.303408992942</v>
      </c>
      <c r="E68" s="250">
        <f t="shared" si="16"/>
        <v>258717.53008068644</v>
      </c>
      <c r="F68" s="250">
        <f>F66+C67</f>
        <v>567866.37511077547</v>
      </c>
      <c r="G68" s="250">
        <f t="shared" si="16"/>
        <v>904556.6533825181</v>
      </c>
      <c r="H68" s="250">
        <f t="shared" si="16"/>
        <v>1270702.5844954893</v>
      </c>
      <c r="I68" s="250">
        <f t="shared" si="16"/>
        <v>1990352.7413892082</v>
      </c>
      <c r="J68" s="250">
        <f t="shared" si="16"/>
        <v>2099620.7383899009</v>
      </c>
      <c r="K68" s="250">
        <f>K66+K67</f>
        <v>2213849.1254298259</v>
      </c>
      <c r="L68" s="250">
        <f>L66+L67</f>
        <v>2333271.0408408279</v>
      </c>
      <c r="M68" s="250">
        <f t="shared" ref="M68:AO68" si="17">M66+M67</f>
        <v>2458130.5804563463</v>
      </c>
      <c r="N68" s="250">
        <f t="shared" si="17"/>
        <v>2588683.3126139943</v>
      </c>
      <c r="O68" s="250">
        <f t="shared" si="17"/>
        <v>2725196.8173632515</v>
      </c>
      <c r="P68" s="250">
        <f t="shared" si="17"/>
        <v>2867951.2510159244</v>
      </c>
      <c r="Q68" s="250">
        <f t="shared" si="17"/>
        <v>3017239.9372304729</v>
      </c>
      <c r="R68" s="250">
        <f t="shared" si="17"/>
        <v>3173369.9858773048</v>
      </c>
      <c r="S68" s="250">
        <f t="shared" si="17"/>
        <v>3336662.9409907381</v>
      </c>
      <c r="T68" s="250">
        <f t="shared" si="17"/>
        <v>3507455.4591747024</v>
      </c>
      <c r="U68" s="250">
        <f t="shared" si="17"/>
        <v>3686100.0198935135</v>
      </c>
      <c r="V68" s="250">
        <f t="shared" si="17"/>
        <v>3872965.6691463077</v>
      </c>
      <c r="W68" s="250">
        <f t="shared" si="17"/>
        <v>4068438.7980941841</v>
      </c>
      <c r="X68" s="250">
        <f t="shared" si="17"/>
        <v>4272923.9582828106</v>
      </c>
      <c r="Y68" s="250">
        <f t="shared" si="17"/>
        <v>4486844.7151805023</v>
      </c>
      <c r="Z68" s="250">
        <f t="shared" si="17"/>
        <v>4710644.5418325858</v>
      </c>
      <c r="AA68" s="250">
        <f t="shared" si="17"/>
        <v>4944787.7545175171</v>
      </c>
      <c r="AB68" s="250">
        <f t="shared" si="17"/>
        <v>5189760.4923788393</v>
      </c>
      <c r="AC68" s="250">
        <f t="shared" si="17"/>
        <v>5446071.7430998441</v>
      </c>
      <c r="AD68" s="250">
        <f t="shared" si="17"/>
        <v>5714254.4167849356</v>
      </c>
      <c r="AE68" s="250">
        <f t="shared" si="17"/>
        <v>5994866.470313427</v>
      </c>
      <c r="AF68" s="250">
        <f t="shared" si="17"/>
        <v>6288492.0845379587</v>
      </c>
      <c r="AG68" s="250">
        <f t="shared" si="17"/>
        <v>6592015.1134112421</v>
      </c>
      <c r="AH68" s="250">
        <f t="shared" si="17"/>
        <v>6909803.7246415699</v>
      </c>
      <c r="AI68" s="250">
        <f t="shared" si="17"/>
        <v>7242528.4005997237</v>
      </c>
      <c r="AJ68" s="250">
        <f t="shared" si="17"/>
        <v>7590891.1363279102</v>
      </c>
      <c r="AK68" s="250">
        <f t="shared" si="17"/>
        <v>7955626.9206353221</v>
      </c>
      <c r="AL68" s="250">
        <f t="shared" si="17"/>
        <v>8337505.2868051799</v>
      </c>
      <c r="AM68" s="250">
        <f t="shared" si="17"/>
        <v>8737331.9361850247</v>
      </c>
      <c r="AN68" s="250">
        <f t="shared" si="17"/>
        <v>9155950.4380857199</v>
      </c>
      <c r="AO68" s="250">
        <f t="shared" si="17"/>
        <v>9594244.009575747</v>
      </c>
      <c r="AP68" s="250">
        <f>AP66+AP67</f>
        <v>10053137.378925808</v>
      </c>
    </row>
    <row r="69" spans="1:45" x14ac:dyDescent="0.2">
      <c r="A69" s="251" t="s">
        <v>254</v>
      </c>
      <c r="B69" s="243">
        <f t="shared" ref="B69:AO69" si="18">-B56</f>
        <v>0</v>
      </c>
      <c r="C69" s="243">
        <f t="shared" si="18"/>
        <v>0</v>
      </c>
      <c r="D69" s="243">
        <f t="shared" si="18"/>
        <v>0</v>
      </c>
      <c r="E69" s="243">
        <f t="shared" si="18"/>
        <v>0</v>
      </c>
      <c r="F69" s="243">
        <f t="shared" si="18"/>
        <v>0</v>
      </c>
      <c r="G69" s="243">
        <f t="shared" si="18"/>
        <v>0</v>
      </c>
      <c r="H69" s="243">
        <f t="shared" si="18"/>
        <v>0</v>
      </c>
      <c r="I69" s="243">
        <f t="shared" si="18"/>
        <v>0</v>
      </c>
      <c r="J69" s="243">
        <f t="shared" si="18"/>
        <v>0</v>
      </c>
      <c r="K69" s="243">
        <f t="shared" si="18"/>
        <v>0</v>
      </c>
      <c r="L69" s="243">
        <f t="shared" si="18"/>
        <v>0</v>
      </c>
      <c r="M69" s="243">
        <f t="shared" si="18"/>
        <v>0</v>
      </c>
      <c r="N69" s="243">
        <f t="shared" si="18"/>
        <v>0</v>
      </c>
      <c r="O69" s="243">
        <f t="shared" si="18"/>
        <v>0</v>
      </c>
      <c r="P69" s="243">
        <f t="shared" si="18"/>
        <v>0</v>
      </c>
      <c r="Q69" s="243">
        <f t="shared" si="18"/>
        <v>0</v>
      </c>
      <c r="R69" s="243">
        <f t="shared" si="18"/>
        <v>0</v>
      </c>
      <c r="S69" s="243">
        <f t="shared" si="18"/>
        <v>0</v>
      </c>
      <c r="T69" s="243">
        <f t="shared" si="18"/>
        <v>0</v>
      </c>
      <c r="U69" s="243">
        <f t="shared" si="18"/>
        <v>0</v>
      </c>
      <c r="V69" s="243">
        <f t="shared" si="18"/>
        <v>0</v>
      </c>
      <c r="W69" s="243">
        <f t="shared" si="18"/>
        <v>0</v>
      </c>
      <c r="X69" s="243">
        <f t="shared" si="18"/>
        <v>0</v>
      </c>
      <c r="Y69" s="243">
        <f t="shared" si="18"/>
        <v>0</v>
      </c>
      <c r="Z69" s="243">
        <f t="shared" si="18"/>
        <v>0</v>
      </c>
      <c r="AA69" s="243">
        <f t="shared" si="18"/>
        <v>0</v>
      </c>
      <c r="AB69" s="243">
        <f t="shared" si="18"/>
        <v>0</v>
      </c>
      <c r="AC69" s="243">
        <f t="shared" si="18"/>
        <v>0</v>
      </c>
      <c r="AD69" s="243">
        <f t="shared" si="18"/>
        <v>0</v>
      </c>
      <c r="AE69" s="243">
        <f t="shared" si="18"/>
        <v>0</v>
      </c>
      <c r="AF69" s="243">
        <f t="shared" si="18"/>
        <v>0</v>
      </c>
      <c r="AG69" s="243">
        <f t="shared" si="18"/>
        <v>0</v>
      </c>
      <c r="AH69" s="243">
        <f t="shared" si="18"/>
        <v>0</v>
      </c>
      <c r="AI69" s="243">
        <f t="shared" si="18"/>
        <v>0</v>
      </c>
      <c r="AJ69" s="243">
        <f t="shared" si="18"/>
        <v>0</v>
      </c>
      <c r="AK69" s="243">
        <f t="shared" si="18"/>
        <v>0</v>
      </c>
      <c r="AL69" s="243">
        <f t="shared" si="18"/>
        <v>0</v>
      </c>
      <c r="AM69" s="243">
        <f t="shared" si="18"/>
        <v>0</v>
      </c>
      <c r="AN69" s="243">
        <f t="shared" si="18"/>
        <v>0</v>
      </c>
      <c r="AO69" s="243">
        <f t="shared" si="18"/>
        <v>0</v>
      </c>
      <c r="AP69" s="243">
        <f>-AP56</f>
        <v>0</v>
      </c>
    </row>
    <row r="70" spans="1:45" ht="14.25" x14ac:dyDescent="0.2">
      <c r="A70" s="252" t="s">
        <v>258</v>
      </c>
      <c r="B70" s="250">
        <f t="shared" ref="B70:AO70" si="19">B68+B69</f>
        <v>8233098</v>
      </c>
      <c r="C70" s="250">
        <f t="shared" si="19"/>
        <v>-277550.41859999998</v>
      </c>
      <c r="D70" s="250">
        <f t="shared" si="19"/>
        <v>33737.303408992942</v>
      </c>
      <c r="E70" s="250">
        <f t="shared" si="19"/>
        <v>258717.53008068644</v>
      </c>
      <c r="F70" s="250">
        <f t="shared" si="19"/>
        <v>567866.37511077547</v>
      </c>
      <c r="G70" s="250">
        <f t="shared" si="19"/>
        <v>904556.6533825181</v>
      </c>
      <c r="H70" s="250">
        <f t="shared" si="19"/>
        <v>1270702.5844954893</v>
      </c>
      <c r="I70" s="250">
        <f t="shared" si="19"/>
        <v>1990352.7413892082</v>
      </c>
      <c r="J70" s="250">
        <f t="shared" si="19"/>
        <v>2099620.7383899009</v>
      </c>
      <c r="K70" s="250">
        <f t="shared" si="19"/>
        <v>2213849.1254298259</v>
      </c>
      <c r="L70" s="250">
        <f t="shared" si="19"/>
        <v>2333271.0408408279</v>
      </c>
      <c r="M70" s="250">
        <f t="shared" si="19"/>
        <v>2458130.5804563463</v>
      </c>
      <c r="N70" s="250">
        <f t="shared" si="19"/>
        <v>2588683.3126139943</v>
      </c>
      <c r="O70" s="250">
        <f t="shared" si="19"/>
        <v>2725196.8173632515</v>
      </c>
      <c r="P70" s="250">
        <f t="shared" si="19"/>
        <v>2867951.2510159244</v>
      </c>
      <c r="Q70" s="250">
        <f t="shared" si="19"/>
        <v>3017239.9372304729</v>
      </c>
      <c r="R70" s="250">
        <f t="shared" si="19"/>
        <v>3173369.9858773048</v>
      </c>
      <c r="S70" s="250">
        <f t="shared" si="19"/>
        <v>3336662.9409907381</v>
      </c>
      <c r="T70" s="250">
        <f t="shared" si="19"/>
        <v>3507455.4591747024</v>
      </c>
      <c r="U70" s="250">
        <f t="shared" si="19"/>
        <v>3686100.0198935135</v>
      </c>
      <c r="V70" s="250">
        <f t="shared" si="19"/>
        <v>3872965.6691463077</v>
      </c>
      <c r="W70" s="250">
        <f t="shared" si="19"/>
        <v>4068438.7980941841</v>
      </c>
      <c r="X70" s="250">
        <f t="shared" si="19"/>
        <v>4272923.9582828106</v>
      </c>
      <c r="Y70" s="250">
        <f t="shared" si="19"/>
        <v>4486844.7151805023</v>
      </c>
      <c r="Z70" s="250">
        <f t="shared" si="19"/>
        <v>4710644.5418325858</v>
      </c>
      <c r="AA70" s="250">
        <f t="shared" si="19"/>
        <v>4944787.7545175171</v>
      </c>
      <c r="AB70" s="250">
        <f t="shared" si="19"/>
        <v>5189760.4923788393</v>
      </c>
      <c r="AC70" s="250">
        <f t="shared" si="19"/>
        <v>5446071.7430998441</v>
      </c>
      <c r="AD70" s="250">
        <f t="shared" si="19"/>
        <v>5714254.4167849356</v>
      </c>
      <c r="AE70" s="250">
        <f t="shared" si="19"/>
        <v>5994866.470313427</v>
      </c>
      <c r="AF70" s="250">
        <f t="shared" si="19"/>
        <v>6288492.0845379587</v>
      </c>
      <c r="AG70" s="250">
        <f t="shared" si="19"/>
        <v>6592015.1134112421</v>
      </c>
      <c r="AH70" s="250">
        <f t="shared" si="19"/>
        <v>6909803.7246415699</v>
      </c>
      <c r="AI70" s="250">
        <f t="shared" si="19"/>
        <v>7242528.4005997237</v>
      </c>
      <c r="AJ70" s="250">
        <f t="shared" si="19"/>
        <v>7590891.1363279102</v>
      </c>
      <c r="AK70" s="250">
        <f t="shared" si="19"/>
        <v>7955626.9206353221</v>
      </c>
      <c r="AL70" s="250">
        <f t="shared" si="19"/>
        <v>8337505.2868051799</v>
      </c>
      <c r="AM70" s="250">
        <f t="shared" si="19"/>
        <v>8737331.9361850247</v>
      </c>
      <c r="AN70" s="250">
        <f t="shared" si="19"/>
        <v>9155950.4380857199</v>
      </c>
      <c r="AO70" s="250">
        <f t="shared" si="19"/>
        <v>9594244.009575747</v>
      </c>
      <c r="AP70" s="250">
        <f>AP68+AP69</f>
        <v>10053137.378925808</v>
      </c>
    </row>
    <row r="71" spans="1:45" x14ac:dyDescent="0.2">
      <c r="A71" s="251" t="s">
        <v>253</v>
      </c>
      <c r="B71" s="243">
        <f t="shared" ref="B71:AP71" si="20">-B70*$B$36</f>
        <v>-1646619.6</v>
      </c>
      <c r="C71" s="243">
        <f t="shared" si="20"/>
        <v>55510.083719999995</v>
      </c>
      <c r="D71" s="243">
        <f t="shared" si="20"/>
        <v>-6747.4606817985887</v>
      </c>
      <c r="E71" s="243">
        <f t="shared" si="20"/>
        <v>-51743.506016137289</v>
      </c>
      <c r="F71" s="243">
        <f t="shared" si="20"/>
        <v>-113573.2750221551</v>
      </c>
      <c r="G71" s="243">
        <f t="shared" si="20"/>
        <v>-180911.33067650362</v>
      </c>
      <c r="H71" s="243">
        <f t="shared" si="20"/>
        <v>-254140.51689909786</v>
      </c>
      <c r="I71" s="243">
        <f t="shared" si="20"/>
        <v>-398070.54827784165</v>
      </c>
      <c r="J71" s="243">
        <f t="shared" si="20"/>
        <v>-419924.14767798019</v>
      </c>
      <c r="K71" s="243">
        <f t="shared" si="20"/>
        <v>-442769.82508596522</v>
      </c>
      <c r="L71" s="243">
        <f t="shared" si="20"/>
        <v>-466654.20816816558</v>
      </c>
      <c r="M71" s="243">
        <f t="shared" si="20"/>
        <v>-491626.1160912693</v>
      </c>
      <c r="N71" s="243">
        <f t="shared" si="20"/>
        <v>-517736.66252279887</v>
      </c>
      <c r="O71" s="243">
        <f t="shared" si="20"/>
        <v>-545039.36347265029</v>
      </c>
      <c r="P71" s="243">
        <f t="shared" si="20"/>
        <v>-573590.2502031849</v>
      </c>
      <c r="Q71" s="243">
        <f t="shared" si="20"/>
        <v>-603447.98744609463</v>
      </c>
      <c r="R71" s="243">
        <f t="shared" si="20"/>
        <v>-634673.99717546103</v>
      </c>
      <c r="S71" s="243">
        <f t="shared" si="20"/>
        <v>-667332.58819814771</v>
      </c>
      <c r="T71" s="243">
        <f t="shared" si="20"/>
        <v>-701491.09183494048</v>
      </c>
      <c r="U71" s="243">
        <f t="shared" si="20"/>
        <v>-737220.00397870271</v>
      </c>
      <c r="V71" s="243">
        <f t="shared" si="20"/>
        <v>-774593.13382926164</v>
      </c>
      <c r="W71" s="243">
        <f t="shared" si="20"/>
        <v>-813687.75961883692</v>
      </c>
      <c r="X71" s="243">
        <f t="shared" si="20"/>
        <v>-854584.79165656213</v>
      </c>
      <c r="Y71" s="243">
        <f t="shared" si="20"/>
        <v>-897368.94303610048</v>
      </c>
      <c r="Z71" s="243">
        <f t="shared" si="20"/>
        <v>-942128.90836651716</v>
      </c>
      <c r="AA71" s="243">
        <f t="shared" si="20"/>
        <v>-988957.55090350343</v>
      </c>
      <c r="AB71" s="243">
        <f t="shared" si="20"/>
        <v>-1037952.0984757679</v>
      </c>
      <c r="AC71" s="243">
        <f t="shared" si="20"/>
        <v>-1089214.3486199689</v>
      </c>
      <c r="AD71" s="243">
        <f t="shared" si="20"/>
        <v>-1142850.8833569873</v>
      </c>
      <c r="AE71" s="243">
        <f t="shared" si="20"/>
        <v>-1198973.2940626855</v>
      </c>
      <c r="AF71" s="243">
        <f t="shared" si="20"/>
        <v>-1257698.4169075917</v>
      </c>
      <c r="AG71" s="243">
        <f t="shared" si="20"/>
        <v>-1318403.0226822486</v>
      </c>
      <c r="AH71" s="243">
        <f t="shared" si="20"/>
        <v>-1381960.7449283141</v>
      </c>
      <c r="AI71" s="243">
        <f t="shared" si="20"/>
        <v>-1448505.6801199447</v>
      </c>
      <c r="AJ71" s="243">
        <f t="shared" si="20"/>
        <v>-1518178.2272655822</v>
      </c>
      <c r="AK71" s="243">
        <f t="shared" si="20"/>
        <v>-1591125.3841270646</v>
      </c>
      <c r="AL71" s="243">
        <f t="shared" si="20"/>
        <v>-1667501.0573610361</v>
      </c>
      <c r="AM71" s="243">
        <f t="shared" si="20"/>
        <v>-1747466.3872370049</v>
      </c>
      <c r="AN71" s="243">
        <f t="shared" si="20"/>
        <v>-1831190.087617144</v>
      </c>
      <c r="AO71" s="243">
        <f t="shared" si="20"/>
        <v>-1918848.8019151494</v>
      </c>
      <c r="AP71" s="243">
        <f t="shared" si="20"/>
        <v>-2010627.4757851616</v>
      </c>
    </row>
    <row r="72" spans="1:45" ht="15" thickBot="1" x14ac:dyDescent="0.25">
      <c r="A72" s="256" t="s">
        <v>257</v>
      </c>
      <c r="B72" s="257">
        <f t="shared" ref="B72:AO72" si="21">B70+B71</f>
        <v>6586478.4000000004</v>
      </c>
      <c r="C72" s="257">
        <f t="shared" si="21"/>
        <v>-222040.33487999998</v>
      </c>
      <c r="D72" s="257">
        <f t="shared" si="21"/>
        <v>26989.842727194355</v>
      </c>
      <c r="E72" s="257">
        <f t="shared" si="21"/>
        <v>206974.02406454916</v>
      </c>
      <c r="F72" s="257">
        <f t="shared" si="21"/>
        <v>454293.10008862038</v>
      </c>
      <c r="G72" s="257">
        <f t="shared" si="21"/>
        <v>723645.3227060145</v>
      </c>
      <c r="H72" s="257">
        <f t="shared" si="21"/>
        <v>1016562.0675963914</v>
      </c>
      <c r="I72" s="257">
        <f t="shared" si="21"/>
        <v>1592282.1931113666</v>
      </c>
      <c r="J72" s="257">
        <f t="shared" si="21"/>
        <v>1679696.5907119208</v>
      </c>
      <c r="K72" s="257">
        <f t="shared" si="21"/>
        <v>1771079.3003438606</v>
      </c>
      <c r="L72" s="257">
        <f t="shared" si="21"/>
        <v>1866616.8326726623</v>
      </c>
      <c r="M72" s="257">
        <f t="shared" si="21"/>
        <v>1966504.464365077</v>
      </c>
      <c r="N72" s="257">
        <f t="shared" si="21"/>
        <v>2070946.6500911955</v>
      </c>
      <c r="O72" s="257">
        <f t="shared" si="21"/>
        <v>2180157.4538906012</v>
      </c>
      <c r="P72" s="257">
        <f t="shared" si="21"/>
        <v>2294361.0008127396</v>
      </c>
      <c r="Q72" s="257">
        <f t="shared" si="21"/>
        <v>2413791.9497843785</v>
      </c>
      <c r="R72" s="257">
        <f t="shared" si="21"/>
        <v>2538695.9887018437</v>
      </c>
      <c r="S72" s="257">
        <f t="shared" si="21"/>
        <v>2669330.3527925904</v>
      </c>
      <c r="T72" s="257">
        <f t="shared" si="21"/>
        <v>2805964.3673397619</v>
      </c>
      <c r="U72" s="257">
        <f t="shared" si="21"/>
        <v>2948880.0159148108</v>
      </c>
      <c r="V72" s="257">
        <f t="shared" si="21"/>
        <v>3098372.5353170461</v>
      </c>
      <c r="W72" s="257">
        <f t="shared" si="21"/>
        <v>3254751.0384753472</v>
      </c>
      <c r="X72" s="257">
        <f t="shared" si="21"/>
        <v>3418339.1666262485</v>
      </c>
      <c r="Y72" s="257">
        <f t="shared" si="21"/>
        <v>3589475.7721444019</v>
      </c>
      <c r="Z72" s="257">
        <f t="shared" si="21"/>
        <v>3768515.6334660687</v>
      </c>
      <c r="AA72" s="257">
        <f t="shared" si="21"/>
        <v>3955830.2036140137</v>
      </c>
      <c r="AB72" s="257">
        <f t="shared" si="21"/>
        <v>4151808.3939030715</v>
      </c>
      <c r="AC72" s="257">
        <f t="shared" si="21"/>
        <v>4356857.3944798755</v>
      </c>
      <c r="AD72" s="257">
        <f t="shared" si="21"/>
        <v>4571403.5334279481</v>
      </c>
      <c r="AE72" s="257">
        <f t="shared" si="21"/>
        <v>4795893.1762507418</v>
      </c>
      <c r="AF72" s="257">
        <f t="shared" si="21"/>
        <v>5030793.667630367</v>
      </c>
      <c r="AG72" s="257">
        <f t="shared" si="21"/>
        <v>5273612.0907289935</v>
      </c>
      <c r="AH72" s="257">
        <f t="shared" si="21"/>
        <v>5527842.9797132555</v>
      </c>
      <c r="AI72" s="257">
        <f t="shared" si="21"/>
        <v>5794022.7204797789</v>
      </c>
      <c r="AJ72" s="257">
        <f t="shared" si="21"/>
        <v>6072712.9090623278</v>
      </c>
      <c r="AK72" s="257">
        <f t="shared" si="21"/>
        <v>6364501.5365082575</v>
      </c>
      <c r="AL72" s="257">
        <f t="shared" si="21"/>
        <v>6670004.2294441443</v>
      </c>
      <c r="AM72" s="257">
        <f t="shared" si="21"/>
        <v>6989865.5489480197</v>
      </c>
      <c r="AN72" s="257">
        <f t="shared" si="21"/>
        <v>7324760.350468576</v>
      </c>
      <c r="AO72" s="257">
        <f t="shared" si="21"/>
        <v>7675395.2076605977</v>
      </c>
      <c r="AP72" s="257">
        <f>AP70+AP71</f>
        <v>8042509.9031406464</v>
      </c>
    </row>
    <row r="73" spans="1:45" s="248" customFormat="1" ht="16.5" thickBot="1" x14ac:dyDescent="0.25">
      <c r="A73" s="246"/>
      <c r="B73" s="258">
        <f>G141</f>
        <v>0.5</v>
      </c>
      <c r="C73" s="258">
        <f>H141</f>
        <v>1.5</v>
      </c>
      <c r="D73" s="258">
        <f t="shared" ref="D73:AP73" si="22">I141</f>
        <v>2.5</v>
      </c>
      <c r="E73" s="258">
        <f t="shared" si="22"/>
        <v>3.5</v>
      </c>
      <c r="F73" s="258">
        <f t="shared" si="22"/>
        <v>4.5</v>
      </c>
      <c r="G73" s="258">
        <f t="shared" si="22"/>
        <v>5.5</v>
      </c>
      <c r="H73" s="258">
        <f t="shared" si="22"/>
        <v>6.5</v>
      </c>
      <c r="I73" s="258">
        <f t="shared" si="22"/>
        <v>7.5</v>
      </c>
      <c r="J73" s="258">
        <f t="shared" si="22"/>
        <v>8.5</v>
      </c>
      <c r="K73" s="258">
        <f t="shared" si="22"/>
        <v>9.5</v>
      </c>
      <c r="L73" s="258">
        <f t="shared" si="22"/>
        <v>10.5</v>
      </c>
      <c r="M73" s="258">
        <f t="shared" si="22"/>
        <v>11.5</v>
      </c>
      <c r="N73" s="258">
        <f t="shared" si="22"/>
        <v>12.5</v>
      </c>
      <c r="O73" s="258">
        <f t="shared" si="22"/>
        <v>13.5</v>
      </c>
      <c r="P73" s="258">
        <f t="shared" si="22"/>
        <v>14.5</v>
      </c>
      <c r="Q73" s="258">
        <f t="shared" si="22"/>
        <v>15.5</v>
      </c>
      <c r="R73" s="258">
        <f t="shared" si="22"/>
        <v>16.5</v>
      </c>
      <c r="S73" s="258">
        <f t="shared" si="22"/>
        <v>17.5</v>
      </c>
      <c r="T73" s="258">
        <f t="shared" si="22"/>
        <v>18.5</v>
      </c>
      <c r="U73" s="258">
        <f t="shared" si="22"/>
        <v>19.5</v>
      </c>
      <c r="V73" s="258">
        <f t="shared" si="22"/>
        <v>20.5</v>
      </c>
      <c r="W73" s="258">
        <f t="shared" si="22"/>
        <v>21.5</v>
      </c>
      <c r="X73" s="258">
        <f t="shared" si="22"/>
        <v>22.5</v>
      </c>
      <c r="Y73" s="258">
        <f t="shared" si="22"/>
        <v>23.5</v>
      </c>
      <c r="Z73" s="258">
        <f t="shared" si="22"/>
        <v>24.5</v>
      </c>
      <c r="AA73" s="258">
        <f t="shared" si="22"/>
        <v>25.5</v>
      </c>
      <c r="AB73" s="258">
        <f t="shared" si="22"/>
        <v>26.5</v>
      </c>
      <c r="AC73" s="258">
        <f t="shared" si="22"/>
        <v>27.5</v>
      </c>
      <c r="AD73" s="258">
        <f t="shared" si="22"/>
        <v>28.5</v>
      </c>
      <c r="AE73" s="258">
        <f t="shared" si="22"/>
        <v>29.5</v>
      </c>
      <c r="AF73" s="258">
        <f t="shared" si="22"/>
        <v>30.5</v>
      </c>
      <c r="AG73" s="258">
        <f t="shared" si="22"/>
        <v>31.5</v>
      </c>
      <c r="AH73" s="258">
        <f t="shared" si="22"/>
        <v>32.5</v>
      </c>
      <c r="AI73" s="258">
        <f t="shared" si="22"/>
        <v>33.5</v>
      </c>
      <c r="AJ73" s="258">
        <f t="shared" si="22"/>
        <v>34.5</v>
      </c>
      <c r="AK73" s="258">
        <f t="shared" si="22"/>
        <v>35.5</v>
      </c>
      <c r="AL73" s="258">
        <f t="shared" si="22"/>
        <v>36.5</v>
      </c>
      <c r="AM73" s="258">
        <f t="shared" si="22"/>
        <v>37.5</v>
      </c>
      <c r="AN73" s="258">
        <f t="shared" si="22"/>
        <v>38.5</v>
      </c>
      <c r="AO73" s="258">
        <f t="shared" si="22"/>
        <v>39.5</v>
      </c>
      <c r="AP73" s="258">
        <f t="shared" si="22"/>
        <v>40.5</v>
      </c>
      <c r="AQ73" s="190"/>
      <c r="AR73" s="190"/>
      <c r="AS73" s="190"/>
    </row>
    <row r="74" spans="1:45" x14ac:dyDescent="0.2">
      <c r="A74" s="240" t="s">
        <v>256</v>
      </c>
      <c r="B74" s="241">
        <f t="shared" ref="B74:AO74" si="23">B58</f>
        <v>1</v>
      </c>
      <c r="C74" s="241">
        <f t="shared" si="23"/>
        <v>2</v>
      </c>
      <c r="D74" s="241">
        <f t="shared" si="23"/>
        <v>3</v>
      </c>
      <c r="E74" s="241">
        <f t="shared" si="23"/>
        <v>4</v>
      </c>
      <c r="F74" s="241">
        <f t="shared" si="23"/>
        <v>5</v>
      </c>
      <c r="G74" s="241">
        <f t="shared" si="23"/>
        <v>6</v>
      </c>
      <c r="H74" s="241">
        <f t="shared" si="23"/>
        <v>7</v>
      </c>
      <c r="I74" s="241">
        <f t="shared" si="23"/>
        <v>8</v>
      </c>
      <c r="J74" s="241">
        <f t="shared" si="23"/>
        <v>9</v>
      </c>
      <c r="K74" s="241">
        <f t="shared" si="23"/>
        <v>10</v>
      </c>
      <c r="L74" s="241">
        <f t="shared" si="23"/>
        <v>11</v>
      </c>
      <c r="M74" s="241">
        <f t="shared" si="23"/>
        <v>12</v>
      </c>
      <c r="N74" s="241">
        <f t="shared" si="23"/>
        <v>13</v>
      </c>
      <c r="O74" s="241">
        <f t="shared" si="23"/>
        <v>14</v>
      </c>
      <c r="P74" s="241">
        <f t="shared" si="23"/>
        <v>15</v>
      </c>
      <c r="Q74" s="241">
        <f t="shared" si="23"/>
        <v>16</v>
      </c>
      <c r="R74" s="241">
        <f t="shared" si="23"/>
        <v>17</v>
      </c>
      <c r="S74" s="241">
        <f t="shared" si="23"/>
        <v>18</v>
      </c>
      <c r="T74" s="241">
        <f t="shared" si="23"/>
        <v>19</v>
      </c>
      <c r="U74" s="241">
        <f t="shared" si="23"/>
        <v>20</v>
      </c>
      <c r="V74" s="241">
        <f t="shared" si="23"/>
        <v>21</v>
      </c>
      <c r="W74" s="241">
        <f t="shared" si="23"/>
        <v>22</v>
      </c>
      <c r="X74" s="241">
        <f t="shared" si="23"/>
        <v>23</v>
      </c>
      <c r="Y74" s="241">
        <f t="shared" si="23"/>
        <v>24</v>
      </c>
      <c r="Z74" s="241">
        <f t="shared" si="23"/>
        <v>25</v>
      </c>
      <c r="AA74" s="241">
        <f t="shared" si="23"/>
        <v>26</v>
      </c>
      <c r="AB74" s="241">
        <f t="shared" si="23"/>
        <v>27</v>
      </c>
      <c r="AC74" s="241">
        <f t="shared" si="23"/>
        <v>28</v>
      </c>
      <c r="AD74" s="241">
        <f t="shared" si="23"/>
        <v>29</v>
      </c>
      <c r="AE74" s="241">
        <f t="shared" si="23"/>
        <v>30</v>
      </c>
      <c r="AF74" s="241">
        <f t="shared" si="23"/>
        <v>31</v>
      </c>
      <c r="AG74" s="241">
        <f t="shared" si="23"/>
        <v>32</v>
      </c>
      <c r="AH74" s="241">
        <f t="shared" si="23"/>
        <v>33</v>
      </c>
      <c r="AI74" s="241">
        <f t="shared" si="23"/>
        <v>34</v>
      </c>
      <c r="AJ74" s="241">
        <f t="shared" si="23"/>
        <v>35</v>
      </c>
      <c r="AK74" s="241">
        <f t="shared" si="23"/>
        <v>36</v>
      </c>
      <c r="AL74" s="241">
        <f t="shared" si="23"/>
        <v>37</v>
      </c>
      <c r="AM74" s="241">
        <f t="shared" si="23"/>
        <v>38</v>
      </c>
      <c r="AN74" s="241">
        <f t="shared" si="23"/>
        <v>39</v>
      </c>
      <c r="AO74" s="241">
        <f t="shared" si="23"/>
        <v>40</v>
      </c>
      <c r="AP74" s="241">
        <f>AP58</f>
        <v>41</v>
      </c>
    </row>
    <row r="75" spans="1:45" ht="28.5" x14ac:dyDescent="0.2">
      <c r="A75" s="249" t="s">
        <v>550</v>
      </c>
      <c r="B75" s="250">
        <f t="shared" ref="B75:AO75" si="24">B68</f>
        <v>8233098</v>
      </c>
      <c r="C75" s="250">
        <f t="shared" si="24"/>
        <v>-277550.41859999998</v>
      </c>
      <c r="D75" s="250">
        <f>D68</f>
        <v>33737.303408992942</v>
      </c>
      <c r="E75" s="250">
        <f t="shared" si="24"/>
        <v>258717.53008068644</v>
      </c>
      <c r="F75" s="250">
        <f t="shared" si="24"/>
        <v>567866.37511077547</v>
      </c>
      <c r="G75" s="250">
        <f t="shared" si="24"/>
        <v>904556.6533825181</v>
      </c>
      <c r="H75" s="250">
        <f t="shared" si="24"/>
        <v>1270702.5844954893</v>
      </c>
      <c r="I75" s="250">
        <f t="shared" si="24"/>
        <v>1990352.7413892082</v>
      </c>
      <c r="J75" s="250">
        <f t="shared" si="24"/>
        <v>2099620.7383899009</v>
      </c>
      <c r="K75" s="250">
        <f t="shared" si="24"/>
        <v>2213849.1254298259</v>
      </c>
      <c r="L75" s="250">
        <f t="shared" si="24"/>
        <v>2333271.0408408279</v>
      </c>
      <c r="M75" s="250">
        <f t="shared" si="24"/>
        <v>2458130.5804563463</v>
      </c>
      <c r="N75" s="250">
        <f t="shared" si="24"/>
        <v>2588683.3126139943</v>
      </c>
      <c r="O75" s="250">
        <f t="shared" si="24"/>
        <v>2725196.8173632515</v>
      </c>
      <c r="P75" s="250">
        <f t="shared" si="24"/>
        <v>2867951.2510159244</v>
      </c>
      <c r="Q75" s="250">
        <f t="shared" si="24"/>
        <v>3017239.9372304729</v>
      </c>
      <c r="R75" s="250">
        <f t="shared" si="24"/>
        <v>3173369.9858773048</v>
      </c>
      <c r="S75" s="250">
        <f t="shared" si="24"/>
        <v>3336662.9409907381</v>
      </c>
      <c r="T75" s="250">
        <f t="shared" si="24"/>
        <v>3507455.4591747024</v>
      </c>
      <c r="U75" s="250">
        <f t="shared" si="24"/>
        <v>3686100.0198935135</v>
      </c>
      <c r="V75" s="250">
        <f t="shared" si="24"/>
        <v>3872965.6691463077</v>
      </c>
      <c r="W75" s="250">
        <f t="shared" si="24"/>
        <v>4068438.7980941841</v>
      </c>
      <c r="X75" s="250">
        <f t="shared" si="24"/>
        <v>4272923.9582828106</v>
      </c>
      <c r="Y75" s="250">
        <f t="shared" si="24"/>
        <v>4486844.7151805023</v>
      </c>
      <c r="Z75" s="250">
        <f t="shared" si="24"/>
        <v>4710644.5418325858</v>
      </c>
      <c r="AA75" s="250">
        <f t="shared" si="24"/>
        <v>4944787.7545175171</v>
      </c>
      <c r="AB75" s="250">
        <f t="shared" si="24"/>
        <v>5189760.4923788393</v>
      </c>
      <c r="AC75" s="250">
        <f t="shared" si="24"/>
        <v>5446071.7430998441</v>
      </c>
      <c r="AD75" s="250">
        <f t="shared" si="24"/>
        <v>5714254.4167849356</v>
      </c>
      <c r="AE75" s="250">
        <f t="shared" si="24"/>
        <v>5994866.470313427</v>
      </c>
      <c r="AF75" s="250">
        <f t="shared" si="24"/>
        <v>6288492.0845379587</v>
      </c>
      <c r="AG75" s="250">
        <f t="shared" si="24"/>
        <v>6592015.1134112421</v>
      </c>
      <c r="AH75" s="250">
        <f t="shared" si="24"/>
        <v>6909803.7246415699</v>
      </c>
      <c r="AI75" s="250">
        <f t="shared" si="24"/>
        <v>7242528.4005997237</v>
      </c>
      <c r="AJ75" s="250">
        <f t="shared" si="24"/>
        <v>7590891.1363279102</v>
      </c>
      <c r="AK75" s="250">
        <f t="shared" si="24"/>
        <v>7955626.9206353221</v>
      </c>
      <c r="AL75" s="250">
        <f t="shared" si="24"/>
        <v>8337505.2868051799</v>
      </c>
      <c r="AM75" s="250">
        <f t="shared" si="24"/>
        <v>8737331.9361850247</v>
      </c>
      <c r="AN75" s="250">
        <f t="shared" si="24"/>
        <v>9155950.4380857199</v>
      </c>
      <c r="AO75" s="250">
        <f t="shared" si="24"/>
        <v>9594244.009575747</v>
      </c>
      <c r="AP75" s="250">
        <f>AP68</f>
        <v>10053137.378925808</v>
      </c>
    </row>
    <row r="76" spans="1:45" x14ac:dyDescent="0.2">
      <c r="A76" s="251" t="s">
        <v>255</v>
      </c>
      <c r="B76" s="243">
        <f t="shared" ref="B76:AO76" si="25">-B67</f>
        <v>0</v>
      </c>
      <c r="C76" s="243">
        <f>-C67</f>
        <v>169444.7</v>
      </c>
      <c r="D76" s="243">
        <f t="shared" si="25"/>
        <v>169444.7</v>
      </c>
      <c r="E76" s="243">
        <f t="shared" si="25"/>
        <v>169444.7</v>
      </c>
      <c r="F76" s="243">
        <f>-C67</f>
        <v>169444.7</v>
      </c>
      <c r="G76" s="243">
        <f t="shared" si="25"/>
        <v>169444.7</v>
      </c>
      <c r="H76" s="243">
        <f t="shared" si="25"/>
        <v>169444.7</v>
      </c>
      <c r="I76" s="243">
        <f t="shared" si="25"/>
        <v>169444.7</v>
      </c>
      <c r="J76" s="243">
        <f t="shared" si="25"/>
        <v>169444.7</v>
      </c>
      <c r="K76" s="243">
        <f t="shared" si="25"/>
        <v>169444.7</v>
      </c>
      <c r="L76" s="243">
        <f>-L67</f>
        <v>169444.7</v>
      </c>
      <c r="M76" s="243">
        <f>-M67</f>
        <v>169444.7</v>
      </c>
      <c r="N76" s="243">
        <f t="shared" si="25"/>
        <v>169444.7</v>
      </c>
      <c r="O76" s="243">
        <f t="shared" si="25"/>
        <v>169444.7</v>
      </c>
      <c r="P76" s="243">
        <f t="shared" si="25"/>
        <v>169444.7</v>
      </c>
      <c r="Q76" s="243">
        <f t="shared" si="25"/>
        <v>169444.7</v>
      </c>
      <c r="R76" s="243">
        <f t="shared" si="25"/>
        <v>169444.7</v>
      </c>
      <c r="S76" s="243">
        <f t="shared" si="25"/>
        <v>169444.7</v>
      </c>
      <c r="T76" s="243">
        <f t="shared" si="25"/>
        <v>169444.7</v>
      </c>
      <c r="U76" s="243">
        <f t="shared" si="25"/>
        <v>169444.7</v>
      </c>
      <c r="V76" s="243">
        <f t="shared" si="25"/>
        <v>169444.7</v>
      </c>
      <c r="W76" s="243">
        <f t="shared" si="25"/>
        <v>169444.7</v>
      </c>
      <c r="X76" s="243">
        <f t="shared" si="25"/>
        <v>169444.7</v>
      </c>
      <c r="Y76" s="243">
        <f t="shared" si="25"/>
        <v>169444.7</v>
      </c>
      <c r="Z76" s="243">
        <f t="shared" si="25"/>
        <v>169444.7</v>
      </c>
      <c r="AA76" s="243">
        <f t="shared" si="25"/>
        <v>169444.7</v>
      </c>
      <c r="AB76" s="243">
        <f t="shared" si="25"/>
        <v>169444.7</v>
      </c>
      <c r="AC76" s="243">
        <f t="shared" si="25"/>
        <v>169444.7</v>
      </c>
      <c r="AD76" s="243">
        <f t="shared" si="25"/>
        <v>169444.7</v>
      </c>
      <c r="AE76" s="243">
        <f t="shared" si="25"/>
        <v>169444.7</v>
      </c>
      <c r="AF76" s="243">
        <f t="shared" si="25"/>
        <v>169444.7</v>
      </c>
      <c r="AG76" s="243">
        <f t="shared" si="25"/>
        <v>169444.7</v>
      </c>
      <c r="AH76" s="243">
        <f t="shared" si="25"/>
        <v>169444.7</v>
      </c>
      <c r="AI76" s="243">
        <f t="shared" si="25"/>
        <v>169444.7</v>
      </c>
      <c r="AJ76" s="243">
        <f t="shared" si="25"/>
        <v>169444.7</v>
      </c>
      <c r="AK76" s="243">
        <f t="shared" si="25"/>
        <v>169444.7</v>
      </c>
      <c r="AL76" s="243">
        <f t="shared" si="25"/>
        <v>169444.7</v>
      </c>
      <c r="AM76" s="243">
        <f t="shared" si="25"/>
        <v>169444.7</v>
      </c>
      <c r="AN76" s="243">
        <f t="shared" si="25"/>
        <v>169444.7</v>
      </c>
      <c r="AO76" s="243">
        <f t="shared" si="25"/>
        <v>169444.7</v>
      </c>
      <c r="AP76" s="243">
        <f>-AP67</f>
        <v>169444.7</v>
      </c>
    </row>
    <row r="77" spans="1:45" x14ac:dyDescent="0.2">
      <c r="A77" s="251" t="s">
        <v>254</v>
      </c>
      <c r="B77" s="243">
        <f t="shared" ref="B77:AO77" si="26">B69</f>
        <v>0</v>
      </c>
      <c r="C77" s="243">
        <f t="shared" si="26"/>
        <v>0</v>
      </c>
      <c r="D77" s="243">
        <f t="shared" si="26"/>
        <v>0</v>
      </c>
      <c r="E77" s="243">
        <f t="shared" si="26"/>
        <v>0</v>
      </c>
      <c r="F77" s="243">
        <f t="shared" si="26"/>
        <v>0</v>
      </c>
      <c r="G77" s="243">
        <f t="shared" si="26"/>
        <v>0</v>
      </c>
      <c r="H77" s="243">
        <f t="shared" si="26"/>
        <v>0</v>
      </c>
      <c r="I77" s="243">
        <f t="shared" si="26"/>
        <v>0</v>
      </c>
      <c r="J77" s="243">
        <f t="shared" si="26"/>
        <v>0</v>
      </c>
      <c r="K77" s="243">
        <f t="shared" si="26"/>
        <v>0</v>
      </c>
      <c r="L77" s="243">
        <f t="shared" si="26"/>
        <v>0</v>
      </c>
      <c r="M77" s="243">
        <f t="shared" si="26"/>
        <v>0</v>
      </c>
      <c r="N77" s="243">
        <f t="shared" si="26"/>
        <v>0</v>
      </c>
      <c r="O77" s="243">
        <f t="shared" si="26"/>
        <v>0</v>
      </c>
      <c r="P77" s="243">
        <f t="shared" si="26"/>
        <v>0</v>
      </c>
      <c r="Q77" s="243">
        <f t="shared" si="26"/>
        <v>0</v>
      </c>
      <c r="R77" s="243">
        <f t="shared" si="26"/>
        <v>0</v>
      </c>
      <c r="S77" s="243">
        <f t="shared" si="26"/>
        <v>0</v>
      </c>
      <c r="T77" s="243">
        <f t="shared" si="26"/>
        <v>0</v>
      </c>
      <c r="U77" s="243">
        <f t="shared" si="26"/>
        <v>0</v>
      </c>
      <c r="V77" s="243">
        <f t="shared" si="26"/>
        <v>0</v>
      </c>
      <c r="W77" s="243">
        <f t="shared" si="26"/>
        <v>0</v>
      </c>
      <c r="X77" s="243">
        <f t="shared" si="26"/>
        <v>0</v>
      </c>
      <c r="Y77" s="243">
        <f t="shared" si="26"/>
        <v>0</v>
      </c>
      <c r="Z77" s="243">
        <f t="shared" si="26"/>
        <v>0</v>
      </c>
      <c r="AA77" s="243">
        <f t="shared" si="26"/>
        <v>0</v>
      </c>
      <c r="AB77" s="243">
        <f t="shared" si="26"/>
        <v>0</v>
      </c>
      <c r="AC77" s="243">
        <f t="shared" si="26"/>
        <v>0</v>
      </c>
      <c r="AD77" s="243">
        <f t="shared" si="26"/>
        <v>0</v>
      </c>
      <c r="AE77" s="243">
        <f t="shared" si="26"/>
        <v>0</v>
      </c>
      <c r="AF77" s="243">
        <f t="shared" si="26"/>
        <v>0</v>
      </c>
      <c r="AG77" s="243">
        <f t="shared" si="26"/>
        <v>0</v>
      </c>
      <c r="AH77" s="243">
        <f t="shared" si="26"/>
        <v>0</v>
      </c>
      <c r="AI77" s="243">
        <f t="shared" si="26"/>
        <v>0</v>
      </c>
      <c r="AJ77" s="243">
        <f t="shared" si="26"/>
        <v>0</v>
      </c>
      <c r="AK77" s="243">
        <f t="shared" si="26"/>
        <v>0</v>
      </c>
      <c r="AL77" s="243">
        <f t="shared" si="26"/>
        <v>0</v>
      </c>
      <c r="AM77" s="243">
        <f t="shared" si="26"/>
        <v>0</v>
      </c>
      <c r="AN77" s="243">
        <f t="shared" si="26"/>
        <v>0</v>
      </c>
      <c r="AO77" s="243">
        <f t="shared" si="26"/>
        <v>0</v>
      </c>
      <c r="AP77" s="243">
        <f>AP69</f>
        <v>0</v>
      </c>
    </row>
    <row r="78" spans="1:45" x14ac:dyDescent="0.2">
      <c r="A78" s="251" t="s">
        <v>253</v>
      </c>
      <c r="B78" s="243">
        <f>IF(SUM($B$71:B71)+SUM($A$78:A78)&gt;0,0,SUM($B$71:B71)-SUM($A$78:A78))</f>
        <v>-1646619.6</v>
      </c>
      <c r="C78" s="243">
        <f>IF(SUM($B$71:C71)+SUM($A$78:B78)&gt;0,0,SUM($B$71:C71)-SUM($A$78:B78))</f>
        <v>55510.083719999995</v>
      </c>
      <c r="D78" s="243">
        <f>IF(SUM($B$71:D71)+SUM($A$78:C78)&gt;0,0,SUM($B$71:D71)-SUM($A$78:C78))</f>
        <v>-6747.4606817986351</v>
      </c>
      <c r="E78" s="243">
        <f>IF(SUM($B$71:E71)+SUM($A$78:D78)&gt;0,0,SUM($B$71:E71)-SUM($A$78:D78))</f>
        <v>-51743.506016137311</v>
      </c>
      <c r="F78" s="243">
        <f>IF(SUM($B$71:F71)+SUM($A$78:E78)&gt;0,0,SUM($B$71:F71)-SUM($A$78:E78))</f>
        <v>-113573.27502215514</v>
      </c>
      <c r="G78" s="243">
        <f>IF(SUM($B$71:G71)+SUM($A$78:F78)&gt;0,0,SUM($B$71:G71)-SUM($A$78:F78))</f>
        <v>-180911.33067650371</v>
      </c>
      <c r="H78" s="243">
        <f>IF(SUM($B$71:H71)+SUM($A$78:G78)&gt;0,0,SUM($B$71:H71)-SUM($A$78:G78))</f>
        <v>-254140.51689909794</v>
      </c>
      <c r="I78" s="243">
        <f>IF(SUM($B$71:I71)+SUM($A$78:H78)&gt;0,0,SUM($B$71:I71)-SUM($A$78:H78))</f>
        <v>-398070.54827784188</v>
      </c>
      <c r="J78" s="243">
        <f>IF(SUM($B$71:J71)+SUM($A$78:I78)&gt;0,0,SUM($B$71:J71)-SUM($A$78:I78))</f>
        <v>-419924.14767798036</v>
      </c>
      <c r="K78" s="243">
        <f>IF(SUM($B$71:K71)+SUM($A$78:J78)&gt;0,0,SUM($B$71:K71)-SUM($A$78:J78))</f>
        <v>-442769.82508596499</v>
      </c>
      <c r="L78" s="243">
        <f>IF(SUM($B$71:L71)+SUM($A$78:K78)&gt;0,0,SUM($B$71:L71)-SUM($A$78:K78))</f>
        <v>-466654.20816816576</v>
      </c>
      <c r="M78" s="243">
        <f>IF(SUM($B$71:M71)+SUM($A$78:L78)&gt;0,0,SUM($B$71:M71)-SUM($A$78:L78))</f>
        <v>-491626.11609126907</v>
      </c>
      <c r="N78" s="243">
        <f>IF(SUM($B$71:N71)+SUM($A$78:M78)&gt;0,0,SUM($B$71:N71)-SUM($A$78:M78))</f>
        <v>-517736.66252279934</v>
      </c>
      <c r="O78" s="243">
        <f>IF(SUM($B$71:O71)+SUM($A$78:N78)&gt;0,0,SUM($B$71:O71)-SUM($A$78:N78))</f>
        <v>-545039.36347264983</v>
      </c>
      <c r="P78" s="243">
        <f>IF(SUM($B$71:P71)+SUM($A$78:O78)&gt;0,0,SUM($B$71:P71)-SUM($A$78:O78))</f>
        <v>-573590.25020318478</v>
      </c>
      <c r="Q78" s="243">
        <f>IF(SUM($B$71:Q71)+SUM($A$78:P78)&gt;0,0,SUM($B$71:Q71)-SUM($A$78:P78))</f>
        <v>-603447.98744609486</v>
      </c>
      <c r="R78" s="243">
        <f>IF(SUM($B$71:R71)+SUM($A$78:Q78)&gt;0,0,SUM($B$71:R71)-SUM($A$78:Q78))</f>
        <v>-634673.99717546068</v>
      </c>
      <c r="S78" s="243">
        <f>IF(SUM($B$71:S71)+SUM($A$78:R78)&gt;0,0,SUM($B$71:S71)-SUM($A$78:R78))</f>
        <v>-667332.58819814771</v>
      </c>
      <c r="T78" s="243">
        <f>IF(SUM($B$71:T71)+SUM($A$78:S78)&gt;0,0,SUM($B$71:T71)-SUM($A$78:S78))</f>
        <v>-701491.09183494095</v>
      </c>
      <c r="U78" s="243">
        <f>IF(SUM($B$71:U71)+SUM($A$78:T78)&gt;0,0,SUM($B$71:U71)-SUM($A$78:T78))</f>
        <v>-737220.00397870317</v>
      </c>
      <c r="V78" s="243">
        <f>IF(SUM($B$71:V71)+SUM($A$78:U78)&gt;0,0,SUM($B$71:V71)-SUM($A$78:U78))</f>
        <v>-774593.13382926211</v>
      </c>
      <c r="W78" s="243">
        <f>IF(SUM($B$71:W71)+SUM($A$78:V78)&gt;0,0,SUM($B$71:W71)-SUM($A$78:V78))</f>
        <v>-813687.75961883739</v>
      </c>
      <c r="X78" s="243">
        <f>IF(SUM($B$71:X71)+SUM($A$78:W78)&gt;0,0,SUM($B$71:X71)-SUM($A$78:W78))</f>
        <v>-854584.7916565612</v>
      </c>
      <c r="Y78" s="243">
        <f>IF(SUM($B$71:Y71)+SUM($A$78:X78)&gt;0,0,SUM($B$71:Y71)-SUM($A$78:X78))</f>
        <v>-897368.9430360999</v>
      </c>
      <c r="Z78" s="243">
        <f>IF(SUM($B$71:Z71)+SUM($A$78:Y78)&gt;0,0,SUM($B$71:Z71)-SUM($A$78:Y78))</f>
        <v>-942128.9083665181</v>
      </c>
      <c r="AA78" s="243">
        <f>IF(SUM($B$71:AA71)+SUM($A$78:Z78)&gt;0,0,SUM($B$71:AA71)-SUM($A$78:Z78))</f>
        <v>-988957.55090350285</v>
      </c>
      <c r="AB78" s="243">
        <f>IF(SUM($B$71:AB71)+SUM($A$78:AA78)&gt;0,0,SUM($B$71:AB71)-SUM($A$78:AA78))</f>
        <v>-1037952.0984757673</v>
      </c>
      <c r="AC78" s="243">
        <f>IF(SUM($B$71:AC71)+SUM($A$78:AB78)&gt;0,0,SUM($B$71:AC71)-SUM($A$78:AB78))</f>
        <v>-1089214.3486199696</v>
      </c>
      <c r="AD78" s="243">
        <f>IF(SUM($B$71:AD71)+SUM($A$78:AC78)&gt;0,0,SUM($B$71:AD71)-SUM($A$78:AC78))</f>
        <v>-1142850.8833569884</v>
      </c>
      <c r="AE78" s="243">
        <f>IF(SUM($B$71:AE71)+SUM($A$78:AD78)&gt;0,0,SUM($B$71:AE71)-SUM($A$78:AD78))</f>
        <v>-1198973.2940626852</v>
      </c>
      <c r="AF78" s="243">
        <f>IF(SUM($B$71:AF71)+SUM($A$78:AE78)&gt;0,0,SUM($B$71:AF71)-SUM($A$78:AE78))</f>
        <v>-1257698.4169075936</v>
      </c>
      <c r="AG78" s="243">
        <f>IF(SUM($B$71:AG71)+SUM($A$78:AF78)&gt;0,0,SUM($B$71:AG71)-SUM($A$78:AF78))</f>
        <v>-1318403.0226822495</v>
      </c>
      <c r="AH78" s="243">
        <f>IF(SUM($B$71:AH71)+SUM($A$78:AG78)&gt;0,0,SUM($B$71:AH71)-SUM($A$78:AG78))</f>
        <v>-1381960.7449283153</v>
      </c>
      <c r="AI78" s="243">
        <f>IF(SUM($B$71:AI71)+SUM($A$78:AH78)&gt;0,0,SUM($B$71:AI71)-SUM($A$78:AH78))</f>
        <v>-1448505.6801199466</v>
      </c>
      <c r="AJ78" s="243">
        <f>IF(SUM($B$71:AJ71)+SUM($A$78:AI78)&gt;0,0,SUM($B$71:AJ71)-SUM($A$78:AI78))</f>
        <v>-1518178.2272655815</v>
      </c>
      <c r="AK78" s="243">
        <f>IF(SUM($B$71:AK71)+SUM($A$78:AJ78)&gt;0,0,SUM($B$71:AK71)-SUM($A$78:AJ78))</f>
        <v>-1591125.3841270655</v>
      </c>
      <c r="AL78" s="243">
        <f>IF(SUM($B$71:AL71)+SUM($A$78:AK78)&gt;0,0,SUM($B$71:AL71)-SUM($A$78:AK78))</f>
        <v>-1667501.0573610365</v>
      </c>
      <c r="AM78" s="243">
        <f>IF(SUM($B$71:AM71)+SUM($A$78:AL78)&gt;0,0,SUM($B$71:AM71)-SUM($A$78:AL78))</f>
        <v>-1747466.3872370049</v>
      </c>
      <c r="AN78" s="243">
        <f>IF(SUM($B$71:AN71)+SUM($A$78:AM78)&gt;0,0,SUM($B$71:AN71)-SUM($A$78:AM78))</f>
        <v>-1831190.087617144</v>
      </c>
      <c r="AO78" s="243">
        <f>IF(SUM($B$71:AO71)+SUM($A$78:AN78)&gt;0,0,SUM($B$71:AO71)-SUM($A$78:AN78))</f>
        <v>-1918848.8019151464</v>
      </c>
      <c r="AP78" s="243">
        <f>IF(SUM($B$71:AP71)+SUM($A$78:AO78)&gt;0,0,SUM($B$71:AP71)-SUM($A$78:AO78))</f>
        <v>-2010627.4757851586</v>
      </c>
    </row>
    <row r="79" spans="1:45" x14ac:dyDescent="0.2">
      <c r="A79" s="251" t="s">
        <v>252</v>
      </c>
      <c r="B79" s="243">
        <f ca="1">IF(((SUM($B$59:B59)+SUM($B$61:B64))+SUM($B$81:B81))&lt;0,((SUM($B$59:B59)+SUM($B$61:B64))+SUM($B$81:B81))*0.2-SUM($A$79:A79),IF(SUM(A$79:$B79)&lt;0,0-SUM(A$79:$B79),0))</f>
        <v>-171150.4800000001</v>
      </c>
      <c r="C79" s="243">
        <f ca="1">IF(((SUM($B$59:C59)+SUM($B$61:C64))+SUM($B$81:C81))&lt;0,((SUM($B$59:C59)+SUM($B$61:C64))+SUM($B$81:C81))*0.18-SUM($A$79:B79),IF(SUM($B$79:B79)&lt;0,0-SUM($B$79:B79),0))</f>
        <v>17115.048000000039</v>
      </c>
      <c r="D79" s="243">
        <f ca="1">IF(((SUM($B$59:D59)+SUM($B$61:D64))+SUM($B$81:D81))&lt;0,((SUM($B$59:D59)+SUM($B$61:D64))+SUM($B$81:D81))*0.2-SUM($A$79:C79),IF(SUM($B$79:C79)&lt;0,0-SUM($B$79:C79),0))</f>
        <v>44396.939721798553</v>
      </c>
      <c r="E79" s="243">
        <f ca="1">IF(((SUM($B$59:E59)+SUM($B$61:E64))+SUM($B$81:E81))&lt;0,((SUM($B$59:E59)+SUM($B$61:E64))+SUM($B$81:E81))*0.2-SUM($A$79:D79),IF(SUM($B$79:D79)&lt;0,0-SUM($B$79:D79),0))</f>
        <v>105063.57935573123</v>
      </c>
      <c r="F79" s="243">
        <f ca="1">IF(((SUM($B$59:F59)+SUM($B$61:F64))+SUM($B$81:F81))&lt;0,((SUM($B$59:F59)+SUM($B$61:F64))+SUM($B$81:F81))*0.2-SUM($A$79:E79),IF(SUM($B$79:E79)&lt;0,0-SUM($B$79:E79),0))</f>
        <v>4574.9129224702774</v>
      </c>
      <c r="G79" s="243">
        <f ca="1">IF(((SUM($B$59:G59)+SUM($B$61:G64))+SUM($B$81:G81))&lt;0,((SUM($B$59:G59)+SUM($B$61:G64))+SUM($B$81:G81))*0.18-SUM($A$79:F79),IF(SUM($B$79:F79)&lt;0,0-SUM($B$79:F79),0))</f>
        <v>0</v>
      </c>
      <c r="H79" s="243">
        <f ca="1">IF(((SUM($B$59:H59)+SUM($B$61:H64))+SUM($B$81:H81))&lt;0,((SUM($B$59:H59)+SUM($B$61:H64))+SUM($B$81:H81))*0.18-SUM($A$79:G79),IF(SUM($B$79:G79)&lt;0,0-SUM($B$79:G79),0))</f>
        <v>0</v>
      </c>
      <c r="I79" s="243">
        <f ca="1">IF(((SUM($B$59:I59)+SUM($B$61:I64))+SUM($B$81:I81))&lt;0,((SUM($B$59:I59)+SUM($B$61:I64))+SUM($B$81:I81))*0.18-SUM($A$79:H79),IF(SUM($B$79:H79)&lt;0,0-SUM($B$79:H79),0))</f>
        <v>0</v>
      </c>
      <c r="J79" s="243">
        <f ca="1">IF(((SUM($B$59:J59)+SUM($B$61:J64))+SUM($B$81:J81))&lt;0,((SUM($B$59:J59)+SUM($B$61:J64))+SUM($B$81:J81))*0.18-SUM($A$79:I79),IF(SUM($B$79:I79)&lt;0,0-SUM($B$79:I79),0))</f>
        <v>0</v>
      </c>
      <c r="K79" s="243">
        <f ca="1">IF(((SUM($B$59:K59)+SUM($B$61:K64))+SUM($B$81:K81))&lt;0,((SUM($B$59:K59)+SUM($B$61:K64))+SUM($B$81:K81))*0.18-SUM($A$79:J79),IF(SUM($B$79:J79)&lt;0,0-SUM($B$79:J79),0))</f>
        <v>0</v>
      </c>
      <c r="L79" s="243">
        <f ca="1">IF(((SUM($B$59:L59)+SUM($B$61:L64))+SUM($B$81:L81))&lt;0,((SUM($B$59:L59)+SUM($B$61:L64))+SUM($B$81:L81))*0.18-SUM($A$79:K79),IF(SUM($B$79:K79)&lt;0,0-SUM($B$79:K79),0))</f>
        <v>0</v>
      </c>
      <c r="M79" s="243">
        <f ca="1">IF(((SUM($B$59:M59)+SUM($B$61:M64))+SUM($B$81:M81))&lt;0,((SUM($B$59:M59)+SUM($B$61:M64))+SUM($B$81:M81))*0.18-SUM($A$79:L79),IF(SUM($B$79:L79)&lt;0,0-SUM($B$79:L79),0))</f>
        <v>0</v>
      </c>
      <c r="N79" s="243">
        <f ca="1">IF(((SUM($B$59:N59)+SUM($B$61:N64))+SUM($B$81:N81))&lt;0,((SUM($B$59:N59)+SUM($B$61:N64))+SUM($B$81:N81))*0.18-SUM($A$79:M79),IF(SUM($B$79:M79)&lt;0,0-SUM($B$79:M79),0))</f>
        <v>0</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251</v>
      </c>
      <c r="B80" s="243">
        <f>-B59*(B39)</f>
        <v>0</v>
      </c>
      <c r="C80" s="243">
        <f t="shared" ref="C80:AP80" si="27">-(C59-B59)*$B$39</f>
        <v>0</v>
      </c>
      <c r="D80" s="243">
        <f t="shared" si="27"/>
        <v>0</v>
      </c>
      <c r="E80" s="243">
        <f t="shared" si="27"/>
        <v>0</v>
      </c>
      <c r="F80" s="243">
        <f t="shared" si="27"/>
        <v>0</v>
      </c>
      <c r="G80" s="243">
        <f t="shared" si="27"/>
        <v>0</v>
      </c>
      <c r="H80" s="243">
        <f t="shared" si="27"/>
        <v>0</v>
      </c>
      <c r="I80" s="243">
        <f t="shared" si="27"/>
        <v>0</v>
      </c>
      <c r="J80" s="243">
        <f t="shared" si="27"/>
        <v>0</v>
      </c>
      <c r="K80" s="243">
        <f t="shared" si="27"/>
        <v>0</v>
      </c>
      <c r="L80" s="243">
        <f t="shared" si="27"/>
        <v>0</v>
      </c>
      <c r="M80" s="243">
        <f t="shared" si="27"/>
        <v>0</v>
      </c>
      <c r="N80" s="243">
        <f t="shared" si="27"/>
        <v>0</v>
      </c>
      <c r="O80" s="243">
        <f t="shared" si="27"/>
        <v>0</v>
      </c>
      <c r="P80" s="243">
        <f t="shared" si="27"/>
        <v>0</v>
      </c>
      <c r="Q80" s="243">
        <f t="shared" si="27"/>
        <v>0</v>
      </c>
      <c r="R80" s="243">
        <f t="shared" si="27"/>
        <v>0</v>
      </c>
      <c r="S80" s="243">
        <f t="shared" si="27"/>
        <v>0</v>
      </c>
      <c r="T80" s="243">
        <f t="shared" si="27"/>
        <v>0</v>
      </c>
      <c r="U80" s="243">
        <f t="shared" si="27"/>
        <v>0</v>
      </c>
      <c r="V80" s="243">
        <f t="shared" si="27"/>
        <v>0</v>
      </c>
      <c r="W80" s="243">
        <f t="shared" si="27"/>
        <v>0</v>
      </c>
      <c r="X80" s="243">
        <f t="shared" si="27"/>
        <v>0</v>
      </c>
      <c r="Y80" s="243">
        <f t="shared" si="27"/>
        <v>0</v>
      </c>
      <c r="Z80" s="243">
        <f t="shared" si="27"/>
        <v>0</v>
      </c>
      <c r="AA80" s="243">
        <f t="shared" si="27"/>
        <v>0</v>
      </c>
      <c r="AB80" s="243">
        <f t="shared" si="27"/>
        <v>0</v>
      </c>
      <c r="AC80" s="243">
        <f t="shared" si="27"/>
        <v>0</v>
      </c>
      <c r="AD80" s="243">
        <f t="shared" si="27"/>
        <v>0</v>
      </c>
      <c r="AE80" s="243">
        <f t="shared" si="27"/>
        <v>0</v>
      </c>
      <c r="AF80" s="243">
        <f t="shared" si="27"/>
        <v>0</v>
      </c>
      <c r="AG80" s="243">
        <f t="shared" si="27"/>
        <v>0</v>
      </c>
      <c r="AH80" s="243">
        <f t="shared" si="27"/>
        <v>0</v>
      </c>
      <c r="AI80" s="243">
        <f t="shared" si="27"/>
        <v>0</v>
      </c>
      <c r="AJ80" s="243">
        <f t="shared" si="27"/>
        <v>0</v>
      </c>
      <c r="AK80" s="243">
        <f t="shared" si="27"/>
        <v>0</v>
      </c>
      <c r="AL80" s="243">
        <f t="shared" si="27"/>
        <v>0</v>
      </c>
      <c r="AM80" s="243">
        <f t="shared" si="27"/>
        <v>0</v>
      </c>
      <c r="AN80" s="243">
        <f t="shared" si="27"/>
        <v>0</v>
      </c>
      <c r="AO80" s="243">
        <f t="shared" si="27"/>
        <v>0</v>
      </c>
      <c r="AP80" s="243">
        <f t="shared" si="27"/>
        <v>0</v>
      </c>
    </row>
    <row r="81" spans="1:44" x14ac:dyDescent="0.2">
      <c r="A81" s="251" t="s">
        <v>433</v>
      </c>
      <c r="B81" s="243">
        <f>'6.2. Паспорт фин осв ввод'!N24*-1000000</f>
        <v>-6100009.1999999993</v>
      </c>
      <c r="C81" s="243">
        <v>0</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-6100009.1999999993</v>
      </c>
      <c r="AR81" s="255"/>
    </row>
    <row r="82" spans="1:44" x14ac:dyDescent="0.2">
      <c r="A82" s="251" t="s">
        <v>250</v>
      </c>
      <c r="B82" s="243">
        <f t="shared" ref="B82:AO82" si="28">B54-B55</f>
        <v>0</v>
      </c>
      <c r="C82" s="243">
        <f t="shared" si="28"/>
        <v>0</v>
      </c>
      <c r="D82" s="243">
        <f t="shared" si="28"/>
        <v>0</v>
      </c>
      <c r="E82" s="243">
        <f t="shared" si="28"/>
        <v>0</v>
      </c>
      <c r="F82" s="243">
        <f t="shared" si="28"/>
        <v>0</v>
      </c>
      <c r="G82" s="243">
        <f t="shared" si="28"/>
        <v>0</v>
      </c>
      <c r="H82" s="243">
        <f t="shared" si="28"/>
        <v>0</v>
      </c>
      <c r="I82" s="243">
        <f t="shared" si="28"/>
        <v>0</v>
      </c>
      <c r="J82" s="243">
        <f t="shared" si="28"/>
        <v>0</v>
      </c>
      <c r="K82" s="243">
        <f t="shared" si="28"/>
        <v>0</v>
      </c>
      <c r="L82" s="243">
        <f t="shared" si="28"/>
        <v>0</v>
      </c>
      <c r="M82" s="243">
        <f t="shared" si="28"/>
        <v>0</v>
      </c>
      <c r="N82" s="243">
        <f t="shared" si="28"/>
        <v>0</v>
      </c>
      <c r="O82" s="243">
        <f t="shared" si="28"/>
        <v>0</v>
      </c>
      <c r="P82" s="243">
        <f t="shared" si="28"/>
        <v>0</v>
      </c>
      <c r="Q82" s="243">
        <f t="shared" si="28"/>
        <v>0</v>
      </c>
      <c r="R82" s="243">
        <f t="shared" si="28"/>
        <v>0</v>
      </c>
      <c r="S82" s="243">
        <f t="shared" si="28"/>
        <v>0</v>
      </c>
      <c r="T82" s="243">
        <f t="shared" si="28"/>
        <v>0</v>
      </c>
      <c r="U82" s="243">
        <f t="shared" si="28"/>
        <v>0</v>
      </c>
      <c r="V82" s="243">
        <f t="shared" si="28"/>
        <v>0</v>
      </c>
      <c r="W82" s="243">
        <f t="shared" si="28"/>
        <v>0</v>
      </c>
      <c r="X82" s="243">
        <f t="shared" si="28"/>
        <v>0</v>
      </c>
      <c r="Y82" s="243">
        <f t="shared" si="28"/>
        <v>0</v>
      </c>
      <c r="Z82" s="243">
        <f t="shared" si="28"/>
        <v>0</v>
      </c>
      <c r="AA82" s="243">
        <f t="shared" si="28"/>
        <v>0</v>
      </c>
      <c r="AB82" s="243">
        <f t="shared" si="28"/>
        <v>0</v>
      </c>
      <c r="AC82" s="243">
        <f t="shared" si="28"/>
        <v>0</v>
      </c>
      <c r="AD82" s="243">
        <f t="shared" si="28"/>
        <v>0</v>
      </c>
      <c r="AE82" s="243">
        <f t="shared" si="28"/>
        <v>0</v>
      </c>
      <c r="AF82" s="243">
        <f t="shared" si="28"/>
        <v>0</v>
      </c>
      <c r="AG82" s="243">
        <f t="shared" si="28"/>
        <v>0</v>
      </c>
      <c r="AH82" s="243">
        <f t="shared" si="28"/>
        <v>0</v>
      </c>
      <c r="AI82" s="243">
        <f t="shared" si="28"/>
        <v>0</v>
      </c>
      <c r="AJ82" s="243">
        <f t="shared" si="28"/>
        <v>0</v>
      </c>
      <c r="AK82" s="243">
        <f t="shared" si="28"/>
        <v>0</v>
      </c>
      <c r="AL82" s="243">
        <f t="shared" si="28"/>
        <v>0</v>
      </c>
      <c r="AM82" s="243">
        <f t="shared" si="28"/>
        <v>0</v>
      </c>
      <c r="AN82" s="243">
        <f t="shared" si="28"/>
        <v>0</v>
      </c>
      <c r="AO82" s="243">
        <f t="shared" si="28"/>
        <v>0</v>
      </c>
      <c r="AP82" s="243">
        <f>AP54-AP55</f>
        <v>0</v>
      </c>
    </row>
    <row r="83" spans="1:44" ht="14.25" x14ac:dyDescent="0.2">
      <c r="A83" s="252" t="s">
        <v>249</v>
      </c>
      <c r="B83" s="250">
        <f ca="1">SUM(B75:B82)</f>
        <v>-2673522.4800000004</v>
      </c>
      <c r="C83" s="250">
        <f t="shared" ref="C83:V83" ca="1" si="29">SUM(C75:C82)</f>
        <v>-61251.039893333422</v>
      </c>
      <c r="D83" s="250">
        <f t="shared" ca="1" si="29"/>
        <v>216522.2406889929</v>
      </c>
      <c r="E83" s="250">
        <f t="shared" ca="1" si="29"/>
        <v>455838.68483198935</v>
      </c>
      <c r="F83" s="250">
        <f t="shared" ca="1" si="29"/>
        <v>603998.91303629649</v>
      </c>
      <c r="G83" s="250">
        <f t="shared" ca="1" si="29"/>
        <v>870099.86589064519</v>
      </c>
      <c r="H83" s="250">
        <f t="shared" ca="1" si="29"/>
        <v>1164333.788240033</v>
      </c>
      <c r="I83" s="250">
        <f t="shared" ca="1" si="29"/>
        <v>1741364.321625686</v>
      </c>
      <c r="J83" s="250">
        <f t="shared" ca="1" si="29"/>
        <v>1830082.0393379335</v>
      </c>
      <c r="K83" s="250">
        <f t="shared" ca="1" si="29"/>
        <v>1922760.6481979089</v>
      </c>
      <c r="L83" s="250">
        <f t="shared" ca="1" si="29"/>
        <v>2019586.3100895574</v>
      </c>
      <c r="M83" s="250">
        <f t="shared" ca="1" si="29"/>
        <v>2120753.936505367</v>
      </c>
      <c r="N83" s="250">
        <f t="shared" ca="1" si="29"/>
        <v>2226467.5997779723</v>
      </c>
      <c r="O83" s="250">
        <f t="shared" ca="1" si="29"/>
        <v>2336940.963639643</v>
      </c>
      <c r="P83" s="250">
        <f t="shared" ca="1" si="29"/>
        <v>2452397.7340180664</v>
      </c>
      <c r="Q83" s="250">
        <f t="shared" ca="1" si="29"/>
        <v>2573072.1310195285</v>
      </c>
      <c r="R83" s="250">
        <f t="shared" ca="1" si="29"/>
        <v>2699209.3830953129</v>
      </c>
      <c r="S83" s="250">
        <f t="shared" ca="1" si="29"/>
        <v>2831066.2444339124</v>
      </c>
      <c r="T83" s="250">
        <f t="shared" ca="1" si="29"/>
        <v>2968911.5366706802</v>
      </c>
      <c r="U83" s="250">
        <f t="shared" ca="1" si="29"/>
        <v>3113026.7160578286</v>
      </c>
      <c r="V83" s="250">
        <f t="shared" ca="1" si="29"/>
        <v>3263706.4672914254</v>
      </c>
      <c r="W83" s="250">
        <f ca="1">SUM(W75:W82)</f>
        <v>3421259.3252482563</v>
      </c>
      <c r="X83" s="250">
        <f ca="1">SUM(X75:X82)</f>
        <v>3586008.3259443101</v>
      </c>
      <c r="Y83" s="250">
        <f ca="1">SUM(Y75:Y82)</f>
        <v>3758291.6880883332</v>
      </c>
      <c r="Z83" s="250">
        <f ca="1">SUM(Z75:Z82)</f>
        <v>3938463.5266683763</v>
      </c>
      <c r="AA83" s="250">
        <f t="shared" ref="AA83:AP83" ca="1" si="30">SUM(AA75:AA82)</f>
        <v>4126894.6000769362</v>
      </c>
      <c r="AB83" s="250">
        <f t="shared" ca="1" si="30"/>
        <v>4323973.0923509523</v>
      </c>
      <c r="AC83" s="250">
        <f t="shared" ca="1" si="30"/>
        <v>4530105.4321771003</v>
      </c>
      <c r="AD83" s="250">
        <f t="shared" ca="1" si="30"/>
        <v>4745717.1503903298</v>
      </c>
      <c r="AE83" s="250">
        <f t="shared" ca="1" si="30"/>
        <v>4971253.7777748359</v>
      </c>
      <c r="AF83" s="250">
        <f t="shared" ca="1" si="30"/>
        <v>5207181.7850616667</v>
      </c>
      <c r="AG83" s="250">
        <f t="shared" ca="1" si="30"/>
        <v>5449546.1291328957</v>
      </c>
      <c r="AH83" s="250">
        <f t="shared" ca="1" si="30"/>
        <v>5703301.5973754777</v>
      </c>
      <c r="AI83" s="250">
        <f t="shared" ca="1" si="30"/>
        <v>5968983.5726254554</v>
      </c>
      <c r="AJ83" s="250">
        <f t="shared" ca="1" si="30"/>
        <v>6247152.6007121867</v>
      </c>
      <c r="AK83" s="250">
        <f t="shared" ca="1" si="30"/>
        <v>6538395.5731189931</v>
      </c>
      <c r="AL83" s="250">
        <f t="shared" ca="1" si="30"/>
        <v>6843326.9652289171</v>
      </c>
      <c r="AM83" s="250">
        <f t="shared" ca="1" si="30"/>
        <v>7162590.1327680089</v>
      </c>
      <c r="AN83" s="250">
        <f t="shared" ca="1" si="30"/>
        <v>7496858.6691814382</v>
      </c>
      <c r="AO83" s="250">
        <f t="shared" ca="1" si="30"/>
        <v>7846837.8268062975</v>
      </c>
      <c r="AP83" s="250">
        <f t="shared" ca="1" si="30"/>
        <v>8213266.0048395302</v>
      </c>
    </row>
    <row r="84" spans="1:44" ht="14.25" x14ac:dyDescent="0.2">
      <c r="A84" s="252" t="s">
        <v>551</v>
      </c>
      <c r="B84" s="250">
        <f ca="1">SUM($B$83:B83)</f>
        <v>-2673522.4800000004</v>
      </c>
      <c r="C84" s="250">
        <f ca="1">SUM($B$83:C83)</f>
        <v>-2734773.5198933338</v>
      </c>
      <c r="D84" s="250">
        <f ca="1">SUM($B$83:D83)</f>
        <v>-2518251.2792043407</v>
      </c>
      <c r="E84" s="250">
        <f ca="1">SUM($B$83:E83)</f>
        <v>-2062412.5943723512</v>
      </c>
      <c r="F84" s="250">
        <f ca="1">SUM($B$83:F83)</f>
        <v>-1458413.6813360546</v>
      </c>
      <c r="G84" s="250">
        <f ca="1">SUM($B$83:G83)</f>
        <v>-588313.81544540939</v>
      </c>
      <c r="H84" s="250">
        <f ca="1">SUM($B$83:H83)</f>
        <v>576019.97279462358</v>
      </c>
      <c r="I84" s="250">
        <f ca="1">SUM($B$83:I83)</f>
        <v>2317384.2944203094</v>
      </c>
      <c r="J84" s="250">
        <f ca="1">SUM($B$83:J83)</f>
        <v>4147466.3337582429</v>
      </c>
      <c r="K84" s="250">
        <f ca="1">SUM($B$83:K83)</f>
        <v>6070226.9819561522</v>
      </c>
      <c r="L84" s="250">
        <f ca="1">SUM($B$83:L83)</f>
        <v>8089813.2920457097</v>
      </c>
      <c r="M84" s="250">
        <f ca="1">SUM($B$83:M83)</f>
        <v>10210567.228551077</v>
      </c>
      <c r="N84" s="250">
        <f ca="1">SUM($B$83:N83)</f>
        <v>12437034.828329049</v>
      </c>
      <c r="O84" s="250">
        <f ca="1">SUM($B$83:O83)</f>
        <v>14773975.791968692</v>
      </c>
      <c r="P84" s="250">
        <f ca="1">SUM($B$83:P83)</f>
        <v>17226373.525986757</v>
      </c>
      <c r="Q84" s="250">
        <f ca="1">SUM($B$83:Q83)</f>
        <v>19799445.657006286</v>
      </c>
      <c r="R84" s="250">
        <f ca="1">SUM($B$83:R83)</f>
        <v>22498655.040101599</v>
      </c>
      <c r="S84" s="250">
        <f ca="1">SUM($B$83:S83)</f>
        <v>25329721.284535512</v>
      </c>
      <c r="T84" s="250">
        <f ca="1">SUM($B$83:T83)</f>
        <v>28298632.821206193</v>
      </c>
      <c r="U84" s="250">
        <f ca="1">SUM($B$83:U83)</f>
        <v>31411659.537264023</v>
      </c>
      <c r="V84" s="250">
        <f ca="1">SUM($B$83:V83)</f>
        <v>34675366.004555449</v>
      </c>
      <c r="W84" s="250">
        <f ca="1">SUM($B$83:W83)</f>
        <v>38096625.329803705</v>
      </c>
      <c r="X84" s="250">
        <f ca="1">SUM($B$83:X83)</f>
        <v>41682633.655748017</v>
      </c>
      <c r="Y84" s="250">
        <f ca="1">SUM($B$83:Y83)</f>
        <v>45440925.343836352</v>
      </c>
      <c r="Z84" s="250">
        <f ca="1">SUM($B$83:Z83)</f>
        <v>49379388.870504729</v>
      </c>
      <c r="AA84" s="250">
        <f ca="1">SUM($B$83:AA83)</f>
        <v>53506283.470581666</v>
      </c>
      <c r="AB84" s="250">
        <f ca="1">SUM($B$83:AB83)</f>
        <v>57830256.562932618</v>
      </c>
      <c r="AC84" s="250">
        <f ca="1">SUM($B$83:AC83)</f>
        <v>62360361.995109722</v>
      </c>
      <c r="AD84" s="250">
        <f ca="1">SUM($B$83:AD83)</f>
        <v>67106079.145500049</v>
      </c>
      <c r="AE84" s="250">
        <f ca="1">SUM($B$83:AE83)</f>
        <v>72077332.92327489</v>
      </c>
      <c r="AF84" s="250">
        <f ca="1">SUM($B$83:AF83)</f>
        <v>77284514.708336562</v>
      </c>
      <c r="AG84" s="250">
        <f ca="1">SUM($B$83:AG83)</f>
        <v>82734060.837469459</v>
      </c>
      <c r="AH84" s="250">
        <f ca="1">SUM($B$83:AH83)</f>
        <v>88437362.434844941</v>
      </c>
      <c r="AI84" s="250">
        <f ca="1">SUM($B$83:AI83)</f>
        <v>94406346.007470399</v>
      </c>
      <c r="AJ84" s="250">
        <f ca="1">SUM($B$83:AJ83)</f>
        <v>100653498.60818258</v>
      </c>
      <c r="AK84" s="250">
        <f ca="1">SUM($B$83:AK83)</f>
        <v>107191894.18130158</v>
      </c>
      <c r="AL84" s="250">
        <f ca="1">SUM($B$83:AL83)</f>
        <v>114035221.14653049</v>
      </c>
      <c r="AM84" s="250">
        <f ca="1">SUM($B$83:AM83)</f>
        <v>121197811.2792985</v>
      </c>
      <c r="AN84" s="250">
        <f ca="1">SUM($B$83:AN83)</f>
        <v>128694669.94847994</v>
      </c>
      <c r="AO84" s="250">
        <f ca="1">SUM($B$83:AO83)</f>
        <v>136541507.77528623</v>
      </c>
      <c r="AP84" s="250">
        <f ca="1">SUM($B$83:AP83)</f>
        <v>144754773.78012577</v>
      </c>
    </row>
    <row r="85" spans="1:44" x14ac:dyDescent="0.2">
      <c r="A85" s="251" t="s">
        <v>434</v>
      </c>
      <c r="B85" s="335">
        <f>1/POWER((1+$B$44),B73)</f>
        <v>0.95402649883562884</v>
      </c>
      <c r="C85" s="335">
        <f t="shared" ref="C85:AP85" si="31">1/POWER((1+$B$44),C73)</f>
        <v>0.86832301705254278</v>
      </c>
      <c r="D85" s="335">
        <f t="shared" si="31"/>
        <v>0.79031857381682236</v>
      </c>
      <c r="E85" s="335">
        <f t="shared" si="31"/>
        <v>0.71932153801476506</v>
      </c>
      <c r="F85" s="335">
        <f t="shared" si="31"/>
        <v>0.65470241013449082</v>
      </c>
      <c r="G85" s="335">
        <f t="shared" si="31"/>
        <v>0.59588824077044755</v>
      </c>
      <c r="H85" s="335">
        <f t="shared" si="31"/>
        <v>0.54235755053285484</v>
      </c>
      <c r="I85" s="335">
        <f t="shared" si="31"/>
        <v>0.49363570631915432</v>
      </c>
      <c r="J85" s="335">
        <f t="shared" si="31"/>
        <v>0.44929071295090039</v>
      </c>
      <c r="K85" s="335">
        <f t="shared" si="31"/>
        <v>0.40892938286238317</v>
      </c>
      <c r="L85" s="335">
        <f t="shared" si="31"/>
        <v>0.37219384987929666</v>
      </c>
      <c r="M85" s="335">
        <f t="shared" si="31"/>
        <v>0.3387583961766602</v>
      </c>
      <c r="N85" s="335">
        <f t="shared" si="31"/>
        <v>0.30832656428202437</v>
      </c>
      <c r="O85" s="335">
        <f t="shared" si="31"/>
        <v>0.28062852851736092</v>
      </c>
      <c r="P85" s="335">
        <f t="shared" si="31"/>
        <v>0.25541870257336935</v>
      </c>
      <c r="Q85" s="335">
        <f t="shared" si="31"/>
        <v>0.23247356200361272</v>
      </c>
      <c r="R85" s="335">
        <f t="shared" si="31"/>
        <v>0.21158966233149432</v>
      </c>
      <c r="S85" s="335">
        <f t="shared" si="31"/>
        <v>0.19258183519750091</v>
      </c>
      <c r="T85" s="335">
        <f t="shared" si="31"/>
        <v>0.17528154655274497</v>
      </c>
      <c r="U85" s="335">
        <f t="shared" si="31"/>
        <v>0.15953540234162647</v>
      </c>
      <c r="V85" s="335">
        <f t="shared" si="31"/>
        <v>0.14520378842416171</v>
      </c>
      <c r="W85" s="335">
        <f t="shared" si="31"/>
        <v>0.13215963267876735</v>
      </c>
      <c r="X85" s="335">
        <f t="shared" si="31"/>
        <v>0.12028727830960895</v>
      </c>
      <c r="Y85" s="335">
        <f t="shared" si="31"/>
        <v>0.10948145836862559</v>
      </c>
      <c r="Z85" s="335">
        <f t="shared" si="31"/>
        <v>9.9646362399768443E-2</v>
      </c>
      <c r="AA85" s="335">
        <f t="shared" si="31"/>
        <v>9.0694786929797461E-2</v>
      </c>
      <c r="AB85" s="335">
        <f t="shared" si="31"/>
        <v>8.2547362273411681E-2</v>
      </c>
      <c r="AC85" s="335">
        <f t="shared" si="31"/>
        <v>7.5131848797134526E-2</v>
      </c>
      <c r="AD85" s="335">
        <f t="shared" si="31"/>
        <v>6.8382496402234039E-2</v>
      </c>
      <c r="AE85" s="335">
        <f t="shared" si="31"/>
        <v>6.2239461547496142E-2</v>
      </c>
      <c r="AF85" s="335">
        <f t="shared" si="31"/>
        <v>5.6648276642847148E-2</v>
      </c>
      <c r="AG85" s="335">
        <f t="shared" si="31"/>
        <v>5.1559367109171889E-2</v>
      </c>
      <c r="AH85" s="335">
        <f t="shared" si="31"/>
        <v>4.6927611822309881E-2</v>
      </c>
      <c r="AI85" s="335">
        <f t="shared" si="31"/>
        <v>4.2711943043879028E-2</v>
      </c>
      <c r="AJ85" s="335">
        <f t="shared" si="31"/>
        <v>3.88749822916893E-2</v>
      </c>
      <c r="AK85" s="335">
        <f t="shared" si="31"/>
        <v>3.5382708921169827E-2</v>
      </c>
      <c r="AL85" s="335">
        <f t="shared" si="31"/>
        <v>3.2204158479266255E-2</v>
      </c>
      <c r="AM85" s="335">
        <f t="shared" si="31"/>
        <v>2.9311148156244884E-2</v>
      </c>
      <c r="AN85" s="335">
        <f t="shared" si="31"/>
        <v>2.6678026901105743E-2</v>
      </c>
      <c r="AO85" s="335">
        <f t="shared" si="31"/>
        <v>2.4281447984987482E-2</v>
      </c>
      <c r="AP85" s="335">
        <f t="shared" si="31"/>
        <v>2.2100161995983875E-2</v>
      </c>
    </row>
    <row r="86" spans="1:44" ht="28.5" x14ac:dyDescent="0.2">
      <c r="A86" s="249" t="s">
        <v>552</v>
      </c>
      <c r="B86" s="250">
        <f ca="1">B83*B85</f>
        <v>-2550611.2911527478</v>
      </c>
      <c r="C86" s="250">
        <f ca="1">C83*C85</f>
        <v>-53185.687757784937</v>
      </c>
      <c r="D86" s="250">
        <f t="shared" ref="D86:AO86" ca="1" si="32">D83*D85</f>
        <v>171121.54846094761</v>
      </c>
      <c r="E86" s="250">
        <f t="shared" ca="1" si="32"/>
        <v>327894.58385997434</v>
      </c>
      <c r="F86" s="250">
        <f t="shared" ca="1" si="32"/>
        <v>395439.54408347607</v>
      </c>
      <c r="G86" s="250">
        <f t="shared" ca="1" si="32"/>
        <v>518482.2783801789</v>
      </c>
      <c r="H86" s="250">
        <f t="shared" ca="1" si="32"/>
        <v>631485.22139250394</v>
      </c>
      <c r="I86" s="250">
        <f t="shared" ca="1" si="32"/>
        <v>859599.60686467052</v>
      </c>
      <c r="J86" s="250">
        <f t="shared" ca="1" si="32"/>
        <v>822238.86421277793</v>
      </c>
      <c r="K86" s="250">
        <f t="shared" ca="1" si="32"/>
        <v>786273.32525964675</v>
      </c>
      <c r="L86" s="250">
        <f t="shared" ca="1" si="32"/>
        <v>751677.6039157554</v>
      </c>
      <c r="M86" s="250">
        <f t="shared" ca="1" si="32"/>
        <v>718423.2022158968</v>
      </c>
      <c r="N86" s="250">
        <f t="shared" ca="1" si="32"/>
        <v>686479.10552478745</v>
      </c>
      <c r="O86" s="250">
        <f t="shared" ca="1" si="32"/>
        <v>655812.30385813653</v>
      </c>
      <c r="P86" s="250">
        <f t="shared" ca="1" si="32"/>
        <v>626388.24741676543</v>
      </c>
      <c r="Q86" s="250">
        <f t="shared" ca="1" si="32"/>
        <v>598171.24359033629</v>
      </c>
      <c r="R86" s="250">
        <f t="shared" ca="1" si="32"/>
        <v>571124.80193113838</v>
      </c>
      <c r="S86" s="250">
        <f t="shared" ca="1" si="32"/>
        <v>545211.93291877955</v>
      </c>
      <c r="T86" s="250">
        <f t="shared" ca="1" si="32"/>
        <v>520395.40572592343</v>
      </c>
      <c r="U86" s="250">
        <f t="shared" ca="1" si="32"/>
        <v>496637.96964651789</v>
      </c>
      <c r="V86" s="250">
        <f t="shared" ca="1" si="32"/>
        <v>473902.54335515236</v>
      </c>
      <c r="W86" s="250">
        <f t="shared" ca="1" si="32"/>
        <v>452152.37572361698</v>
      </c>
      <c r="X86" s="250">
        <f t="shared" ca="1" si="32"/>
        <v>431351.18152343808</v>
      </c>
      <c r="Y86" s="250">
        <f t="shared" ca="1" si="32"/>
        <v>411463.25498659443</v>
      </c>
      <c r="Z86" s="250">
        <f t="shared" ca="1" si="32"/>
        <v>392453.56387666712</v>
      </c>
      <c r="AA86" s="250">
        <f t="shared" ca="1" si="32"/>
        <v>374287.82643570943</v>
      </c>
      <c r="AB86" s="250">
        <f t="shared" ca="1" si="32"/>
        <v>356932.57331477827</v>
      </c>
      <c r="AC86" s="250">
        <f t="shared" ca="1" si="32"/>
        <v>340355.19636540767</v>
      </c>
      <c r="AD86" s="250">
        <f t="shared" ca="1" si="32"/>
        <v>324523.98596258712</v>
      </c>
      <c r="AE86" s="250">
        <f t="shared" ca="1" si="32"/>
        <v>309408.15834466182</v>
      </c>
      <c r="AF86" s="250">
        <f t="shared" ca="1" si="32"/>
        <v>294977.87428976793</v>
      </c>
      <c r="AG86" s="250">
        <f t="shared" ca="1" si="32"/>
        <v>280975.1494503296</v>
      </c>
      <c r="AH86" s="250">
        <f t="shared" ca="1" si="32"/>
        <v>267642.32346719631</v>
      </c>
      <c r="AI86" s="250">
        <f t="shared" ca="1" si="32"/>
        <v>254946.88638382801</v>
      </c>
      <c r="AJ86" s="250">
        <f t="shared" ca="1" si="32"/>
        <v>242857.94672616702</v>
      </c>
      <c r="AK86" s="250">
        <f t="shared" ca="1" si="32"/>
        <v>231346.14737513469</v>
      </c>
      <c r="AL86" s="250">
        <f t="shared" ca="1" si="32"/>
        <v>220383.58611366825</v>
      </c>
      <c r="AM86" s="250">
        <f t="shared" ca="1" si="32"/>
        <v>209943.74056402082</v>
      </c>
      <c r="AN86" s="250">
        <f t="shared" ca="1" si="32"/>
        <v>200001.3972502102</v>
      </c>
      <c r="AO86" s="250">
        <f t="shared" ca="1" si="32"/>
        <v>190532.58453822933</v>
      </c>
      <c r="AP86" s="250">
        <f ca="1">AP83*AP85</f>
        <v>181514.50922306092</v>
      </c>
    </row>
    <row r="87" spans="1:44" ht="14.25" x14ac:dyDescent="0.2">
      <c r="A87" s="249" t="s">
        <v>553</v>
      </c>
      <c r="B87" s="250">
        <f ca="1">SUM($B$86:B86)</f>
        <v>-2550611.2911527478</v>
      </c>
      <c r="C87" s="250">
        <f ca="1">SUM($B$86:C86)</f>
        <v>-2603796.9789105328</v>
      </c>
      <c r="D87" s="250">
        <f ca="1">SUM($B$86:D86)</f>
        <v>-2432675.430449585</v>
      </c>
      <c r="E87" s="250">
        <f ca="1">SUM($B$86:E86)</f>
        <v>-2104780.8465896104</v>
      </c>
      <c r="F87" s="250">
        <f ca="1">SUM($B$86:F86)</f>
        <v>-1709341.3025061344</v>
      </c>
      <c r="G87" s="250">
        <f ca="1">SUM($B$86:G86)</f>
        <v>-1190859.0241259555</v>
      </c>
      <c r="H87" s="250">
        <f ca="1">SUM($B$86:H86)</f>
        <v>-559373.80273345159</v>
      </c>
      <c r="I87" s="250">
        <f ca="1">SUM($B$86:I86)</f>
        <v>300225.80413121893</v>
      </c>
      <c r="J87" s="250">
        <f ca="1">SUM($B$86:J86)</f>
        <v>1122464.6683439969</v>
      </c>
      <c r="K87" s="250">
        <f ca="1">SUM($B$86:K86)</f>
        <v>1908737.9936036435</v>
      </c>
      <c r="L87" s="250">
        <f ca="1">SUM($B$86:L86)</f>
        <v>2660415.5975193987</v>
      </c>
      <c r="M87" s="250">
        <f ca="1">SUM($B$86:M86)</f>
        <v>3378838.7997352956</v>
      </c>
      <c r="N87" s="250">
        <f ca="1">SUM($B$86:N86)</f>
        <v>4065317.9052600833</v>
      </c>
      <c r="O87" s="250">
        <f ca="1">SUM($B$86:O86)</f>
        <v>4721130.20911822</v>
      </c>
      <c r="P87" s="250">
        <f ca="1">SUM($B$86:P86)</f>
        <v>5347518.4565349855</v>
      </c>
      <c r="Q87" s="250">
        <f ca="1">SUM($B$86:Q86)</f>
        <v>5945689.7001253217</v>
      </c>
      <c r="R87" s="250">
        <f ca="1">SUM($B$86:R86)</f>
        <v>6516814.5020564599</v>
      </c>
      <c r="S87" s="250">
        <f ca="1">SUM($B$86:S86)</f>
        <v>7062026.4349752394</v>
      </c>
      <c r="T87" s="250">
        <f ca="1">SUM($B$86:T86)</f>
        <v>7582421.8407011628</v>
      </c>
      <c r="U87" s="250">
        <f ca="1">SUM($B$86:U86)</f>
        <v>8079059.8103476809</v>
      </c>
      <c r="V87" s="250">
        <f ca="1">SUM($B$86:V86)</f>
        <v>8552962.3537028339</v>
      </c>
      <c r="W87" s="250">
        <f ca="1">SUM($B$86:W86)</f>
        <v>9005114.729426451</v>
      </c>
      <c r="X87" s="250">
        <f ca="1">SUM($B$86:X86)</f>
        <v>9436465.9109498896</v>
      </c>
      <c r="Y87" s="250">
        <f ca="1">SUM($B$86:Y86)</f>
        <v>9847929.1659364849</v>
      </c>
      <c r="Z87" s="250">
        <f ca="1">SUM($B$86:Z86)</f>
        <v>10240382.729813153</v>
      </c>
      <c r="AA87" s="250">
        <f ca="1">SUM($B$86:AA86)</f>
        <v>10614670.556248862</v>
      </c>
      <c r="AB87" s="250">
        <f ca="1">SUM($B$86:AB86)</f>
        <v>10971603.129563641</v>
      </c>
      <c r="AC87" s="250">
        <f ca="1">SUM($B$86:AC86)</f>
        <v>11311958.325929049</v>
      </c>
      <c r="AD87" s="250">
        <f ca="1">SUM($B$86:AD86)</f>
        <v>11636482.311891636</v>
      </c>
      <c r="AE87" s="250">
        <f ca="1">SUM($B$86:AE86)</f>
        <v>11945890.470236298</v>
      </c>
      <c r="AF87" s="250">
        <f ca="1">SUM($B$86:AF86)</f>
        <v>12240868.344526066</v>
      </c>
      <c r="AG87" s="250">
        <f ca="1">SUM($B$86:AG86)</f>
        <v>12521843.493976396</v>
      </c>
      <c r="AH87" s="250">
        <f ca="1">SUM($B$86:AH86)</f>
        <v>12789485.817443592</v>
      </c>
      <c r="AI87" s="250">
        <f ca="1">SUM($B$86:AI86)</f>
        <v>13044432.70382742</v>
      </c>
      <c r="AJ87" s="250">
        <f ca="1">SUM($B$86:AJ86)</f>
        <v>13287290.650553588</v>
      </c>
      <c r="AK87" s="250">
        <f ca="1">SUM($B$86:AK86)</f>
        <v>13518636.797928723</v>
      </c>
      <c r="AL87" s="250">
        <f ca="1">SUM($B$86:AL86)</f>
        <v>13739020.384042392</v>
      </c>
      <c r="AM87" s="250">
        <f ca="1">SUM($B$86:AM86)</f>
        <v>13948964.124606412</v>
      </c>
      <c r="AN87" s="250">
        <f ca="1">SUM($B$86:AN86)</f>
        <v>14148965.521856623</v>
      </c>
      <c r="AO87" s="250">
        <f ca="1">SUM($B$86:AO86)</f>
        <v>14339498.106394852</v>
      </c>
      <c r="AP87" s="250">
        <f ca="1">SUM($B$86:AP86)</f>
        <v>14521012.615617912</v>
      </c>
    </row>
    <row r="88" spans="1:44" ht="14.25" x14ac:dyDescent="0.2">
      <c r="A88" s="249" t="s">
        <v>554</v>
      </c>
      <c r="B88" s="259">
        <f ca="1">IF((ISERR(IRR($B$83:B83))),0,IF(IRR($B$83:B83)&lt;0,0,IRR($B$83:B83)))</f>
        <v>0</v>
      </c>
      <c r="C88" s="259">
        <f ca="1">IF((ISERR(IRR($B$83:C83))),0,IF(IRR($B$83:C83)&lt;0,0,IRR($B$83:C83)))</f>
        <v>0</v>
      </c>
      <c r="D88" s="259">
        <f ca="1">IF((ISERR(IRR($B$83:D83))),0,IF(IRR($B$83:D83)&lt;0,0,IRR($B$83:D83)))</f>
        <v>0</v>
      </c>
      <c r="E88" s="259">
        <f ca="1">IF((ISERR(IRR($B$83:E83))),0,IF(IRR($B$83:E83)&lt;0,0,IRR($B$83:E83)))</f>
        <v>0</v>
      </c>
      <c r="F88" s="259">
        <f ca="1">IF((ISERR(IRR($B$83:F83))),0,IF(IRR($B$83:F83)&lt;0,0,IRR($B$83:F83)))</f>
        <v>0</v>
      </c>
      <c r="G88" s="259">
        <f ca="1">IF((ISERR(IRR($B$83:G83))),0,IF(IRR($B$83:G83)&lt;0,0,IRR($B$83:G83)))</f>
        <v>0</v>
      </c>
      <c r="H88" s="259">
        <f ca="1">IF((ISERR(IRR($B$83:H83))),0,IF(IRR($B$83:H83)&lt;0,0,IRR($B$83:H83)))</f>
        <v>4.2027951259245633E-2</v>
      </c>
      <c r="I88" s="259">
        <f ca="1">IF((ISERR(IRR($B$83:I83))),0,IF(IRR($B$83:I83)&lt;0,0,IRR($B$83:I83)))</f>
        <v>0.12188908538362675</v>
      </c>
      <c r="J88" s="259">
        <f ca="1">IF((ISERR(IRR($B$83:J83))),0,IF(IRR($B$83:J83)&lt;0,0,IRR($B$83:J83)))</f>
        <v>0.16934481883697727</v>
      </c>
      <c r="K88" s="259">
        <f ca="1">IF((ISERR(IRR($B$83:K83))),0,IF(IRR($B$83:K83)&lt;0,0,IRR($B$83:K83)))</f>
        <v>0.20034500211131734</v>
      </c>
      <c r="L88" s="259">
        <f ca="1">IF((ISERR(IRR($B$83:L83))),0,IF(IRR($B$83:L83)&lt;0,0,IRR($B$83:L83)))</f>
        <v>0.22167557005604932</v>
      </c>
      <c r="M88" s="259">
        <f ca="1">IF((ISERR(IRR($B$83:M83))),0,IF(IRR($B$83:M83)&lt;0,0,IRR($B$83:M83)))</f>
        <v>0.23686577851235668</v>
      </c>
      <c r="N88" s="259">
        <f ca="1">IF((ISERR(IRR($B$83:N83))),0,IF(IRR($B$83:N83)&lt;0,0,IRR($B$83:N83)))</f>
        <v>0.24795618116477769</v>
      </c>
      <c r="O88" s="259">
        <f ca="1">IF((ISERR(IRR($B$83:O83))),0,IF(IRR($B$83:O83)&lt;0,0,IRR($B$83:O83)))</f>
        <v>0.25620901026237641</v>
      </c>
      <c r="P88" s="259">
        <f ca="1">IF((ISERR(IRR($B$83:P83))),0,IF(IRR($B$83:P83)&lt;0,0,IRR($B$83:P83)))</f>
        <v>0.26244338308058901</v>
      </c>
      <c r="Q88" s="259">
        <f ca="1">IF((ISERR(IRR($B$83:Q83))),0,IF(IRR($B$83:Q83)&lt;0,0,IRR($B$83:Q83)))</f>
        <v>0.26721053918468596</v>
      </c>
      <c r="R88" s="259">
        <f ca="1">IF((ISERR(IRR($B$83:R83))),0,IF(IRR($B$83:R83)&lt;0,0,IRR($B$83:R83)))</f>
        <v>0.27089227926850912</v>
      </c>
      <c r="S88" s="259">
        <f ca="1">IF((ISERR(IRR($B$83:S83))),0,IF(IRR($B$83:S83)&lt;0,0,IRR($B$83:S83)))</f>
        <v>0.27375932703714323</v>
      </c>
      <c r="T88" s="259">
        <f ca="1">IF((ISERR(IRR($B$83:T83))),0,IF(IRR($B$83:T83)&lt;0,0,IRR($B$83:T83)))</f>
        <v>0.2760074302189941</v>
      </c>
      <c r="U88" s="259">
        <f ca="1">IF((ISERR(IRR($B$83:U83))),0,IF(IRR($B$83:U83)&lt;0,0,IRR($B$83:U83)))</f>
        <v>0.27778047701910236</v>
      </c>
      <c r="V88" s="259">
        <f ca="1">IF((ISERR(IRR($B$83:V83))),0,IF(IRR($B$83:V83)&lt;0,0,IRR($B$83:V83)))</f>
        <v>0.27918573224140597</v>
      </c>
      <c r="W88" s="259">
        <f ca="1">IF((ISERR(IRR($B$83:W83))),0,IF(IRR($B$83:W83)&lt;0,0,IRR($B$83:W83)))</f>
        <v>0.28030413002459431</v>
      </c>
      <c r="X88" s="259">
        <f ca="1">IF((ISERR(IRR($B$83:X83))),0,IF(IRR($B$83:X83)&lt;0,0,IRR($B$83:X83)))</f>
        <v>0.2811973770272167</v>
      </c>
      <c r="Y88" s="259">
        <f ca="1">IF((ISERR(IRR($B$83:Y83))),0,IF(IRR($B$83:Y83)&lt;0,0,IRR($B$83:Y83)))</f>
        <v>0.28191294691669855</v>
      </c>
      <c r="Z88" s="259">
        <f ca="1">IF((ISERR(IRR($B$83:Z83))),0,IF(IRR($B$83:Z83)&lt;0,0,IRR($B$83:Z83)))</f>
        <v>0.28248765063692427</v>
      </c>
      <c r="AA88" s="259">
        <f ca="1">IF((ISERR(IRR($B$83:AA83))),0,IF(IRR($B$83:AA83)&lt;0,0,IRR($B$83:AA83)))</f>
        <v>0.28295022635453848</v>
      </c>
      <c r="AB88" s="259">
        <f ca="1">IF((ISERR(IRR($B$83:AB83))),0,IF(IRR($B$83:AB83)&lt;0,0,IRR($B$83:AB83)))</f>
        <v>0.28332324309693169</v>
      </c>
      <c r="AC88" s="259">
        <f ca="1">IF((ISERR(IRR($B$83:AC83))),0,IF(IRR($B$83:AC83)&lt;0,0,IRR($B$83:AC83)))</f>
        <v>0.28362451652349208</v>
      </c>
      <c r="AD88" s="259">
        <f ca="1">IF((ISERR(IRR($B$83:AD83))),0,IF(IRR($B$83:AD83)&lt;0,0,IRR($B$83:AD83)))</f>
        <v>0.28386817306249901</v>
      </c>
      <c r="AE88" s="259">
        <f ca="1">IF((ISERR(IRR($B$83:AE83))),0,IF(IRR($B$83:AE83)&lt;0,0,IRR($B$83:AE83)))</f>
        <v>0.28406545739407374</v>
      </c>
      <c r="AF88" s="259">
        <f ca="1">IF((ISERR(IRR($B$83:AF83))),0,IF(IRR($B$83:AF83)&lt;0,0,IRR($B$83:AF83)))</f>
        <v>0.28422535044045771</v>
      </c>
      <c r="AG88" s="259">
        <f ca="1">IF((ISERR(IRR($B$83:AG83))),0,IF(IRR($B$83:AG83)&lt;0,0,IRR($B$83:AG83)))</f>
        <v>0.28435494057315469</v>
      </c>
      <c r="AH88" s="259">
        <f ca="1">IF((ISERR(IRR($B$83:AH83))),0,IF(IRR($B$83:AH83)&lt;0,0,IRR($B$83:AH83)))</f>
        <v>0.2844600523168912</v>
      </c>
      <c r="AI88" s="259">
        <f ca="1">IF((ISERR(IRR($B$83:AI83))),0,IF(IRR($B$83:AI83)&lt;0,0,IRR($B$83:AI83)))</f>
        <v>0.28454536586992085</v>
      </c>
      <c r="AJ88" s="259">
        <f ca="1">IF((ISERR(IRR($B$83:AJ83))),0,IF(IRR($B$83:AJ83)&lt;0,0,IRR($B$83:AJ83)))</f>
        <v>0.28461464939602221</v>
      </c>
      <c r="AK88" s="259">
        <f ca="1">IF((ISERR(IRR($B$83:AK83))),0,IF(IRR($B$83:AK83)&lt;0,0,IRR($B$83:AK83)))</f>
        <v>0.28467094194531617</v>
      </c>
      <c r="AL88" s="259">
        <f ca="1">IF((ISERR(IRR($B$83:AL83))),0,IF(IRR($B$83:AL83)&lt;0,0,IRR($B$83:AL83)))</f>
        <v>0.2847166981414837</v>
      </c>
      <c r="AM88" s="259">
        <f ca="1">IF((ISERR(IRR($B$83:AM83))),0,IF(IRR($B$83:AM83)&lt;0,0,IRR($B$83:AM83)))</f>
        <v>0.28475390307819981</v>
      </c>
      <c r="AN88" s="259">
        <f ca="1">IF((ISERR(IRR($B$83:AN83))),0,IF(IRR($B$83:AN83)&lt;0,0,IRR($B$83:AN83)))</f>
        <v>0.28478416387511118</v>
      </c>
      <c r="AO88" s="259">
        <f ca="1">IF((ISERR(IRR($B$83:AO83))),0,IF(IRR($B$83:AO83)&lt;0,0,IRR($B$83:AO83)))</f>
        <v>0.2848087828565351</v>
      </c>
      <c r="AP88" s="259">
        <f ca="1">IF((ISERR(IRR($B$83:AP83))),0,IF(IRR($B$83:AP83)&lt;0,0,IRR($B$83:AP83)))</f>
        <v>0.28482881619692213</v>
      </c>
    </row>
    <row r="89" spans="1:44" ht="14.25" x14ac:dyDescent="0.2">
      <c r="A89" s="249" t="s">
        <v>555</v>
      </c>
      <c r="B89" s="260">
        <f ca="1">IF(AND(B84&gt;0,A84&lt;0),(B74-(B84/(B84-A84))),0)</f>
        <v>0</v>
      </c>
      <c r="C89" s="260">
        <f t="shared" ref="C89:AP89" ca="1" si="33">IF(AND(C84&gt;0,B84&lt;0),(C74-(C84/(C84-B84))),0)</f>
        <v>0</v>
      </c>
      <c r="D89" s="260">
        <f ca="1">IF(AND(D84&gt;0,C84&lt;0),(D74-(D84/(D84-C84))),0)</f>
        <v>0</v>
      </c>
      <c r="E89" s="260">
        <f t="shared" ca="1" si="33"/>
        <v>0</v>
      </c>
      <c r="F89" s="260">
        <f t="shared" ca="1" si="33"/>
        <v>0</v>
      </c>
      <c r="G89" s="260">
        <f t="shared" ca="1" si="33"/>
        <v>0</v>
      </c>
      <c r="H89" s="260">
        <f ca="1">IF(AND(H84&gt;0,G84&lt;0),(H74-(H84/(H84-G84))),0)</f>
        <v>6.5052793463416396</v>
      </c>
      <c r="I89" s="260">
        <f t="shared" ca="1" si="33"/>
        <v>0</v>
      </c>
      <c r="J89" s="260">
        <f t="shared" ca="1" si="33"/>
        <v>0</v>
      </c>
      <c r="K89" s="260">
        <f t="shared" ca="1" si="33"/>
        <v>0</v>
      </c>
      <c r="L89" s="260">
        <f t="shared" ca="1" si="33"/>
        <v>0</v>
      </c>
      <c r="M89" s="260">
        <f t="shared" ca="1" si="33"/>
        <v>0</v>
      </c>
      <c r="N89" s="260">
        <f t="shared" ca="1" si="33"/>
        <v>0</v>
      </c>
      <c r="O89" s="260">
        <f t="shared" ca="1" si="33"/>
        <v>0</v>
      </c>
      <c r="P89" s="260">
        <f t="shared" ca="1" si="33"/>
        <v>0</v>
      </c>
      <c r="Q89" s="260">
        <f t="shared" ca="1" si="33"/>
        <v>0</v>
      </c>
      <c r="R89" s="260">
        <f t="shared" ca="1" si="33"/>
        <v>0</v>
      </c>
      <c r="S89" s="260">
        <f t="shared" ca="1" si="33"/>
        <v>0</v>
      </c>
      <c r="T89" s="260">
        <f t="shared" ca="1" si="33"/>
        <v>0</v>
      </c>
      <c r="U89" s="260">
        <f t="shared" ca="1" si="33"/>
        <v>0</v>
      </c>
      <c r="V89" s="260">
        <f t="shared" ca="1" si="33"/>
        <v>0</v>
      </c>
      <c r="W89" s="260">
        <f t="shared" ca="1" si="33"/>
        <v>0</v>
      </c>
      <c r="X89" s="260">
        <f t="shared" ca="1" si="33"/>
        <v>0</v>
      </c>
      <c r="Y89" s="260">
        <f t="shared" ca="1" si="33"/>
        <v>0</v>
      </c>
      <c r="Z89" s="260">
        <f t="shared" ca="1" si="33"/>
        <v>0</v>
      </c>
      <c r="AA89" s="260">
        <f t="shared" ca="1" si="33"/>
        <v>0</v>
      </c>
      <c r="AB89" s="260">
        <f t="shared" ca="1" si="33"/>
        <v>0</v>
      </c>
      <c r="AC89" s="260">
        <f t="shared" ca="1" si="33"/>
        <v>0</v>
      </c>
      <c r="AD89" s="260">
        <f t="shared" ca="1" si="33"/>
        <v>0</v>
      </c>
      <c r="AE89" s="260">
        <f t="shared" ca="1" si="33"/>
        <v>0</v>
      </c>
      <c r="AF89" s="260">
        <f t="shared" ca="1" si="33"/>
        <v>0</v>
      </c>
      <c r="AG89" s="260">
        <f t="shared" ca="1" si="33"/>
        <v>0</v>
      </c>
      <c r="AH89" s="260">
        <f t="shared" ca="1" si="33"/>
        <v>0</v>
      </c>
      <c r="AI89" s="260">
        <f t="shared" ca="1" si="33"/>
        <v>0</v>
      </c>
      <c r="AJ89" s="260">
        <f t="shared" ca="1" si="33"/>
        <v>0</v>
      </c>
      <c r="AK89" s="260">
        <f t="shared" ca="1" si="33"/>
        <v>0</v>
      </c>
      <c r="AL89" s="260">
        <f t="shared" ca="1" si="33"/>
        <v>0</v>
      </c>
      <c r="AM89" s="260">
        <f t="shared" ca="1" si="33"/>
        <v>0</v>
      </c>
      <c r="AN89" s="260">
        <f t="shared" ca="1" si="33"/>
        <v>0</v>
      </c>
      <c r="AO89" s="260">
        <f t="shared" ca="1" si="33"/>
        <v>0</v>
      </c>
      <c r="AP89" s="260">
        <f t="shared" ca="1" si="33"/>
        <v>0</v>
      </c>
    </row>
    <row r="90" spans="1:44" ht="15" thickBot="1" x14ac:dyDescent="0.25">
      <c r="A90" s="261" t="s">
        <v>556</v>
      </c>
      <c r="B90" s="262">
        <f t="shared" ref="B90:AP90" ca="1" si="34">IF(AND(B87&gt;0,A87&lt;0),(B74-(B87/(B87-A87))),0)</f>
        <v>0</v>
      </c>
      <c r="C90" s="262">
        <f t="shared" ca="1" si="34"/>
        <v>0</v>
      </c>
      <c r="D90" s="262">
        <f t="shared" ca="1" si="34"/>
        <v>0</v>
      </c>
      <c r="E90" s="262">
        <f t="shared" ca="1" si="34"/>
        <v>0</v>
      </c>
      <c r="F90" s="262">
        <f t="shared" ca="1" si="34"/>
        <v>0</v>
      </c>
      <c r="G90" s="262">
        <f t="shared" ca="1" si="34"/>
        <v>0</v>
      </c>
      <c r="H90" s="262">
        <f t="shared" ca="1" si="34"/>
        <v>0</v>
      </c>
      <c r="I90" s="262">
        <f t="shared" ca="1" si="34"/>
        <v>7.6507376204762689</v>
      </c>
      <c r="J90" s="262">
        <f t="shared" ca="1" si="34"/>
        <v>0</v>
      </c>
      <c r="K90" s="262">
        <f t="shared" ca="1" si="34"/>
        <v>0</v>
      </c>
      <c r="L90" s="262">
        <f t="shared" ca="1" si="34"/>
        <v>0</v>
      </c>
      <c r="M90" s="262">
        <f t="shared" ca="1" si="34"/>
        <v>0</v>
      </c>
      <c r="N90" s="262">
        <f t="shared" ca="1" si="34"/>
        <v>0</v>
      </c>
      <c r="O90" s="262">
        <f t="shared" ca="1" si="34"/>
        <v>0</v>
      </c>
      <c r="P90" s="262">
        <f t="shared" ca="1" si="34"/>
        <v>0</v>
      </c>
      <c r="Q90" s="262">
        <f t="shared" ca="1" si="34"/>
        <v>0</v>
      </c>
      <c r="R90" s="262">
        <f t="shared" ca="1" si="34"/>
        <v>0</v>
      </c>
      <c r="S90" s="262">
        <f t="shared" ca="1" si="34"/>
        <v>0</v>
      </c>
      <c r="T90" s="262">
        <f t="shared" ca="1" si="34"/>
        <v>0</v>
      </c>
      <c r="U90" s="262">
        <f t="shared" ca="1" si="34"/>
        <v>0</v>
      </c>
      <c r="V90" s="262">
        <f t="shared" ca="1" si="34"/>
        <v>0</v>
      </c>
      <c r="W90" s="262">
        <f t="shared" ca="1" si="34"/>
        <v>0</v>
      </c>
      <c r="X90" s="262">
        <f t="shared" ca="1" si="34"/>
        <v>0</v>
      </c>
      <c r="Y90" s="262">
        <f t="shared" ca="1" si="34"/>
        <v>0</v>
      </c>
      <c r="Z90" s="262">
        <f t="shared" ca="1" si="34"/>
        <v>0</v>
      </c>
      <c r="AA90" s="262">
        <f t="shared" ca="1" si="34"/>
        <v>0</v>
      </c>
      <c r="AB90" s="262">
        <f t="shared" ca="1" si="34"/>
        <v>0</v>
      </c>
      <c r="AC90" s="262">
        <f t="shared" ca="1" si="34"/>
        <v>0</v>
      </c>
      <c r="AD90" s="262">
        <f t="shared" ca="1" si="34"/>
        <v>0</v>
      </c>
      <c r="AE90" s="262">
        <f t="shared" ca="1" si="34"/>
        <v>0</v>
      </c>
      <c r="AF90" s="262">
        <f t="shared" ca="1" si="34"/>
        <v>0</v>
      </c>
      <c r="AG90" s="262">
        <f t="shared" ca="1" si="34"/>
        <v>0</v>
      </c>
      <c r="AH90" s="262">
        <f t="shared" ca="1" si="34"/>
        <v>0</v>
      </c>
      <c r="AI90" s="262">
        <f t="shared" ca="1" si="34"/>
        <v>0</v>
      </c>
      <c r="AJ90" s="262">
        <f t="shared" ca="1" si="34"/>
        <v>0</v>
      </c>
      <c r="AK90" s="262">
        <f t="shared" ca="1" si="34"/>
        <v>0</v>
      </c>
      <c r="AL90" s="262">
        <f t="shared" ca="1" si="34"/>
        <v>0</v>
      </c>
      <c r="AM90" s="262">
        <f t="shared" ca="1" si="34"/>
        <v>0</v>
      </c>
      <c r="AN90" s="262">
        <f t="shared" ca="1" si="34"/>
        <v>0</v>
      </c>
      <c r="AO90" s="262">
        <f t="shared" ca="1" si="34"/>
        <v>0</v>
      </c>
      <c r="AP90" s="262">
        <f t="shared" ca="1" si="34"/>
        <v>0</v>
      </c>
    </row>
    <row r="91" spans="1:44" x14ac:dyDescent="0.2">
      <c r="B91" s="263">
        <v>2021</v>
      </c>
      <c r="C91" s="263">
        <f>B91+1</f>
        <v>2022</v>
      </c>
      <c r="D91" s="189">
        <f t="shared" ref="D91:AP92" si="35">C91+1</f>
        <v>2023</v>
      </c>
      <c r="E91" s="189">
        <f t="shared" si="35"/>
        <v>2024</v>
      </c>
      <c r="F91" s="189">
        <f t="shared" si="35"/>
        <v>2025</v>
      </c>
      <c r="G91" s="189">
        <f t="shared" si="35"/>
        <v>2026</v>
      </c>
      <c r="H91" s="189">
        <f t="shared" si="35"/>
        <v>2027</v>
      </c>
      <c r="I91" s="189">
        <f t="shared" si="35"/>
        <v>2028</v>
      </c>
      <c r="J91" s="189">
        <f t="shared" si="35"/>
        <v>2029</v>
      </c>
      <c r="K91" s="189">
        <f t="shared" si="35"/>
        <v>2030</v>
      </c>
      <c r="L91" s="189">
        <f t="shared" si="35"/>
        <v>2031</v>
      </c>
      <c r="M91" s="189">
        <f t="shared" si="35"/>
        <v>2032</v>
      </c>
      <c r="N91" s="189">
        <f t="shared" si="35"/>
        <v>2033</v>
      </c>
      <c r="O91" s="189">
        <f t="shared" si="35"/>
        <v>2034</v>
      </c>
      <c r="P91" s="189">
        <f t="shared" si="35"/>
        <v>2035</v>
      </c>
      <c r="Q91" s="189">
        <f t="shared" si="35"/>
        <v>2036</v>
      </c>
      <c r="R91" s="189">
        <f t="shared" si="35"/>
        <v>2037</v>
      </c>
      <c r="S91" s="189">
        <f t="shared" si="35"/>
        <v>2038</v>
      </c>
      <c r="T91" s="189">
        <f t="shared" si="35"/>
        <v>2039</v>
      </c>
      <c r="U91" s="189">
        <f t="shared" si="35"/>
        <v>2040</v>
      </c>
      <c r="V91" s="189">
        <f t="shared" si="35"/>
        <v>2041</v>
      </c>
      <c r="W91" s="189">
        <f t="shared" si="35"/>
        <v>2042</v>
      </c>
      <c r="X91" s="189">
        <f t="shared" si="35"/>
        <v>2043</v>
      </c>
      <c r="Y91" s="189">
        <f t="shared" si="35"/>
        <v>2044</v>
      </c>
      <c r="Z91" s="189">
        <f t="shared" si="35"/>
        <v>2045</v>
      </c>
      <c r="AA91" s="189">
        <f t="shared" si="35"/>
        <v>2046</v>
      </c>
      <c r="AB91" s="189">
        <f t="shared" si="35"/>
        <v>2047</v>
      </c>
      <c r="AC91" s="189">
        <f t="shared" si="35"/>
        <v>2048</v>
      </c>
      <c r="AD91" s="189">
        <f t="shared" si="35"/>
        <v>2049</v>
      </c>
      <c r="AE91" s="189">
        <f t="shared" si="35"/>
        <v>2050</v>
      </c>
      <c r="AF91" s="189">
        <f t="shared" si="35"/>
        <v>2051</v>
      </c>
      <c r="AG91" s="189">
        <f t="shared" si="35"/>
        <v>2052</v>
      </c>
      <c r="AH91" s="189">
        <f t="shared" si="35"/>
        <v>2053</v>
      </c>
      <c r="AI91" s="189">
        <f t="shared" si="35"/>
        <v>2054</v>
      </c>
      <c r="AJ91" s="189">
        <f t="shared" si="35"/>
        <v>2055</v>
      </c>
      <c r="AK91" s="189">
        <f t="shared" si="35"/>
        <v>2056</v>
      </c>
      <c r="AL91" s="189">
        <f t="shared" si="35"/>
        <v>2057</v>
      </c>
      <c r="AM91" s="189">
        <f t="shared" si="35"/>
        <v>2058</v>
      </c>
      <c r="AN91" s="189">
        <f t="shared" si="35"/>
        <v>2059</v>
      </c>
      <c r="AO91" s="189">
        <f t="shared" si="35"/>
        <v>2060</v>
      </c>
      <c r="AP91" s="189">
        <f t="shared" si="35"/>
        <v>2061</v>
      </c>
    </row>
    <row r="92" spans="1:44" ht="12.75" x14ac:dyDescent="0.2">
      <c r="A92" s="264" t="s">
        <v>557</v>
      </c>
      <c r="B92" s="265">
        <v>1</v>
      </c>
      <c r="C92" s="265">
        <f>B92+1</f>
        <v>2</v>
      </c>
      <c r="D92" s="265">
        <f t="shared" si="35"/>
        <v>3</v>
      </c>
      <c r="E92" s="265">
        <f t="shared" si="35"/>
        <v>4</v>
      </c>
      <c r="F92" s="265">
        <f t="shared" si="35"/>
        <v>5</v>
      </c>
      <c r="G92" s="265">
        <f t="shared" si="35"/>
        <v>6</v>
      </c>
      <c r="H92" s="265">
        <f t="shared" si="35"/>
        <v>7</v>
      </c>
      <c r="I92" s="265">
        <f t="shared" si="35"/>
        <v>8</v>
      </c>
      <c r="J92" s="265">
        <f t="shared" si="35"/>
        <v>9</v>
      </c>
      <c r="K92" s="265">
        <f t="shared" si="35"/>
        <v>10</v>
      </c>
      <c r="L92" s="265">
        <f t="shared" si="35"/>
        <v>11</v>
      </c>
      <c r="M92" s="265"/>
      <c r="N92" s="265"/>
      <c r="O92" s="265"/>
      <c r="P92" s="265"/>
      <c r="Q92" s="265"/>
      <c r="R92" s="265"/>
      <c r="S92" s="265"/>
      <c r="T92" s="265"/>
      <c r="U92" s="265"/>
      <c r="V92" s="265"/>
      <c r="W92" s="265"/>
      <c r="X92" s="265"/>
      <c r="Y92" s="265"/>
      <c r="Z92" s="265"/>
      <c r="AA92" s="265">
        <v>25</v>
      </c>
      <c r="AB92" s="265"/>
      <c r="AC92" s="265"/>
      <c r="AD92" s="265"/>
      <c r="AE92" s="265"/>
      <c r="AF92" s="265">
        <v>30</v>
      </c>
      <c r="AG92" s="265"/>
      <c r="AH92" s="265"/>
      <c r="AI92" s="265"/>
      <c r="AJ92" s="265"/>
      <c r="AK92" s="265"/>
      <c r="AL92" s="265"/>
      <c r="AM92" s="265"/>
      <c r="AN92" s="265"/>
      <c r="AO92" s="265"/>
      <c r="AP92" s="265">
        <v>40</v>
      </c>
    </row>
    <row r="93" spans="1:44" ht="12.75" x14ac:dyDescent="0.2">
      <c r="A93" s="266" t="s">
        <v>558</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6"/>
      <c r="AP93" s="266"/>
    </row>
    <row r="94" spans="1:44" ht="12.75" x14ac:dyDescent="0.2">
      <c r="A94" s="266" t="s">
        <v>559</v>
      </c>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c r="AH94" s="266"/>
      <c r="AI94" s="266"/>
      <c r="AJ94" s="266"/>
      <c r="AK94" s="266"/>
      <c r="AL94" s="266"/>
      <c r="AM94" s="266"/>
      <c r="AN94" s="266"/>
      <c r="AO94" s="266"/>
      <c r="AP94" s="266"/>
    </row>
    <row r="95" spans="1:44" ht="12.75" x14ac:dyDescent="0.2">
      <c r="A95" s="266" t="s">
        <v>560</v>
      </c>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c r="AH95" s="266"/>
      <c r="AI95" s="266"/>
      <c r="AJ95" s="266"/>
      <c r="AK95" s="266"/>
      <c r="AL95" s="266"/>
      <c r="AM95" s="266"/>
      <c r="AN95" s="266"/>
      <c r="AO95" s="266"/>
      <c r="AP95" s="266"/>
    </row>
    <row r="96" spans="1:44" ht="12.75" x14ac:dyDescent="0.2">
      <c r="A96" s="265" t="s">
        <v>561</v>
      </c>
      <c r="B96" s="265"/>
      <c r="C96" s="265"/>
      <c r="D96" s="265"/>
      <c r="E96" s="265"/>
      <c r="F96" s="265"/>
      <c r="G96" s="265"/>
      <c r="H96" s="265"/>
      <c r="I96" s="265"/>
      <c r="J96" s="265"/>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5"/>
      <c r="AH96" s="265"/>
      <c r="AI96" s="265"/>
      <c r="AJ96" s="265"/>
      <c r="AK96" s="265"/>
      <c r="AL96" s="265"/>
      <c r="AM96" s="265"/>
      <c r="AN96" s="265"/>
      <c r="AO96" s="265"/>
      <c r="AP96" s="265"/>
    </row>
    <row r="97" spans="1:71" ht="30.75" customHeight="1" x14ac:dyDescent="0.2">
      <c r="A97" s="409" t="s">
        <v>562</v>
      </c>
      <c r="B97" s="409"/>
      <c r="C97" s="409"/>
      <c r="D97" s="409"/>
      <c r="E97" s="409"/>
      <c r="F97" s="409"/>
      <c r="G97" s="409"/>
      <c r="H97" s="409"/>
      <c r="I97" s="409"/>
      <c r="J97" s="409"/>
      <c r="K97" s="409"/>
      <c r="L97" s="409"/>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hidden="1" thickBot="1" x14ac:dyDescent="0.25">
      <c r="C98" s="267"/>
    </row>
    <row r="99" spans="1:71" s="273" customFormat="1" ht="16.5" hidden="1" thickTop="1" x14ac:dyDescent="0.2">
      <c r="A99" s="268" t="s">
        <v>563</v>
      </c>
      <c r="B99" s="269">
        <f>B81*B85</f>
        <v>-5819570.4199411245</v>
      </c>
      <c r="C99" s="270">
        <f>C81*C85</f>
        <v>0</v>
      </c>
      <c r="D99" s="270">
        <f t="shared" ref="D99:AP99" si="36">D81*D85</f>
        <v>0</v>
      </c>
      <c r="E99" s="270">
        <f t="shared" si="36"/>
        <v>0</v>
      </c>
      <c r="F99" s="270">
        <f t="shared" si="36"/>
        <v>0</v>
      </c>
      <c r="G99" s="270">
        <f t="shared" si="36"/>
        <v>0</v>
      </c>
      <c r="H99" s="270">
        <f t="shared" si="36"/>
        <v>0</v>
      </c>
      <c r="I99" s="270">
        <f t="shared" si="36"/>
        <v>0</v>
      </c>
      <c r="J99" s="270">
        <f>J81*J85</f>
        <v>0</v>
      </c>
      <c r="K99" s="270">
        <f t="shared" si="36"/>
        <v>0</v>
      </c>
      <c r="L99" s="270">
        <f>L81*L85</f>
        <v>0</v>
      </c>
      <c r="M99" s="270">
        <f t="shared" si="36"/>
        <v>0</v>
      </c>
      <c r="N99" s="270">
        <f t="shared" si="36"/>
        <v>0</v>
      </c>
      <c r="O99" s="270">
        <f t="shared" si="36"/>
        <v>0</v>
      </c>
      <c r="P99" s="270">
        <f t="shared" si="36"/>
        <v>0</v>
      </c>
      <c r="Q99" s="270">
        <f t="shared" si="36"/>
        <v>0</v>
      </c>
      <c r="R99" s="270">
        <f t="shared" si="36"/>
        <v>0</v>
      </c>
      <c r="S99" s="270">
        <f t="shared" si="36"/>
        <v>0</v>
      </c>
      <c r="T99" s="270">
        <f t="shared" si="36"/>
        <v>0</v>
      </c>
      <c r="U99" s="270">
        <f t="shared" si="36"/>
        <v>0</v>
      </c>
      <c r="V99" s="270">
        <f t="shared" si="36"/>
        <v>0</v>
      </c>
      <c r="W99" s="270">
        <f t="shared" si="36"/>
        <v>0</v>
      </c>
      <c r="X99" s="270">
        <f t="shared" si="36"/>
        <v>0</v>
      </c>
      <c r="Y99" s="270">
        <f t="shared" si="36"/>
        <v>0</v>
      </c>
      <c r="Z99" s="270">
        <f t="shared" si="36"/>
        <v>0</v>
      </c>
      <c r="AA99" s="270">
        <f t="shared" si="36"/>
        <v>0</v>
      </c>
      <c r="AB99" s="270">
        <f t="shared" si="36"/>
        <v>0</v>
      </c>
      <c r="AC99" s="270">
        <f t="shared" si="36"/>
        <v>0</v>
      </c>
      <c r="AD99" s="270">
        <f t="shared" si="36"/>
        <v>0</v>
      </c>
      <c r="AE99" s="270">
        <f t="shared" si="36"/>
        <v>0</v>
      </c>
      <c r="AF99" s="270">
        <f t="shared" si="36"/>
        <v>0</v>
      </c>
      <c r="AG99" s="270">
        <f t="shared" si="36"/>
        <v>0</v>
      </c>
      <c r="AH99" s="270">
        <f t="shared" si="36"/>
        <v>0</v>
      </c>
      <c r="AI99" s="270">
        <f t="shared" si="36"/>
        <v>0</v>
      </c>
      <c r="AJ99" s="270">
        <f t="shared" si="36"/>
        <v>0</v>
      </c>
      <c r="AK99" s="270">
        <f t="shared" si="36"/>
        <v>0</v>
      </c>
      <c r="AL99" s="270">
        <f t="shared" si="36"/>
        <v>0</v>
      </c>
      <c r="AM99" s="270">
        <f t="shared" si="36"/>
        <v>0</v>
      </c>
      <c r="AN99" s="270">
        <f t="shared" si="36"/>
        <v>0</v>
      </c>
      <c r="AO99" s="270">
        <f t="shared" si="36"/>
        <v>0</v>
      </c>
      <c r="AP99" s="270">
        <f t="shared" si="36"/>
        <v>0</v>
      </c>
      <c r="AQ99" s="271">
        <f>SUM(B99:AP99)</f>
        <v>-5819570.4199411245</v>
      </c>
      <c r="AR99" s="272"/>
      <c r="AS99" s="272"/>
    </row>
    <row r="100" spans="1:71" s="276" customFormat="1" hidden="1" x14ac:dyDescent="0.2">
      <c r="A100" s="274">
        <f>AQ99</f>
        <v>-5819570.4199411245</v>
      </c>
      <c r="B100" s="275"/>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6" customFormat="1" hidden="1" x14ac:dyDescent="0.2">
      <c r="A101" s="274">
        <f ca="1">AP87</f>
        <v>14521012.615617912</v>
      </c>
      <c r="B101" s="275"/>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6" customFormat="1" hidden="1" x14ac:dyDescent="0.2">
      <c r="A102" s="277" t="s">
        <v>564</v>
      </c>
      <c r="B102" s="278">
        <f ca="1">(A101+-A100)/-A100</f>
        <v>2.6746633268026674</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6" customFormat="1" hidden="1" x14ac:dyDescent="0.2">
      <c r="A103" s="279"/>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80" t="s">
        <v>565</v>
      </c>
      <c r="B104" s="280" t="s">
        <v>566</v>
      </c>
      <c r="C104" s="280" t="s">
        <v>567</v>
      </c>
      <c r="D104" s="280" t="s">
        <v>568</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2">
        <f ca="1">G30/1000/1000</f>
        <v>2.6604155975193984</v>
      </c>
      <c r="B105" s="283">
        <f ca="1">L88</f>
        <v>0.22167557005604932</v>
      </c>
      <c r="C105" s="284">
        <f ca="1">G28</f>
        <v>6.5052793463416396</v>
      </c>
      <c r="D105" s="284">
        <f ca="1">G29</f>
        <v>7.6507376204762689</v>
      </c>
      <c r="E105" s="191" t="s">
        <v>569</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5"/>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6"/>
      <c r="B107" s="287">
        <v>2016</v>
      </c>
      <c r="C107" s="287">
        <v>2017</v>
      </c>
      <c r="D107" s="288">
        <f t="shared" ref="D107:AP107" si="37">C107+1</f>
        <v>2018</v>
      </c>
      <c r="E107" s="288">
        <f t="shared" si="37"/>
        <v>2019</v>
      </c>
      <c r="F107" s="288">
        <f t="shared" si="37"/>
        <v>2020</v>
      </c>
      <c r="G107" s="288">
        <f t="shared" si="37"/>
        <v>2021</v>
      </c>
      <c r="H107" s="288">
        <f t="shared" si="37"/>
        <v>2022</v>
      </c>
      <c r="I107" s="288">
        <f t="shared" si="37"/>
        <v>2023</v>
      </c>
      <c r="J107" s="288">
        <f t="shared" si="37"/>
        <v>2024</v>
      </c>
      <c r="K107" s="288">
        <f t="shared" si="37"/>
        <v>2025</v>
      </c>
      <c r="L107" s="288">
        <f t="shared" si="37"/>
        <v>2026</v>
      </c>
      <c r="M107" s="288">
        <f t="shared" si="37"/>
        <v>2027</v>
      </c>
      <c r="N107" s="288">
        <f t="shared" si="37"/>
        <v>2028</v>
      </c>
      <c r="O107" s="288">
        <f t="shared" si="37"/>
        <v>2029</v>
      </c>
      <c r="P107" s="288">
        <f t="shared" si="37"/>
        <v>2030</v>
      </c>
      <c r="Q107" s="288">
        <f t="shared" si="37"/>
        <v>2031</v>
      </c>
      <c r="R107" s="288">
        <f t="shared" si="37"/>
        <v>2032</v>
      </c>
      <c r="S107" s="288">
        <f t="shared" si="37"/>
        <v>2033</v>
      </c>
      <c r="T107" s="288">
        <f t="shared" si="37"/>
        <v>2034</v>
      </c>
      <c r="U107" s="288">
        <f t="shared" si="37"/>
        <v>2035</v>
      </c>
      <c r="V107" s="288">
        <f t="shared" si="37"/>
        <v>2036</v>
      </c>
      <c r="W107" s="288">
        <f t="shared" si="37"/>
        <v>2037</v>
      </c>
      <c r="X107" s="288">
        <f t="shared" si="37"/>
        <v>2038</v>
      </c>
      <c r="Y107" s="288">
        <f t="shared" si="37"/>
        <v>2039</v>
      </c>
      <c r="Z107" s="288">
        <f t="shared" si="37"/>
        <v>2040</v>
      </c>
      <c r="AA107" s="288">
        <f t="shared" si="37"/>
        <v>2041</v>
      </c>
      <c r="AB107" s="288">
        <f t="shared" si="37"/>
        <v>2042</v>
      </c>
      <c r="AC107" s="288">
        <f t="shared" si="37"/>
        <v>2043</v>
      </c>
      <c r="AD107" s="288">
        <f t="shared" si="37"/>
        <v>2044</v>
      </c>
      <c r="AE107" s="288">
        <f t="shared" si="37"/>
        <v>2045</v>
      </c>
      <c r="AF107" s="288">
        <f t="shared" si="37"/>
        <v>2046</v>
      </c>
      <c r="AG107" s="288">
        <f t="shared" si="37"/>
        <v>2047</v>
      </c>
      <c r="AH107" s="288">
        <f t="shared" si="37"/>
        <v>2048</v>
      </c>
      <c r="AI107" s="288">
        <f t="shared" si="37"/>
        <v>2049</v>
      </c>
      <c r="AJ107" s="288">
        <f t="shared" si="37"/>
        <v>2050</v>
      </c>
      <c r="AK107" s="288">
        <f t="shared" si="37"/>
        <v>2051</v>
      </c>
      <c r="AL107" s="288">
        <f t="shared" si="37"/>
        <v>2052</v>
      </c>
      <c r="AM107" s="288">
        <f t="shared" si="37"/>
        <v>2053</v>
      </c>
      <c r="AN107" s="288">
        <f t="shared" si="37"/>
        <v>2054</v>
      </c>
      <c r="AO107" s="288">
        <f t="shared" si="37"/>
        <v>2055</v>
      </c>
      <c r="AP107" s="288">
        <f t="shared" si="37"/>
        <v>2056</v>
      </c>
      <c r="AT107" s="276"/>
      <c r="AU107" s="276"/>
      <c r="AV107" s="276"/>
      <c r="AW107" s="276"/>
      <c r="AX107" s="276"/>
      <c r="AY107" s="276"/>
      <c r="AZ107" s="276"/>
      <c r="BA107" s="276"/>
      <c r="BB107" s="276"/>
      <c r="BC107" s="276"/>
      <c r="BD107" s="276"/>
      <c r="BE107" s="276"/>
      <c r="BF107" s="276"/>
      <c r="BG107" s="276"/>
    </row>
    <row r="108" spans="1:71" ht="12.75" hidden="1" x14ac:dyDescent="0.2">
      <c r="A108" s="289" t="s">
        <v>570</v>
      </c>
      <c r="B108" s="290"/>
      <c r="C108" s="290">
        <f>C109*$B$111*$B$112*1000</f>
        <v>0</v>
      </c>
      <c r="D108" s="290">
        <f>D109*$B$111*$B$112*1000</f>
        <v>0</v>
      </c>
      <c r="E108" s="290">
        <f>E109*$B$111*$B$112*1000</f>
        <v>0</v>
      </c>
      <c r="F108" s="290">
        <f t="shared" ref="F108:AP108" si="38">F109*$B$111*$B$112*1000</f>
        <v>0</v>
      </c>
      <c r="G108" s="290">
        <f>G109*$B$111*$B$112*1000</f>
        <v>0</v>
      </c>
      <c r="H108" s="290">
        <f>H109*$B$111*$B$112*1000</f>
        <v>190997.69333400001</v>
      </c>
      <c r="I108" s="290">
        <f t="shared" si="38"/>
        <v>381995.38666800002</v>
      </c>
      <c r="J108" s="290">
        <f t="shared" si="38"/>
        <v>572993.08000200009</v>
      </c>
      <c r="K108" s="290">
        <f t="shared" si="38"/>
        <v>763990.77333600004</v>
      </c>
      <c r="L108" s="290">
        <f t="shared" si="38"/>
        <v>954988.46667000011</v>
      </c>
      <c r="M108" s="290">
        <f t="shared" si="38"/>
        <v>1336983.8533380001</v>
      </c>
      <c r="N108" s="290">
        <f t="shared" si="38"/>
        <v>1336983.8533380001</v>
      </c>
      <c r="O108" s="290">
        <f t="shared" si="38"/>
        <v>1336983.8533380001</v>
      </c>
      <c r="P108" s="290">
        <f t="shared" si="38"/>
        <v>1336983.8533380001</v>
      </c>
      <c r="Q108" s="290">
        <f t="shared" si="38"/>
        <v>1336983.8533380001</v>
      </c>
      <c r="R108" s="290">
        <f t="shared" si="38"/>
        <v>1336983.8533380001</v>
      </c>
      <c r="S108" s="290">
        <f t="shared" si="38"/>
        <v>1336983.8533380001</v>
      </c>
      <c r="T108" s="290">
        <f t="shared" si="38"/>
        <v>1336983.8533380001</v>
      </c>
      <c r="U108" s="290">
        <f t="shared" si="38"/>
        <v>1336983.8533380001</v>
      </c>
      <c r="V108" s="290">
        <f t="shared" si="38"/>
        <v>1336983.8533380001</v>
      </c>
      <c r="W108" s="290">
        <f t="shared" si="38"/>
        <v>1336983.8533380001</v>
      </c>
      <c r="X108" s="290">
        <f t="shared" si="38"/>
        <v>1336983.8533380001</v>
      </c>
      <c r="Y108" s="290">
        <f t="shared" si="38"/>
        <v>1336983.8533380001</v>
      </c>
      <c r="Z108" s="290">
        <f t="shared" si="38"/>
        <v>1336983.8533380001</v>
      </c>
      <c r="AA108" s="290">
        <f t="shared" si="38"/>
        <v>1336983.8533380001</v>
      </c>
      <c r="AB108" s="290">
        <f t="shared" si="38"/>
        <v>1336983.8533380001</v>
      </c>
      <c r="AC108" s="290">
        <f t="shared" si="38"/>
        <v>1336983.8533380001</v>
      </c>
      <c r="AD108" s="290">
        <f t="shared" si="38"/>
        <v>1336983.8533380001</v>
      </c>
      <c r="AE108" s="290">
        <f t="shared" si="38"/>
        <v>1336983.8533380001</v>
      </c>
      <c r="AF108" s="290">
        <f t="shared" si="38"/>
        <v>1336983.8533380001</v>
      </c>
      <c r="AG108" s="290">
        <f t="shared" si="38"/>
        <v>1336983.8533380001</v>
      </c>
      <c r="AH108" s="290">
        <f t="shared" si="38"/>
        <v>1336983.8533380001</v>
      </c>
      <c r="AI108" s="290">
        <f t="shared" si="38"/>
        <v>1336983.8533380001</v>
      </c>
      <c r="AJ108" s="290">
        <f t="shared" si="38"/>
        <v>1336983.8533380001</v>
      </c>
      <c r="AK108" s="290">
        <f t="shared" si="38"/>
        <v>1336983.8533380001</v>
      </c>
      <c r="AL108" s="290">
        <f t="shared" si="38"/>
        <v>1336983.8533380001</v>
      </c>
      <c r="AM108" s="290">
        <f t="shared" si="38"/>
        <v>1336983.8533380001</v>
      </c>
      <c r="AN108" s="290">
        <f t="shared" si="38"/>
        <v>1336983.8533380001</v>
      </c>
      <c r="AO108" s="290">
        <f t="shared" si="38"/>
        <v>1336983.8533380001</v>
      </c>
      <c r="AP108" s="290">
        <f t="shared" si="38"/>
        <v>1336983.8533380001</v>
      </c>
      <c r="AT108" s="276"/>
      <c r="AU108" s="276"/>
      <c r="AV108" s="276"/>
      <c r="AW108" s="276"/>
      <c r="AX108" s="276"/>
      <c r="AY108" s="276"/>
      <c r="AZ108" s="276"/>
      <c r="BA108" s="276"/>
      <c r="BB108" s="276"/>
      <c r="BC108" s="276"/>
      <c r="BD108" s="276"/>
      <c r="BE108" s="276"/>
      <c r="BF108" s="276"/>
      <c r="BG108" s="276"/>
    </row>
    <row r="109" spans="1:71" ht="12.75" hidden="1" x14ac:dyDescent="0.2">
      <c r="A109" s="289" t="s">
        <v>571</v>
      </c>
      <c r="B109" s="288"/>
      <c r="C109" s="288">
        <f>B109+$I$120*C113</f>
        <v>0</v>
      </c>
      <c r="D109" s="288">
        <f>C109+$I$120*D113</f>
        <v>0</v>
      </c>
      <c r="E109" s="288">
        <f>D109+$I$120*E113</f>
        <v>0</v>
      </c>
      <c r="F109" s="288">
        <f t="shared" ref="F109:AP109" si="39">E109+$I$120*F113</f>
        <v>0</v>
      </c>
      <c r="G109" s="288">
        <f>F109+$I$120*G113</f>
        <v>0</v>
      </c>
      <c r="H109" s="288">
        <f>G109+$I$120*H113</f>
        <v>5.859000000000001E-2</v>
      </c>
      <c r="I109" s="288">
        <f t="shared" si="39"/>
        <v>0.11718000000000002</v>
      </c>
      <c r="J109" s="288">
        <f t="shared" si="39"/>
        <v>0.17577000000000004</v>
      </c>
      <c r="K109" s="288">
        <f t="shared" si="39"/>
        <v>0.23436000000000004</v>
      </c>
      <c r="L109" s="288">
        <f t="shared" si="39"/>
        <v>0.29295000000000004</v>
      </c>
      <c r="M109" s="288">
        <f t="shared" si="39"/>
        <v>0.41013000000000005</v>
      </c>
      <c r="N109" s="288">
        <f t="shared" si="39"/>
        <v>0.41013000000000005</v>
      </c>
      <c r="O109" s="288">
        <f t="shared" si="39"/>
        <v>0.41013000000000005</v>
      </c>
      <c r="P109" s="288">
        <f t="shared" si="39"/>
        <v>0.41013000000000005</v>
      </c>
      <c r="Q109" s="288">
        <f t="shared" si="39"/>
        <v>0.41013000000000005</v>
      </c>
      <c r="R109" s="288">
        <f t="shared" si="39"/>
        <v>0.41013000000000005</v>
      </c>
      <c r="S109" s="288">
        <f t="shared" si="39"/>
        <v>0.41013000000000005</v>
      </c>
      <c r="T109" s="288">
        <f t="shared" si="39"/>
        <v>0.41013000000000005</v>
      </c>
      <c r="U109" s="288">
        <f t="shared" si="39"/>
        <v>0.41013000000000005</v>
      </c>
      <c r="V109" s="288">
        <f t="shared" si="39"/>
        <v>0.41013000000000005</v>
      </c>
      <c r="W109" s="288">
        <f t="shared" si="39"/>
        <v>0.41013000000000005</v>
      </c>
      <c r="X109" s="288">
        <f t="shared" si="39"/>
        <v>0.41013000000000005</v>
      </c>
      <c r="Y109" s="288">
        <f t="shared" si="39"/>
        <v>0.41013000000000005</v>
      </c>
      <c r="Z109" s="288">
        <f t="shared" si="39"/>
        <v>0.41013000000000005</v>
      </c>
      <c r="AA109" s="288">
        <f t="shared" si="39"/>
        <v>0.41013000000000005</v>
      </c>
      <c r="AB109" s="288">
        <f t="shared" si="39"/>
        <v>0.41013000000000005</v>
      </c>
      <c r="AC109" s="288">
        <f t="shared" si="39"/>
        <v>0.41013000000000005</v>
      </c>
      <c r="AD109" s="288">
        <f t="shared" si="39"/>
        <v>0.41013000000000005</v>
      </c>
      <c r="AE109" s="288">
        <f t="shared" si="39"/>
        <v>0.41013000000000005</v>
      </c>
      <c r="AF109" s="288">
        <f t="shared" si="39"/>
        <v>0.41013000000000005</v>
      </c>
      <c r="AG109" s="288">
        <f t="shared" si="39"/>
        <v>0.41013000000000005</v>
      </c>
      <c r="AH109" s="288">
        <f t="shared" si="39"/>
        <v>0.41013000000000005</v>
      </c>
      <c r="AI109" s="288">
        <f t="shared" si="39"/>
        <v>0.41013000000000005</v>
      </c>
      <c r="AJ109" s="288">
        <f t="shared" si="39"/>
        <v>0.41013000000000005</v>
      </c>
      <c r="AK109" s="288">
        <f t="shared" si="39"/>
        <v>0.41013000000000005</v>
      </c>
      <c r="AL109" s="288">
        <f t="shared" si="39"/>
        <v>0.41013000000000005</v>
      </c>
      <c r="AM109" s="288">
        <f t="shared" si="39"/>
        <v>0.41013000000000005</v>
      </c>
      <c r="AN109" s="288">
        <f t="shared" si="39"/>
        <v>0.41013000000000005</v>
      </c>
      <c r="AO109" s="288">
        <f t="shared" si="39"/>
        <v>0.41013000000000005</v>
      </c>
      <c r="AP109" s="288">
        <f t="shared" si="39"/>
        <v>0.41013000000000005</v>
      </c>
      <c r="AT109" s="276"/>
      <c r="AU109" s="276"/>
      <c r="AV109" s="276"/>
      <c r="AW109" s="276"/>
      <c r="AX109" s="276"/>
      <c r="AY109" s="276"/>
      <c r="AZ109" s="276"/>
      <c r="BA109" s="276"/>
      <c r="BB109" s="276"/>
      <c r="BC109" s="276"/>
      <c r="BD109" s="276"/>
      <c r="BE109" s="276"/>
      <c r="BF109" s="276"/>
      <c r="BG109" s="276"/>
    </row>
    <row r="110" spans="1:71" ht="12.75" hidden="1" x14ac:dyDescent="0.2">
      <c r="A110" s="289" t="s">
        <v>572</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6"/>
      <c r="AU110" s="276"/>
      <c r="AV110" s="276"/>
      <c r="AW110" s="276"/>
      <c r="AX110" s="276"/>
      <c r="AY110" s="276"/>
      <c r="AZ110" s="276"/>
      <c r="BA110" s="276"/>
      <c r="BB110" s="276"/>
      <c r="BC110" s="276"/>
      <c r="BD110" s="276"/>
      <c r="BE110" s="276"/>
      <c r="BF110" s="276"/>
      <c r="BG110" s="276"/>
    </row>
    <row r="111" spans="1:71" ht="12.75" hidden="1" x14ac:dyDescent="0.2">
      <c r="A111" s="289" t="s">
        <v>573</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6"/>
      <c r="AU111" s="276"/>
      <c r="AV111" s="276"/>
      <c r="AW111" s="276"/>
      <c r="AX111" s="276"/>
      <c r="AY111" s="276"/>
      <c r="AZ111" s="276"/>
      <c r="BA111" s="276"/>
      <c r="BB111" s="276"/>
      <c r="BC111" s="276"/>
      <c r="BD111" s="276"/>
      <c r="BE111" s="276"/>
      <c r="BF111" s="276"/>
      <c r="BG111" s="276"/>
    </row>
    <row r="112" spans="1:71" ht="12.75" hidden="1" x14ac:dyDescent="0.2">
      <c r="A112" s="289" t="s">
        <v>574</v>
      </c>
      <c r="B112" s="287">
        <f>$B$131</f>
        <v>0.74426999999999999</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6"/>
      <c r="AU112" s="276"/>
      <c r="AV112" s="276"/>
      <c r="AW112" s="276"/>
      <c r="AX112" s="276"/>
      <c r="AY112" s="276"/>
      <c r="AZ112" s="276"/>
      <c r="BA112" s="276"/>
      <c r="BB112" s="276"/>
      <c r="BC112" s="276"/>
      <c r="BD112" s="276"/>
      <c r="BE112" s="276"/>
      <c r="BF112" s="276"/>
      <c r="BG112" s="276"/>
    </row>
    <row r="113" spans="1:71" ht="15" hidden="1" x14ac:dyDescent="0.2">
      <c r="A113" s="292" t="s">
        <v>575</v>
      </c>
      <c r="B113" s="293">
        <v>0</v>
      </c>
      <c r="C113" s="294">
        <v>0</v>
      </c>
      <c r="D113" s="294">
        <v>0</v>
      </c>
      <c r="E113" s="294">
        <v>0</v>
      </c>
      <c r="F113" s="293">
        <v>0</v>
      </c>
      <c r="G113" s="293">
        <v>0</v>
      </c>
      <c r="H113" s="293">
        <v>0.05</v>
      </c>
      <c r="I113" s="293">
        <v>0.05</v>
      </c>
      <c r="J113" s="293">
        <v>0.05</v>
      </c>
      <c r="K113" s="293">
        <v>0.05</v>
      </c>
      <c r="L113" s="293">
        <v>0.05</v>
      </c>
      <c r="M113" s="293">
        <v>0.1</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6"/>
      <c r="AU113" s="276"/>
      <c r="AV113" s="276"/>
      <c r="AW113" s="276"/>
      <c r="AX113" s="276"/>
      <c r="AY113" s="276"/>
      <c r="AZ113" s="276"/>
      <c r="BA113" s="276"/>
      <c r="BB113" s="276"/>
      <c r="BC113" s="276"/>
      <c r="BD113" s="276"/>
      <c r="BE113" s="276"/>
      <c r="BF113" s="276"/>
      <c r="BG113" s="276"/>
    </row>
    <row r="114" spans="1:71" ht="12.75" hidden="1" x14ac:dyDescent="0.2">
      <c r="A114" s="285"/>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5"/>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6"/>
      <c r="B116" s="410" t="s">
        <v>576</v>
      </c>
      <c r="C116" s="411"/>
      <c r="D116" s="410" t="s">
        <v>577</v>
      </c>
      <c r="E116" s="411"/>
      <c r="F116" s="286"/>
      <c r="G116" s="286"/>
      <c r="H116" s="286"/>
      <c r="I116" s="286"/>
      <c r="J116" s="286"/>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89" t="s">
        <v>578</v>
      </c>
      <c r="B117" s="295">
        <v>0</v>
      </c>
      <c r="C117" s="286" t="s">
        <v>579</v>
      </c>
      <c r="D117" s="295">
        <v>4</v>
      </c>
      <c r="E117" s="286" t="s">
        <v>579</v>
      </c>
      <c r="F117" s="286"/>
      <c r="G117" s="286"/>
      <c r="H117" s="286"/>
      <c r="I117" s="286"/>
      <c r="J117" s="286"/>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89" t="s">
        <v>578</v>
      </c>
      <c r="B118" s="286">
        <f>$B$110*B117</f>
        <v>0</v>
      </c>
      <c r="C118" s="286" t="s">
        <v>126</v>
      </c>
      <c r="D118" s="286">
        <f>$B$110*D117</f>
        <v>3.72</v>
      </c>
      <c r="E118" s="286" t="s">
        <v>126</v>
      </c>
      <c r="F118" s="289" t="s">
        <v>580</v>
      </c>
      <c r="G118" s="286">
        <v>1.26</v>
      </c>
      <c r="H118" s="286" t="s">
        <v>579</v>
      </c>
      <c r="I118" s="286">
        <f>$B$110*G118</f>
        <v>1.1718000000000002</v>
      </c>
      <c r="J118" s="286" t="s">
        <v>126</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6"/>
      <c r="B119" s="286"/>
      <c r="C119" s="286"/>
      <c r="D119" s="286"/>
      <c r="E119" s="286"/>
      <c r="F119" s="289" t="s">
        <v>581</v>
      </c>
      <c r="G119" s="323">
        <f>I119/$B$110</f>
        <v>0</v>
      </c>
      <c r="H119" s="286" t="s">
        <v>579</v>
      </c>
      <c r="I119" s="295">
        <v>0</v>
      </c>
      <c r="J119" s="286" t="s">
        <v>126</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6"/>
      <c r="B120" s="297"/>
      <c r="C120" s="297"/>
      <c r="D120" s="297"/>
      <c r="E120" s="297"/>
      <c r="F120" s="298" t="s">
        <v>582</v>
      </c>
      <c r="G120" s="286">
        <f>G118</f>
        <v>1.26</v>
      </c>
      <c r="H120" s="286" t="s">
        <v>579</v>
      </c>
      <c r="I120" s="291">
        <f>I118</f>
        <v>1.1718000000000002</v>
      </c>
      <c r="J120" s="286" t="s">
        <v>126</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3.5" hidden="1" thickBot="1" x14ac:dyDescent="0.25">
      <c r="A121" s="299"/>
      <c r="B121" s="191"/>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idden="1" x14ac:dyDescent="0.2">
      <c r="A122" s="300" t="s">
        <v>583</v>
      </c>
      <c r="B122" s="332">
        <f>'6.2. Паспорт фин осв ввод'!F27</f>
        <v>0</v>
      </c>
      <c r="C122" s="191"/>
      <c r="D122" s="402" t="s">
        <v>284</v>
      </c>
      <c r="E122" s="301" t="s">
        <v>584</v>
      </c>
      <c r="F122" s="302">
        <v>35</v>
      </c>
      <c r="G122" s="403"/>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300" t="s">
        <v>284</v>
      </c>
      <c r="B123" s="303">
        <v>30</v>
      </c>
      <c r="C123" s="191"/>
      <c r="D123" s="402"/>
      <c r="E123" s="301" t="s">
        <v>585</v>
      </c>
      <c r="F123" s="302">
        <v>30</v>
      </c>
      <c r="G123" s="403"/>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300" t="s">
        <v>586</v>
      </c>
      <c r="B124" s="303" t="s">
        <v>542</v>
      </c>
      <c r="C124" s="304" t="s">
        <v>587</v>
      </c>
      <c r="D124" s="402"/>
      <c r="E124" s="301" t="s">
        <v>588</v>
      </c>
      <c r="F124" s="302">
        <v>30</v>
      </c>
      <c r="G124" s="403"/>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5"/>
      <c r="B125" s="306"/>
      <c r="C125" s="304"/>
      <c r="D125" s="402"/>
      <c r="E125" s="301" t="s">
        <v>589</v>
      </c>
      <c r="F125" s="302">
        <v>30</v>
      </c>
      <c r="G125" s="403"/>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300" t="s">
        <v>590</v>
      </c>
      <c r="B126" s="307">
        <f>C126+D126</f>
        <v>6100009.1999999993</v>
      </c>
      <c r="C126" s="307">
        <f>'6.2. Паспорт фин осв ввод'!D24*1000000</f>
        <v>6100009.1999999993</v>
      </c>
      <c r="D126" s="307">
        <v>0</v>
      </c>
      <c r="E126" s="307">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300" t="s">
        <v>591</v>
      </c>
      <c r="B127" s="324">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9"/>
      <c r="B128" s="308"/>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300" t="s">
        <v>592</v>
      </c>
      <c r="B129" s="309">
        <v>9.8699999999999996E-2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10"/>
      <c r="B130" s="311"/>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2" t="s">
        <v>625</v>
      </c>
      <c r="B131" s="313">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9"/>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300" t="s">
        <v>593</v>
      </c>
      <c r="C134" s="191" t="s">
        <v>626</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300"/>
      <c r="B135" s="314">
        <v>2016</v>
      </c>
      <c r="C135" s="314">
        <f>B135+1</f>
        <v>2017</v>
      </c>
      <c r="D135" s="314">
        <f t="shared" ref="D135:AY135" si="40">C135+1</f>
        <v>2018</v>
      </c>
      <c r="E135" s="314">
        <f t="shared" si="40"/>
        <v>2019</v>
      </c>
      <c r="F135" s="314">
        <f t="shared" si="40"/>
        <v>2020</v>
      </c>
      <c r="G135" s="314">
        <f t="shared" si="40"/>
        <v>2021</v>
      </c>
      <c r="H135" s="314">
        <f t="shared" si="40"/>
        <v>2022</v>
      </c>
      <c r="I135" s="314">
        <f t="shared" si="40"/>
        <v>2023</v>
      </c>
      <c r="J135" s="314">
        <f t="shared" si="40"/>
        <v>2024</v>
      </c>
      <c r="K135" s="314">
        <f t="shared" si="40"/>
        <v>2025</v>
      </c>
      <c r="L135" s="314">
        <f t="shared" si="40"/>
        <v>2026</v>
      </c>
      <c r="M135" s="314">
        <f t="shared" si="40"/>
        <v>2027</v>
      </c>
      <c r="N135" s="314">
        <f t="shared" si="40"/>
        <v>2028</v>
      </c>
      <c r="O135" s="314">
        <f t="shared" si="40"/>
        <v>2029</v>
      </c>
      <c r="P135" s="314">
        <f t="shared" si="40"/>
        <v>2030</v>
      </c>
      <c r="Q135" s="314">
        <f t="shared" si="40"/>
        <v>2031</v>
      </c>
      <c r="R135" s="314">
        <f t="shared" si="40"/>
        <v>2032</v>
      </c>
      <c r="S135" s="314">
        <f t="shared" si="40"/>
        <v>2033</v>
      </c>
      <c r="T135" s="314">
        <f t="shared" si="40"/>
        <v>2034</v>
      </c>
      <c r="U135" s="314">
        <f t="shared" si="40"/>
        <v>2035</v>
      </c>
      <c r="V135" s="314">
        <f t="shared" si="40"/>
        <v>2036</v>
      </c>
      <c r="W135" s="314">
        <f t="shared" si="40"/>
        <v>2037</v>
      </c>
      <c r="X135" s="314">
        <f t="shared" si="40"/>
        <v>2038</v>
      </c>
      <c r="Y135" s="314">
        <f t="shared" si="40"/>
        <v>2039</v>
      </c>
      <c r="Z135" s="314">
        <f t="shared" si="40"/>
        <v>2040</v>
      </c>
      <c r="AA135" s="314">
        <f t="shared" si="40"/>
        <v>2041</v>
      </c>
      <c r="AB135" s="314">
        <f t="shared" si="40"/>
        <v>2042</v>
      </c>
      <c r="AC135" s="314">
        <f t="shared" si="40"/>
        <v>2043</v>
      </c>
      <c r="AD135" s="314">
        <f t="shared" si="40"/>
        <v>2044</v>
      </c>
      <c r="AE135" s="314">
        <f t="shared" si="40"/>
        <v>2045</v>
      </c>
      <c r="AF135" s="314">
        <f t="shared" si="40"/>
        <v>2046</v>
      </c>
      <c r="AG135" s="314">
        <f t="shared" si="40"/>
        <v>2047</v>
      </c>
      <c r="AH135" s="314">
        <f t="shared" si="40"/>
        <v>2048</v>
      </c>
      <c r="AI135" s="314">
        <f t="shared" si="40"/>
        <v>2049</v>
      </c>
      <c r="AJ135" s="314">
        <f t="shared" si="40"/>
        <v>2050</v>
      </c>
      <c r="AK135" s="314">
        <f t="shared" si="40"/>
        <v>2051</v>
      </c>
      <c r="AL135" s="314">
        <f t="shared" si="40"/>
        <v>2052</v>
      </c>
      <c r="AM135" s="314">
        <f t="shared" si="40"/>
        <v>2053</v>
      </c>
      <c r="AN135" s="314">
        <f t="shared" si="40"/>
        <v>2054</v>
      </c>
      <c r="AO135" s="314">
        <f t="shared" si="40"/>
        <v>2055</v>
      </c>
      <c r="AP135" s="314">
        <f t="shared" si="40"/>
        <v>2056</v>
      </c>
      <c r="AQ135" s="314">
        <f t="shared" si="40"/>
        <v>2057</v>
      </c>
      <c r="AR135" s="314">
        <f t="shared" si="40"/>
        <v>2058</v>
      </c>
      <c r="AS135" s="314">
        <f t="shared" si="40"/>
        <v>2059</v>
      </c>
      <c r="AT135" s="314">
        <f t="shared" si="40"/>
        <v>2060</v>
      </c>
      <c r="AU135" s="314">
        <f t="shared" si="40"/>
        <v>2061</v>
      </c>
      <c r="AV135" s="314">
        <f t="shared" si="40"/>
        <v>2062</v>
      </c>
      <c r="AW135" s="314">
        <f t="shared" si="40"/>
        <v>2063</v>
      </c>
      <c r="AX135" s="314">
        <f t="shared" si="40"/>
        <v>2064</v>
      </c>
      <c r="AY135" s="314">
        <f t="shared" si="40"/>
        <v>2065</v>
      </c>
    </row>
    <row r="136" spans="1:51" ht="12.75" hidden="1" x14ac:dyDescent="0.2">
      <c r="A136" s="300" t="s">
        <v>594</v>
      </c>
      <c r="B136" s="315"/>
      <c r="C136" s="316"/>
      <c r="D136" s="316">
        <v>4.5999999999999999E-2</v>
      </c>
      <c r="E136" s="316">
        <v>4.3999999999999997E-2</v>
      </c>
      <c r="F136" s="316">
        <v>5.6000000000000001E-2</v>
      </c>
      <c r="G136" s="316">
        <v>5.3999999999999999E-2</v>
      </c>
      <c r="H136" s="316">
        <v>5.0999999999999997E-2</v>
      </c>
      <c r="I136" s="316">
        <v>4.9000000000000002E-2</v>
      </c>
      <c r="J136" s="316">
        <v>4.7E-2</v>
      </c>
      <c r="K136" s="316">
        <v>4.7E-2</v>
      </c>
      <c r="L136" s="316">
        <v>4.7E-2</v>
      </c>
      <c r="M136" s="316">
        <v>4.7E-2</v>
      </c>
      <c r="N136" s="316">
        <v>4.7E-2</v>
      </c>
      <c r="O136" s="316">
        <v>4.7E-2</v>
      </c>
      <c r="P136" s="316">
        <v>4.7E-2</v>
      </c>
      <c r="Q136" s="316">
        <v>4.7E-2</v>
      </c>
      <c r="R136" s="316">
        <v>4.7E-2</v>
      </c>
      <c r="S136" s="316">
        <v>4.7E-2</v>
      </c>
      <c r="T136" s="316">
        <v>4.7E-2</v>
      </c>
      <c r="U136" s="316">
        <v>4.7E-2</v>
      </c>
      <c r="V136" s="316">
        <v>4.7E-2</v>
      </c>
      <c r="W136" s="316">
        <v>4.7E-2</v>
      </c>
      <c r="X136" s="316">
        <v>4.7E-2</v>
      </c>
      <c r="Y136" s="316">
        <v>4.7E-2</v>
      </c>
      <c r="Z136" s="316">
        <v>4.7E-2</v>
      </c>
      <c r="AA136" s="316">
        <v>4.7E-2</v>
      </c>
      <c r="AB136" s="316">
        <v>4.7E-2</v>
      </c>
      <c r="AC136" s="316">
        <v>4.7E-2</v>
      </c>
      <c r="AD136" s="316">
        <v>4.7E-2</v>
      </c>
      <c r="AE136" s="316">
        <v>4.7E-2</v>
      </c>
      <c r="AF136" s="316">
        <v>4.7E-2</v>
      </c>
      <c r="AG136" s="316">
        <v>4.7E-2</v>
      </c>
      <c r="AH136" s="316">
        <v>4.7E-2</v>
      </c>
      <c r="AI136" s="316">
        <v>4.7E-2</v>
      </c>
      <c r="AJ136" s="316">
        <f t="shared" ref="AJ136:AY136" si="41">AI136</f>
        <v>4.7E-2</v>
      </c>
      <c r="AK136" s="316">
        <f t="shared" si="41"/>
        <v>4.7E-2</v>
      </c>
      <c r="AL136" s="316">
        <f t="shared" si="41"/>
        <v>4.7E-2</v>
      </c>
      <c r="AM136" s="316">
        <f t="shared" si="41"/>
        <v>4.7E-2</v>
      </c>
      <c r="AN136" s="316">
        <f t="shared" si="41"/>
        <v>4.7E-2</v>
      </c>
      <c r="AO136" s="316">
        <f t="shared" si="41"/>
        <v>4.7E-2</v>
      </c>
      <c r="AP136" s="316">
        <f t="shared" si="41"/>
        <v>4.7E-2</v>
      </c>
      <c r="AQ136" s="316">
        <f t="shared" si="41"/>
        <v>4.7E-2</v>
      </c>
      <c r="AR136" s="316">
        <f t="shared" si="41"/>
        <v>4.7E-2</v>
      </c>
      <c r="AS136" s="316">
        <f t="shared" si="41"/>
        <v>4.7E-2</v>
      </c>
      <c r="AT136" s="316">
        <f t="shared" si="41"/>
        <v>4.7E-2</v>
      </c>
      <c r="AU136" s="316">
        <f t="shared" si="41"/>
        <v>4.7E-2</v>
      </c>
      <c r="AV136" s="316">
        <f t="shared" si="41"/>
        <v>4.7E-2</v>
      </c>
      <c r="AW136" s="316">
        <f t="shared" si="41"/>
        <v>4.7E-2</v>
      </c>
      <c r="AX136" s="316">
        <f t="shared" si="41"/>
        <v>4.7E-2</v>
      </c>
      <c r="AY136" s="316">
        <f t="shared" si="41"/>
        <v>4.7E-2</v>
      </c>
    </row>
    <row r="137" spans="1:51" ht="15" hidden="1" x14ac:dyDescent="0.2">
      <c r="A137" s="300" t="s">
        <v>595</v>
      </c>
      <c r="B137" s="317"/>
      <c r="C137" s="318">
        <f>(1+B137)*(1+C136)-1</f>
        <v>0</v>
      </c>
      <c r="D137" s="318">
        <f>(1+C137)*(1+D136)-1</f>
        <v>4.6000000000000041E-2</v>
      </c>
      <c r="E137" s="318">
        <f>(1+D137)*(1+E136)-1</f>
        <v>9.2024000000000106E-2</v>
      </c>
      <c r="F137" s="318">
        <f t="shared" ref="F137:AY137" si="42">(1+E137)*(1+F136)-1</f>
        <v>0.15317734400000016</v>
      </c>
      <c r="G137" s="318">
        <f>(1+F137)*(1+G136)-1</f>
        <v>0.21544892057600018</v>
      </c>
      <c r="H137" s="318">
        <f t="shared" si="42"/>
        <v>0.27743681552537613</v>
      </c>
      <c r="I137" s="318">
        <f t="shared" si="42"/>
        <v>0.34003121948611947</v>
      </c>
      <c r="J137" s="318">
        <f t="shared" si="42"/>
        <v>0.403012686801967</v>
      </c>
      <c r="K137" s="318">
        <f t="shared" si="42"/>
        <v>0.46895428308165932</v>
      </c>
      <c r="L137" s="318">
        <f t="shared" si="42"/>
        <v>0.53799513438649726</v>
      </c>
      <c r="M137" s="318">
        <f t="shared" si="42"/>
        <v>0.61028090570266258</v>
      </c>
      <c r="N137" s="318">
        <f t="shared" si="42"/>
        <v>0.68596410827068754</v>
      </c>
      <c r="O137" s="318">
        <f t="shared" si="42"/>
        <v>0.7652044213594098</v>
      </c>
      <c r="P137" s="318">
        <f t="shared" si="42"/>
        <v>0.84816902916330195</v>
      </c>
      <c r="Q137" s="318">
        <f t="shared" si="42"/>
        <v>0.93503297353397707</v>
      </c>
      <c r="R137" s="318">
        <f t="shared" si="42"/>
        <v>1.0259795232900739</v>
      </c>
      <c r="S137" s="318">
        <f t="shared" si="42"/>
        <v>1.1212005608847071</v>
      </c>
      <c r="T137" s="318">
        <f t="shared" si="42"/>
        <v>1.220896987246288</v>
      </c>
      <c r="U137" s="318">
        <f t="shared" si="42"/>
        <v>1.3252791456468636</v>
      </c>
      <c r="V137" s="318">
        <f t="shared" si="42"/>
        <v>1.4345672654922659</v>
      </c>
      <c r="W137" s="318">
        <f t="shared" si="42"/>
        <v>1.5489919269704022</v>
      </c>
      <c r="X137" s="318">
        <f t="shared" si="42"/>
        <v>1.668794547538011</v>
      </c>
      <c r="Y137" s="318">
        <f t="shared" si="42"/>
        <v>1.7942278912722975</v>
      </c>
      <c r="Z137" s="318">
        <f t="shared" si="42"/>
        <v>1.9255566021620951</v>
      </c>
      <c r="AA137" s="318">
        <f t="shared" si="42"/>
        <v>2.0630577624637132</v>
      </c>
      <c r="AB137" s="318">
        <f t="shared" si="42"/>
        <v>2.2070214772995076</v>
      </c>
      <c r="AC137" s="318">
        <f t="shared" si="42"/>
        <v>2.3577514867325844</v>
      </c>
      <c r="AD137" s="318">
        <f t="shared" si="42"/>
        <v>2.5155658066090156</v>
      </c>
      <c r="AE137" s="318">
        <f t="shared" si="42"/>
        <v>2.6807973995196392</v>
      </c>
      <c r="AF137" s="318">
        <f t="shared" si="42"/>
        <v>2.8537948772970618</v>
      </c>
      <c r="AG137" s="318">
        <f t="shared" si="42"/>
        <v>3.0349232365300232</v>
      </c>
      <c r="AH137" s="318">
        <f t="shared" si="42"/>
        <v>3.2245646286469336</v>
      </c>
      <c r="AI137" s="318">
        <f t="shared" si="42"/>
        <v>3.4231191661933389</v>
      </c>
      <c r="AJ137" s="318">
        <f t="shared" si="42"/>
        <v>3.6310057670044253</v>
      </c>
      <c r="AK137" s="318">
        <f t="shared" si="42"/>
        <v>3.8486630380536333</v>
      </c>
      <c r="AL137" s="318">
        <f t="shared" si="42"/>
        <v>4.0765502008421537</v>
      </c>
      <c r="AM137" s="318">
        <f t="shared" si="42"/>
        <v>4.3151480602817349</v>
      </c>
      <c r="AN137" s="318">
        <f t="shared" si="42"/>
        <v>4.5649600191149764</v>
      </c>
      <c r="AO137" s="318">
        <f t="shared" si="42"/>
        <v>4.8265131400133798</v>
      </c>
      <c r="AP137" s="318">
        <f t="shared" si="42"/>
        <v>5.1003592575940084</v>
      </c>
      <c r="AQ137" s="318">
        <f t="shared" si="42"/>
        <v>5.3870761427009262</v>
      </c>
      <c r="AR137" s="318">
        <f t="shared" si="42"/>
        <v>5.687268721407869</v>
      </c>
      <c r="AS137" s="318">
        <f t="shared" si="42"/>
        <v>6.0015703513140384</v>
      </c>
      <c r="AT137" s="318">
        <f t="shared" si="42"/>
        <v>6.3306441578257973</v>
      </c>
      <c r="AU137" s="318">
        <f t="shared" si="42"/>
        <v>6.6751844332436097</v>
      </c>
      <c r="AV137" s="318">
        <f t="shared" si="42"/>
        <v>7.0359181016060592</v>
      </c>
      <c r="AW137" s="318">
        <f>(1+AV137)*(1+AW136)-1</f>
        <v>7.4136062523815429</v>
      </c>
      <c r="AX137" s="318">
        <f t="shared" si="42"/>
        <v>7.8090457462434753</v>
      </c>
      <c r="AY137" s="318">
        <f t="shared" si="42"/>
        <v>8.2230708963169175</v>
      </c>
    </row>
    <row r="138" spans="1:51" hidden="1" x14ac:dyDescent="0.2">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R138" s="191"/>
      <c r="AS138" s="191"/>
    </row>
    <row r="139" spans="1:51" ht="12.75" hidden="1" x14ac:dyDescent="0.2">
      <c r="A139" s="299"/>
      <c r="B139" s="315">
        <v>2016</v>
      </c>
      <c r="C139" s="315">
        <f>B139+1</f>
        <v>2017</v>
      </c>
      <c r="D139" s="315">
        <f t="shared" ref="D139:S140" si="43">C139+1</f>
        <v>2018</v>
      </c>
      <c r="E139" s="315">
        <f t="shared" si="43"/>
        <v>2019</v>
      </c>
      <c r="F139" s="315">
        <f t="shared" si="43"/>
        <v>2020</v>
      </c>
      <c r="G139" s="315">
        <f t="shared" si="43"/>
        <v>2021</v>
      </c>
      <c r="H139" s="315">
        <f t="shared" si="43"/>
        <v>2022</v>
      </c>
      <c r="I139" s="315">
        <f t="shared" si="43"/>
        <v>2023</v>
      </c>
      <c r="J139" s="315">
        <f t="shared" si="43"/>
        <v>2024</v>
      </c>
      <c r="K139" s="315">
        <f t="shared" si="43"/>
        <v>2025</v>
      </c>
      <c r="L139" s="315">
        <f t="shared" si="43"/>
        <v>2026</v>
      </c>
      <c r="M139" s="315">
        <f t="shared" si="43"/>
        <v>2027</v>
      </c>
      <c r="N139" s="315">
        <f t="shared" si="43"/>
        <v>2028</v>
      </c>
      <c r="O139" s="315">
        <f t="shared" si="43"/>
        <v>2029</v>
      </c>
      <c r="P139" s="315">
        <f t="shared" si="43"/>
        <v>2030</v>
      </c>
      <c r="Q139" s="315">
        <f t="shared" si="43"/>
        <v>2031</v>
      </c>
      <c r="R139" s="315">
        <f t="shared" si="43"/>
        <v>2032</v>
      </c>
      <c r="S139" s="315">
        <f t="shared" si="43"/>
        <v>2033</v>
      </c>
      <c r="T139" s="315">
        <f t="shared" ref="T139:AI140" si="44">S139+1</f>
        <v>2034</v>
      </c>
      <c r="U139" s="315">
        <f t="shared" si="44"/>
        <v>2035</v>
      </c>
      <c r="V139" s="315">
        <f t="shared" si="44"/>
        <v>2036</v>
      </c>
      <c r="W139" s="315">
        <f t="shared" si="44"/>
        <v>2037</v>
      </c>
      <c r="X139" s="315">
        <f t="shared" si="44"/>
        <v>2038</v>
      </c>
      <c r="Y139" s="315">
        <f t="shared" si="44"/>
        <v>2039</v>
      </c>
      <c r="Z139" s="315">
        <f t="shared" si="44"/>
        <v>2040</v>
      </c>
      <c r="AA139" s="315">
        <f t="shared" si="44"/>
        <v>2041</v>
      </c>
      <c r="AB139" s="315">
        <f t="shared" si="44"/>
        <v>2042</v>
      </c>
      <c r="AC139" s="315">
        <f t="shared" si="44"/>
        <v>2043</v>
      </c>
      <c r="AD139" s="315">
        <f t="shared" si="44"/>
        <v>2044</v>
      </c>
      <c r="AE139" s="315">
        <f t="shared" si="44"/>
        <v>2045</v>
      </c>
      <c r="AF139" s="315">
        <f t="shared" si="44"/>
        <v>2046</v>
      </c>
      <c r="AG139" s="315">
        <f t="shared" si="44"/>
        <v>2047</v>
      </c>
      <c r="AH139" s="315">
        <f t="shared" si="44"/>
        <v>2048</v>
      </c>
      <c r="AI139" s="315">
        <f t="shared" si="44"/>
        <v>2049</v>
      </c>
      <c r="AJ139" s="315">
        <f t="shared" ref="AJ139:AY140" si="45">AI139+1</f>
        <v>2050</v>
      </c>
      <c r="AK139" s="315">
        <f t="shared" si="45"/>
        <v>2051</v>
      </c>
      <c r="AL139" s="315">
        <f t="shared" si="45"/>
        <v>2052</v>
      </c>
      <c r="AM139" s="315">
        <f t="shared" si="45"/>
        <v>2053</v>
      </c>
      <c r="AN139" s="315">
        <f t="shared" si="45"/>
        <v>2054</v>
      </c>
      <c r="AO139" s="315">
        <f t="shared" si="45"/>
        <v>2055</v>
      </c>
      <c r="AP139" s="315">
        <f t="shared" si="45"/>
        <v>2056</v>
      </c>
      <c r="AQ139" s="315">
        <f t="shared" si="45"/>
        <v>2057</v>
      </c>
      <c r="AR139" s="315">
        <f t="shared" si="45"/>
        <v>2058</v>
      </c>
      <c r="AS139" s="315">
        <f t="shared" si="45"/>
        <v>2059</v>
      </c>
      <c r="AT139" s="315">
        <f t="shared" si="45"/>
        <v>2060</v>
      </c>
      <c r="AU139" s="315">
        <f t="shared" si="45"/>
        <v>2061</v>
      </c>
      <c r="AV139" s="315">
        <f t="shared" si="45"/>
        <v>2062</v>
      </c>
      <c r="AW139" s="315">
        <f t="shared" si="45"/>
        <v>2063</v>
      </c>
      <c r="AX139" s="315">
        <f t="shared" si="45"/>
        <v>2064</v>
      </c>
      <c r="AY139" s="315">
        <f t="shared" si="45"/>
        <v>2065</v>
      </c>
    </row>
    <row r="140" spans="1:51" hidden="1" x14ac:dyDescent="0.2">
      <c r="A140" s="299"/>
      <c r="B140" s="321">
        <v>0</v>
      </c>
      <c r="C140" s="321">
        <v>0</v>
      </c>
      <c r="D140" s="321">
        <v>0</v>
      </c>
      <c r="E140" s="321">
        <v>0</v>
      </c>
      <c r="F140" s="321">
        <v>0</v>
      </c>
      <c r="G140" s="321">
        <v>1</v>
      </c>
      <c r="H140" s="321">
        <f>G140+1</f>
        <v>2</v>
      </c>
      <c r="I140" s="321">
        <f t="shared" si="43"/>
        <v>3</v>
      </c>
      <c r="J140" s="321">
        <f t="shared" si="43"/>
        <v>4</v>
      </c>
      <c r="K140" s="321">
        <f t="shared" si="43"/>
        <v>5</v>
      </c>
      <c r="L140" s="321">
        <f t="shared" si="43"/>
        <v>6</v>
      </c>
      <c r="M140" s="321">
        <f t="shared" si="43"/>
        <v>7</v>
      </c>
      <c r="N140" s="321">
        <f t="shared" si="43"/>
        <v>8</v>
      </c>
      <c r="O140" s="321">
        <f t="shared" si="43"/>
        <v>9</v>
      </c>
      <c r="P140" s="321">
        <f t="shared" si="43"/>
        <v>10</v>
      </c>
      <c r="Q140" s="321">
        <f t="shared" si="43"/>
        <v>11</v>
      </c>
      <c r="R140" s="321">
        <f t="shared" si="43"/>
        <v>12</v>
      </c>
      <c r="S140" s="321">
        <f t="shared" si="43"/>
        <v>13</v>
      </c>
      <c r="T140" s="321">
        <f t="shared" si="44"/>
        <v>14</v>
      </c>
      <c r="U140" s="321">
        <f t="shared" si="44"/>
        <v>15</v>
      </c>
      <c r="V140" s="321">
        <f t="shared" si="44"/>
        <v>16</v>
      </c>
      <c r="W140" s="321">
        <f t="shared" si="44"/>
        <v>17</v>
      </c>
      <c r="X140" s="321">
        <f t="shared" si="44"/>
        <v>18</v>
      </c>
      <c r="Y140" s="321">
        <f t="shared" si="44"/>
        <v>19</v>
      </c>
      <c r="Z140" s="321">
        <f t="shared" si="44"/>
        <v>20</v>
      </c>
      <c r="AA140" s="321">
        <f t="shared" si="44"/>
        <v>21</v>
      </c>
      <c r="AB140" s="321">
        <f t="shared" si="44"/>
        <v>22</v>
      </c>
      <c r="AC140" s="321">
        <f t="shared" si="44"/>
        <v>23</v>
      </c>
      <c r="AD140" s="321">
        <f t="shared" si="44"/>
        <v>24</v>
      </c>
      <c r="AE140" s="321">
        <f t="shared" si="44"/>
        <v>25</v>
      </c>
      <c r="AF140" s="321">
        <f t="shared" si="44"/>
        <v>26</v>
      </c>
      <c r="AG140" s="321">
        <f t="shared" si="44"/>
        <v>27</v>
      </c>
      <c r="AH140" s="321">
        <f t="shared" si="44"/>
        <v>28</v>
      </c>
      <c r="AI140" s="321">
        <f t="shared" si="44"/>
        <v>29</v>
      </c>
      <c r="AJ140" s="321">
        <f t="shared" si="45"/>
        <v>30</v>
      </c>
      <c r="AK140" s="321">
        <f t="shared" si="45"/>
        <v>31</v>
      </c>
      <c r="AL140" s="321">
        <f t="shared" si="45"/>
        <v>32</v>
      </c>
      <c r="AM140" s="321">
        <f t="shared" si="45"/>
        <v>33</v>
      </c>
      <c r="AN140" s="321">
        <f t="shared" si="45"/>
        <v>34</v>
      </c>
      <c r="AO140" s="321">
        <f t="shared" si="45"/>
        <v>35</v>
      </c>
      <c r="AP140" s="321">
        <f>AO140+1</f>
        <v>36</v>
      </c>
      <c r="AQ140" s="321">
        <f t="shared" si="45"/>
        <v>37</v>
      </c>
      <c r="AR140" s="321">
        <f t="shared" si="45"/>
        <v>38</v>
      </c>
      <c r="AS140" s="321">
        <f t="shared" si="45"/>
        <v>39</v>
      </c>
      <c r="AT140" s="321">
        <f t="shared" si="45"/>
        <v>40</v>
      </c>
      <c r="AU140" s="321">
        <f t="shared" si="45"/>
        <v>41</v>
      </c>
      <c r="AV140" s="321">
        <f t="shared" si="45"/>
        <v>42</v>
      </c>
      <c r="AW140" s="321">
        <f t="shared" si="45"/>
        <v>43</v>
      </c>
      <c r="AX140" s="321">
        <f t="shared" si="45"/>
        <v>44</v>
      </c>
      <c r="AY140" s="321">
        <f t="shared" si="45"/>
        <v>45</v>
      </c>
    </row>
    <row r="141" spans="1:51" ht="15" hidden="1" x14ac:dyDescent="0.2">
      <c r="A141" s="299"/>
      <c r="B141" s="322">
        <f>AVERAGE(A140:B140)</f>
        <v>0</v>
      </c>
      <c r="C141" s="322">
        <f>AVERAGE(B140:C140)</f>
        <v>0</v>
      </c>
      <c r="D141" s="322">
        <f>AVERAGE(C140:D140)</f>
        <v>0</v>
      </c>
      <c r="E141" s="322">
        <f>AVERAGE(D140:E140)</f>
        <v>0</v>
      </c>
      <c r="F141" s="322">
        <f t="shared" ref="F141:AO141" si="46">AVERAGE(E140:F140)</f>
        <v>0</v>
      </c>
      <c r="G141" s="322">
        <f t="shared" si="46"/>
        <v>0.5</v>
      </c>
      <c r="H141" s="322">
        <f>AVERAGE(G140:H140)</f>
        <v>1.5</v>
      </c>
      <c r="I141" s="322">
        <f t="shared" si="46"/>
        <v>2.5</v>
      </c>
      <c r="J141" s="322">
        <f t="shared" si="46"/>
        <v>3.5</v>
      </c>
      <c r="K141" s="322">
        <f t="shared" si="46"/>
        <v>4.5</v>
      </c>
      <c r="L141" s="322">
        <f t="shared" si="46"/>
        <v>5.5</v>
      </c>
      <c r="M141" s="322">
        <f t="shared" si="46"/>
        <v>6.5</v>
      </c>
      <c r="N141" s="322">
        <f t="shared" si="46"/>
        <v>7.5</v>
      </c>
      <c r="O141" s="322">
        <f t="shared" si="46"/>
        <v>8.5</v>
      </c>
      <c r="P141" s="322">
        <f t="shared" si="46"/>
        <v>9.5</v>
      </c>
      <c r="Q141" s="322">
        <f t="shared" si="46"/>
        <v>10.5</v>
      </c>
      <c r="R141" s="322">
        <f t="shared" si="46"/>
        <v>11.5</v>
      </c>
      <c r="S141" s="322">
        <f t="shared" si="46"/>
        <v>12.5</v>
      </c>
      <c r="T141" s="322">
        <f t="shared" si="46"/>
        <v>13.5</v>
      </c>
      <c r="U141" s="322">
        <f t="shared" si="46"/>
        <v>14.5</v>
      </c>
      <c r="V141" s="322">
        <f t="shared" si="46"/>
        <v>15.5</v>
      </c>
      <c r="W141" s="322">
        <f t="shared" si="46"/>
        <v>16.5</v>
      </c>
      <c r="X141" s="322">
        <f t="shared" si="46"/>
        <v>17.5</v>
      </c>
      <c r="Y141" s="322">
        <f t="shared" si="46"/>
        <v>18.5</v>
      </c>
      <c r="Z141" s="322">
        <f t="shared" si="46"/>
        <v>19.5</v>
      </c>
      <c r="AA141" s="322">
        <f t="shared" si="46"/>
        <v>20.5</v>
      </c>
      <c r="AB141" s="322">
        <f t="shared" si="46"/>
        <v>21.5</v>
      </c>
      <c r="AC141" s="322">
        <f t="shared" si="46"/>
        <v>22.5</v>
      </c>
      <c r="AD141" s="322">
        <f t="shared" si="46"/>
        <v>23.5</v>
      </c>
      <c r="AE141" s="322">
        <f t="shared" si="46"/>
        <v>24.5</v>
      </c>
      <c r="AF141" s="322">
        <f t="shared" si="46"/>
        <v>25.5</v>
      </c>
      <c r="AG141" s="322">
        <f t="shared" si="46"/>
        <v>26.5</v>
      </c>
      <c r="AH141" s="322">
        <f t="shared" si="46"/>
        <v>27.5</v>
      </c>
      <c r="AI141" s="322">
        <f t="shared" si="46"/>
        <v>28.5</v>
      </c>
      <c r="AJ141" s="322">
        <f t="shared" si="46"/>
        <v>29.5</v>
      </c>
      <c r="AK141" s="322">
        <f t="shared" si="46"/>
        <v>30.5</v>
      </c>
      <c r="AL141" s="322">
        <f t="shared" si="46"/>
        <v>31.5</v>
      </c>
      <c r="AM141" s="322">
        <f t="shared" si="46"/>
        <v>32.5</v>
      </c>
      <c r="AN141" s="322">
        <f t="shared" si="46"/>
        <v>33.5</v>
      </c>
      <c r="AO141" s="322">
        <f t="shared" si="46"/>
        <v>34.5</v>
      </c>
      <c r="AP141" s="322">
        <f>AVERAGE(AO140:AP140)</f>
        <v>35.5</v>
      </c>
      <c r="AQ141" s="322">
        <f t="shared" ref="AQ141:AY141" si="47">AVERAGE(AP140:AQ140)</f>
        <v>36.5</v>
      </c>
      <c r="AR141" s="322">
        <f t="shared" si="47"/>
        <v>37.5</v>
      </c>
      <c r="AS141" s="322">
        <f t="shared" si="47"/>
        <v>38.5</v>
      </c>
      <c r="AT141" s="322">
        <f t="shared" si="47"/>
        <v>39.5</v>
      </c>
      <c r="AU141" s="322">
        <f t="shared" si="47"/>
        <v>40.5</v>
      </c>
      <c r="AV141" s="322">
        <f t="shared" si="47"/>
        <v>41.5</v>
      </c>
      <c r="AW141" s="322">
        <f t="shared" si="47"/>
        <v>42.5</v>
      </c>
      <c r="AX141" s="322">
        <f t="shared" si="47"/>
        <v>43.5</v>
      </c>
      <c r="AY141" s="322">
        <f t="shared" si="47"/>
        <v>44.5</v>
      </c>
    </row>
    <row r="142" spans="1:51" ht="12.75" hidden="1" x14ac:dyDescent="0.2">
      <c r="A142" s="299"/>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9"/>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9"/>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9"/>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9"/>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9"/>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9"/>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9"/>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hidden="1" x14ac:dyDescent="0.2">
      <c r="A150" s="299"/>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hidden="1" x14ac:dyDescent="0.2">
      <c r="A151" s="299"/>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hidden="1" x14ac:dyDescent="0.2">
      <c r="A152" s="299"/>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hidden="1" x14ac:dyDescent="0.2">
      <c r="A153" s="299"/>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hidden="1" x14ac:dyDescent="0.2">
      <c r="A154" s="299"/>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hidden="1" x14ac:dyDescent="0.2">
      <c r="A155" s="299"/>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hidden="1" x14ac:dyDescent="0.2">
      <c r="A156" s="285"/>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hidden="1" x14ac:dyDescent="0.2">
      <c r="A157" s="285"/>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hidden="1" x14ac:dyDescent="0.2">
      <c r="A158" s="285"/>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hidden="1" x14ac:dyDescent="0.2">
      <c r="A159" s="285"/>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hidden="1" x14ac:dyDescent="0.2">
      <c r="A160" s="285"/>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hidden="1" x14ac:dyDescent="0.2">
      <c r="A161" s="285"/>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hidden="1" x14ac:dyDescent="0.2">
      <c r="A162" s="285"/>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hidden="1" x14ac:dyDescent="0.2">
      <c r="A163" s="285"/>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hidden="1" x14ac:dyDescent="0.2">
      <c r="A164" s="285"/>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hidden="1" x14ac:dyDescent="0.2">
      <c r="A165" s="285"/>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hidden="1" x14ac:dyDescent="0.2">
      <c r="A166" s="285"/>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hidden="1" x14ac:dyDescent="0.2">
      <c r="A167" s="285"/>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hidden="1" x14ac:dyDescent="0.2">
      <c r="A168" s="285"/>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hidden="1" x14ac:dyDescent="0.2">
      <c r="A169" s="285"/>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hidden="1" x14ac:dyDescent="0.2">
      <c r="A170" s="285"/>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hidden="1" x14ac:dyDescent="0.2">
      <c r="A171" s="285"/>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hidden="1" x14ac:dyDescent="0.2">
      <c r="A172" s="285"/>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hidden="1" x14ac:dyDescent="0.2">
      <c r="A173" s="285"/>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hidden="1" x14ac:dyDescent="0.2">
      <c r="A174" s="285"/>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hidden="1" x14ac:dyDescent="0.2">
      <c r="A175" s="285"/>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hidden="1" x14ac:dyDescent="0.2">
      <c r="A176" s="285"/>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hidden="1" x14ac:dyDescent="0.2">
      <c r="A177" s="285"/>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hidden="1" x14ac:dyDescent="0.2">
      <c r="A178" s="285"/>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hidden="1" x14ac:dyDescent="0.2">
      <c r="A179" s="285"/>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hidden="1" x14ac:dyDescent="0.2">
      <c r="A180" s="285"/>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hidden="1" x14ac:dyDescent="0.2">
      <c r="A181" s="285"/>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hidden="1" x14ac:dyDescent="0.2">
      <c r="A182" s="285"/>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hidden="1" x14ac:dyDescent="0.2">
      <c r="A183" s="285"/>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hidden="1" x14ac:dyDescent="0.2">
      <c r="A184" s="285"/>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hidden="1" x14ac:dyDescent="0.2">
      <c r="A185" s="285"/>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hidden="1" x14ac:dyDescent="0.2">
      <c r="A186" s="285"/>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hidden="1" x14ac:dyDescent="0.2">
      <c r="A187" s="285"/>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hidden="1" x14ac:dyDescent="0.2">
      <c r="A188" s="285"/>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hidden="1" x14ac:dyDescent="0.2">
      <c r="A189" s="285"/>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hidden="1" x14ac:dyDescent="0.2">
      <c r="A190" s="285"/>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hidden="1" x14ac:dyDescent="0.2">
      <c r="A191" s="285"/>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hidden="1" x14ac:dyDescent="0.2">
      <c r="A192" s="285"/>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hidden="1" x14ac:dyDescent="0.2">
      <c r="A193" s="285"/>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hidden="1" x14ac:dyDescent="0.2">
      <c r="A194" s="285"/>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hidden="1" x14ac:dyDescent="0.2">
      <c r="A195" s="285"/>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hidden="1" x14ac:dyDescent="0.2">
      <c r="A196" s="285"/>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hidden="1" x14ac:dyDescent="0.2">
      <c r="A197" s="285"/>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hidden="1" x14ac:dyDescent="0.2">
      <c r="A198" s="285"/>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hidden="1" x14ac:dyDescent="0.2">
      <c r="A199" s="285"/>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hidden="1" x14ac:dyDescent="0.2">
      <c r="A200" s="285"/>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hidden="1" x14ac:dyDescent="0.2">
      <c r="A201" s="285"/>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hidden="1" x14ac:dyDescent="0.2">
      <c r="A202" s="285"/>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hidden="1" x14ac:dyDescent="0.2">
      <c r="A203" s="285"/>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hidden="1" x14ac:dyDescent="0.2">
      <c r="A204" s="285"/>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5"/>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5"/>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5"/>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5"/>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5" zoomScale="80" zoomScaleSheetLayoutView="80" workbookViewId="0">
      <selection activeCell="G26" sqref="G26:H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48" t="str">
        <f>'1. паспорт местоположение'!A5:C5</f>
        <v>Год раскрытия информации: 2023 год</v>
      </c>
      <c r="B5" s="348"/>
      <c r="C5" s="348"/>
      <c r="D5" s="348"/>
      <c r="E5" s="348"/>
      <c r="F5" s="348"/>
      <c r="G5" s="348"/>
      <c r="H5" s="348"/>
      <c r="I5" s="348"/>
      <c r="J5" s="348"/>
      <c r="K5" s="348"/>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x14ac:dyDescent="0.3">
      <c r="K6" s="12"/>
    </row>
    <row r="7" spans="1:43" ht="18.75" x14ac:dyDescent="0.25">
      <c r="A7" s="358" t="s">
        <v>7</v>
      </c>
      <c r="B7" s="358"/>
      <c r="C7" s="358"/>
      <c r="D7" s="358"/>
      <c r="E7" s="358"/>
      <c r="F7" s="358"/>
      <c r="G7" s="358"/>
      <c r="H7" s="358"/>
      <c r="I7" s="358"/>
      <c r="J7" s="358"/>
      <c r="K7" s="358"/>
    </row>
    <row r="8" spans="1:43" ht="18.75" x14ac:dyDescent="0.25">
      <c r="A8" s="358"/>
      <c r="B8" s="358"/>
      <c r="C8" s="358"/>
      <c r="D8" s="358"/>
      <c r="E8" s="358"/>
      <c r="F8" s="358"/>
      <c r="G8" s="358"/>
      <c r="H8" s="358"/>
      <c r="I8" s="358"/>
      <c r="J8" s="358"/>
      <c r="K8" s="358"/>
    </row>
    <row r="9" spans="1:43" x14ac:dyDescent="0.25">
      <c r="A9" s="353" t="str">
        <f>'1. паспорт местоположение'!A9:C9</f>
        <v xml:space="preserve">Акционерное общество "Западная энергетическая компания" </v>
      </c>
      <c r="B9" s="353"/>
      <c r="C9" s="353"/>
      <c r="D9" s="353"/>
      <c r="E9" s="353"/>
      <c r="F9" s="353"/>
      <c r="G9" s="353"/>
      <c r="H9" s="353"/>
      <c r="I9" s="353"/>
      <c r="J9" s="353"/>
      <c r="K9" s="353"/>
    </row>
    <row r="10" spans="1:43" x14ac:dyDescent="0.25">
      <c r="A10" s="354" t="s">
        <v>6</v>
      </c>
      <c r="B10" s="354"/>
      <c r="C10" s="354"/>
      <c r="D10" s="354"/>
      <c r="E10" s="354"/>
      <c r="F10" s="354"/>
      <c r="G10" s="354"/>
      <c r="H10" s="354"/>
      <c r="I10" s="354"/>
      <c r="J10" s="354"/>
      <c r="K10" s="354"/>
    </row>
    <row r="11" spans="1:43" ht="18.75" x14ac:dyDescent="0.25">
      <c r="A11" s="358"/>
      <c r="B11" s="358"/>
      <c r="C11" s="358"/>
      <c r="D11" s="358"/>
      <c r="E11" s="358"/>
      <c r="F11" s="358"/>
      <c r="G11" s="358"/>
      <c r="H11" s="358"/>
      <c r="I11" s="358"/>
      <c r="J11" s="358"/>
      <c r="K11" s="358"/>
    </row>
    <row r="12" spans="1:43" x14ac:dyDescent="0.25">
      <c r="A12" s="359" t="str">
        <f>'1. паспорт местоположение'!A12:C12</f>
        <v>M_22-20</v>
      </c>
      <c r="B12" s="359"/>
      <c r="C12" s="359"/>
      <c r="D12" s="359"/>
      <c r="E12" s="359"/>
      <c r="F12" s="359"/>
      <c r="G12" s="359"/>
      <c r="H12" s="359"/>
      <c r="I12" s="359"/>
      <c r="J12" s="359"/>
      <c r="K12" s="359"/>
    </row>
    <row r="13" spans="1:43" x14ac:dyDescent="0.25">
      <c r="A13" s="354" t="s">
        <v>5</v>
      </c>
      <c r="B13" s="354"/>
      <c r="C13" s="354"/>
      <c r="D13" s="354"/>
      <c r="E13" s="354"/>
      <c r="F13" s="354"/>
      <c r="G13" s="354"/>
      <c r="H13" s="354"/>
      <c r="I13" s="354"/>
      <c r="J13" s="354"/>
      <c r="K13" s="354"/>
    </row>
    <row r="14" spans="1:43" ht="18.75" x14ac:dyDescent="0.25">
      <c r="A14" s="355"/>
      <c r="B14" s="355"/>
      <c r="C14" s="355"/>
      <c r="D14" s="355"/>
      <c r="E14" s="355"/>
      <c r="F14" s="355"/>
      <c r="G14" s="355"/>
      <c r="H14" s="355"/>
      <c r="I14" s="355"/>
      <c r="J14" s="355"/>
      <c r="K14" s="355"/>
    </row>
    <row r="15" spans="1:43" x14ac:dyDescent="0.25">
      <c r="A15" s="353" t="str">
        <f>'1. паспорт местоположение'!A15:C15</f>
        <v>Строительство сетей электроснабжения многоквартирных ж/домов в г.Пионерском, ул. Октябрьская  КН:39:19:010314:37</v>
      </c>
      <c r="B15" s="353"/>
      <c r="C15" s="353"/>
      <c r="D15" s="353"/>
      <c r="E15" s="353"/>
      <c r="F15" s="353"/>
      <c r="G15" s="353"/>
      <c r="H15" s="353"/>
      <c r="I15" s="353"/>
      <c r="J15" s="353"/>
      <c r="K15" s="353"/>
    </row>
    <row r="16" spans="1:43" x14ac:dyDescent="0.25">
      <c r="A16" s="349" t="s">
        <v>4</v>
      </c>
      <c r="B16" s="349"/>
      <c r="C16" s="349"/>
      <c r="D16" s="349"/>
      <c r="E16" s="349"/>
      <c r="F16" s="349"/>
      <c r="G16" s="349"/>
      <c r="H16" s="349"/>
      <c r="I16" s="349"/>
      <c r="J16" s="349"/>
      <c r="K16" s="349"/>
    </row>
    <row r="17" spans="1:11" ht="15.75" customHeight="1" x14ac:dyDescent="0.25"/>
    <row r="18" spans="1:11" x14ac:dyDescent="0.25">
      <c r="K18" s="24"/>
    </row>
    <row r="19" spans="1:11" ht="15.75" customHeight="1" x14ac:dyDescent="0.25">
      <c r="A19" s="412" t="s">
        <v>392</v>
      </c>
      <c r="B19" s="412"/>
      <c r="C19" s="412"/>
      <c r="D19" s="412"/>
      <c r="E19" s="412"/>
      <c r="F19" s="412"/>
      <c r="G19" s="412"/>
      <c r="H19" s="412"/>
      <c r="I19" s="412"/>
      <c r="J19" s="412"/>
      <c r="K19" s="412"/>
    </row>
    <row r="20" spans="1:11" x14ac:dyDescent="0.25">
      <c r="A20" s="35"/>
      <c r="B20" s="35"/>
    </row>
    <row r="21" spans="1:11" ht="28.5" customHeight="1" x14ac:dyDescent="0.25">
      <c r="A21" s="413" t="s">
        <v>199</v>
      </c>
      <c r="B21" s="413" t="s">
        <v>483</v>
      </c>
      <c r="C21" s="413" t="s">
        <v>351</v>
      </c>
      <c r="D21" s="413"/>
      <c r="E21" s="413"/>
      <c r="F21" s="413"/>
      <c r="G21" s="413"/>
      <c r="H21" s="413"/>
      <c r="I21" s="413" t="s">
        <v>198</v>
      </c>
      <c r="J21" s="414" t="s">
        <v>352</v>
      </c>
      <c r="K21" s="413" t="s">
        <v>197</v>
      </c>
    </row>
    <row r="22" spans="1:11" ht="58.5" customHeight="1" x14ac:dyDescent="0.25">
      <c r="A22" s="413"/>
      <c r="B22" s="413"/>
      <c r="C22" s="417" t="s">
        <v>534</v>
      </c>
      <c r="D22" s="417"/>
      <c r="E22" s="417" t="s">
        <v>9</v>
      </c>
      <c r="F22" s="417"/>
      <c r="G22" s="417" t="s">
        <v>535</v>
      </c>
      <c r="H22" s="417"/>
      <c r="I22" s="413"/>
      <c r="J22" s="415"/>
      <c r="K22" s="413"/>
    </row>
    <row r="23" spans="1:11" ht="31.5" x14ac:dyDescent="0.25">
      <c r="A23" s="413"/>
      <c r="B23" s="413"/>
      <c r="C23" s="156" t="s">
        <v>196</v>
      </c>
      <c r="D23" s="156" t="s">
        <v>195</v>
      </c>
      <c r="E23" s="156" t="s">
        <v>196</v>
      </c>
      <c r="F23" s="156" t="s">
        <v>195</v>
      </c>
      <c r="G23" s="156" t="s">
        <v>196</v>
      </c>
      <c r="H23" s="156" t="s">
        <v>195</v>
      </c>
      <c r="I23" s="413"/>
      <c r="J23" s="416"/>
      <c r="K23" s="413"/>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ht="33.75" customHeight="1" x14ac:dyDescent="0.25">
      <c r="A26" s="156" t="s">
        <v>484</v>
      </c>
      <c r="B26" s="165" t="s">
        <v>485</v>
      </c>
      <c r="C26" s="162"/>
      <c r="D26" s="162">
        <v>44580</v>
      </c>
      <c r="E26" s="173">
        <v>42859</v>
      </c>
      <c r="F26" s="173">
        <v>42859</v>
      </c>
      <c r="G26" s="162" t="s">
        <v>537</v>
      </c>
      <c r="H26" s="162" t="s">
        <v>537</v>
      </c>
      <c r="I26" s="174"/>
      <c r="J26" s="152"/>
      <c r="K26" s="153"/>
    </row>
    <row r="27" spans="1:11" ht="31.5" x14ac:dyDescent="0.25">
      <c r="A27" s="156" t="s">
        <v>486</v>
      </c>
      <c r="B27" s="165" t="s">
        <v>487</v>
      </c>
      <c r="C27" s="162" t="s">
        <v>435</v>
      </c>
      <c r="D27" s="162" t="s">
        <v>435</v>
      </c>
      <c r="E27" s="173">
        <v>42807</v>
      </c>
      <c r="F27" s="173">
        <v>42807</v>
      </c>
      <c r="G27" s="162" t="s">
        <v>537</v>
      </c>
      <c r="H27" s="162" t="s">
        <v>537</v>
      </c>
      <c r="I27" s="174"/>
      <c r="J27" s="152"/>
      <c r="K27" s="153"/>
    </row>
    <row r="28" spans="1:11" ht="63" x14ac:dyDescent="0.25">
      <c r="A28" s="156" t="s">
        <v>489</v>
      </c>
      <c r="B28" s="165" t="s">
        <v>488</v>
      </c>
      <c r="C28" s="162" t="s">
        <v>435</v>
      </c>
      <c r="D28" s="162" t="s">
        <v>435</v>
      </c>
      <c r="E28" s="173" t="s">
        <v>435</v>
      </c>
      <c r="F28" s="173" t="s">
        <v>435</v>
      </c>
      <c r="G28" s="162" t="s">
        <v>537</v>
      </c>
      <c r="H28" s="162" t="s">
        <v>537</v>
      </c>
      <c r="I28" s="174"/>
      <c r="J28" s="152"/>
      <c r="K28" s="153"/>
    </row>
    <row r="29" spans="1:11" ht="31.5" x14ac:dyDescent="0.25">
      <c r="A29" s="156" t="s">
        <v>491</v>
      </c>
      <c r="B29" s="165" t="s">
        <v>490</v>
      </c>
      <c r="C29" s="162" t="s">
        <v>435</v>
      </c>
      <c r="D29" s="162" t="s">
        <v>435</v>
      </c>
      <c r="E29" s="173" t="s">
        <v>435</v>
      </c>
      <c r="F29" s="173" t="s">
        <v>435</v>
      </c>
      <c r="G29" s="162" t="s">
        <v>537</v>
      </c>
      <c r="H29" s="162" t="s">
        <v>537</v>
      </c>
      <c r="I29" s="174"/>
      <c r="J29" s="152"/>
      <c r="K29" s="153"/>
    </row>
    <row r="30" spans="1:11" ht="31.5" x14ac:dyDescent="0.25">
      <c r="A30" s="156" t="s">
        <v>493</v>
      </c>
      <c r="B30" s="165" t="s">
        <v>492</v>
      </c>
      <c r="C30" s="162" t="s">
        <v>435</v>
      </c>
      <c r="D30" s="162" t="s">
        <v>435</v>
      </c>
      <c r="E30" s="173" t="s">
        <v>435</v>
      </c>
      <c r="F30" s="173" t="s">
        <v>435</v>
      </c>
      <c r="G30" s="162" t="s">
        <v>537</v>
      </c>
      <c r="H30" s="162" t="s">
        <v>537</v>
      </c>
      <c r="I30" s="174"/>
      <c r="J30" s="152"/>
      <c r="K30" s="153"/>
    </row>
    <row r="31" spans="1:11" ht="31.5" x14ac:dyDescent="0.25">
      <c r="A31" s="156" t="s">
        <v>495</v>
      </c>
      <c r="B31" s="165" t="s">
        <v>494</v>
      </c>
      <c r="C31" s="162" t="s">
        <v>435</v>
      </c>
      <c r="D31" s="162" t="s">
        <v>435</v>
      </c>
      <c r="E31" s="173">
        <v>41806</v>
      </c>
      <c r="F31" s="173">
        <v>41806</v>
      </c>
      <c r="G31" s="162" t="s">
        <v>537</v>
      </c>
      <c r="H31" s="162" t="s">
        <v>537</v>
      </c>
      <c r="I31" s="174"/>
      <c r="J31" s="152"/>
      <c r="K31" s="153"/>
    </row>
    <row r="32" spans="1:11" ht="31.5" x14ac:dyDescent="0.25">
      <c r="A32" s="156" t="s">
        <v>497</v>
      </c>
      <c r="B32" s="165" t="s">
        <v>496</v>
      </c>
      <c r="C32" s="162" t="s">
        <v>435</v>
      </c>
      <c r="D32" s="162" t="s">
        <v>435</v>
      </c>
      <c r="E32" s="173">
        <v>42597</v>
      </c>
      <c r="F32" s="173">
        <v>42597</v>
      </c>
      <c r="G32" s="162" t="s">
        <v>537</v>
      </c>
      <c r="H32" s="162" t="s">
        <v>537</v>
      </c>
      <c r="I32" s="174"/>
      <c r="J32" s="152"/>
      <c r="K32" s="153"/>
    </row>
    <row r="33" spans="1:11" ht="47.25" x14ac:dyDescent="0.25">
      <c r="A33" s="156" t="s">
        <v>499</v>
      </c>
      <c r="B33" s="165" t="s">
        <v>498</v>
      </c>
      <c r="C33" s="162" t="s">
        <v>435</v>
      </c>
      <c r="D33" s="162" t="s">
        <v>435</v>
      </c>
      <c r="E33" s="173">
        <v>42720</v>
      </c>
      <c r="F33" s="173">
        <v>42720</v>
      </c>
      <c r="G33" s="162" t="s">
        <v>537</v>
      </c>
      <c r="H33" s="162" t="s">
        <v>537</v>
      </c>
      <c r="I33" s="174"/>
      <c r="J33" s="152"/>
      <c r="K33" s="153"/>
    </row>
    <row r="34" spans="1:11" ht="63" x14ac:dyDescent="0.25">
      <c r="A34" s="156" t="s">
        <v>501</v>
      </c>
      <c r="B34" s="165" t="s">
        <v>500</v>
      </c>
      <c r="C34" s="162" t="s">
        <v>435</v>
      </c>
      <c r="D34" s="162" t="s">
        <v>435</v>
      </c>
      <c r="E34" s="173" t="s">
        <v>435</v>
      </c>
      <c r="F34" s="173" t="s">
        <v>435</v>
      </c>
      <c r="G34" s="162" t="s">
        <v>537</v>
      </c>
      <c r="H34" s="162" t="s">
        <v>537</v>
      </c>
      <c r="I34" s="174"/>
      <c r="J34" s="154"/>
      <c r="K34" s="154"/>
    </row>
    <row r="35" spans="1:11" ht="31.5" x14ac:dyDescent="0.25">
      <c r="A35" s="156" t="s">
        <v>502</v>
      </c>
      <c r="B35" s="165" t="s">
        <v>193</v>
      </c>
      <c r="C35" s="162">
        <v>44580</v>
      </c>
      <c r="D35" s="162">
        <v>44611</v>
      </c>
      <c r="E35" s="173">
        <v>42731</v>
      </c>
      <c r="F35" s="173">
        <v>42731</v>
      </c>
      <c r="G35" s="162" t="s">
        <v>537</v>
      </c>
      <c r="H35" s="162" t="s">
        <v>537</v>
      </c>
      <c r="I35" s="174"/>
      <c r="J35" s="154"/>
      <c r="K35" s="154"/>
    </row>
    <row r="36" spans="1:11" ht="31.5" x14ac:dyDescent="0.25">
      <c r="A36" s="156" t="s">
        <v>504</v>
      </c>
      <c r="B36" s="165" t="s">
        <v>503</v>
      </c>
      <c r="C36" s="162" t="s">
        <v>435</v>
      </c>
      <c r="D36" s="162" t="s">
        <v>435</v>
      </c>
      <c r="E36" s="173">
        <v>42993</v>
      </c>
      <c r="F36" s="173">
        <v>42993</v>
      </c>
      <c r="G36" s="162" t="s">
        <v>537</v>
      </c>
      <c r="H36" s="162" t="s">
        <v>537</v>
      </c>
      <c r="I36" s="174"/>
      <c r="J36" s="164"/>
      <c r="K36" s="153"/>
    </row>
    <row r="37" spans="1:11" x14ac:dyDescent="0.25">
      <c r="A37" s="156" t="s">
        <v>505</v>
      </c>
      <c r="B37" s="165" t="s">
        <v>192</v>
      </c>
      <c r="C37" s="162" t="s">
        <v>435</v>
      </c>
      <c r="D37" s="162" t="s">
        <v>435</v>
      </c>
      <c r="E37" s="173">
        <v>43054</v>
      </c>
      <c r="F37" s="173">
        <v>43305</v>
      </c>
      <c r="G37" s="162" t="s">
        <v>537</v>
      </c>
      <c r="H37" s="162" t="s">
        <v>537</v>
      </c>
      <c r="I37" s="174"/>
      <c r="J37" s="155"/>
      <c r="K37" s="153"/>
    </row>
    <row r="38" spans="1:11" x14ac:dyDescent="0.25">
      <c r="A38" s="163" t="s">
        <v>506</v>
      </c>
      <c r="B38" s="166" t="s">
        <v>191</v>
      </c>
      <c r="C38" s="162"/>
      <c r="D38" s="162"/>
      <c r="E38" s="173"/>
      <c r="F38" s="173"/>
      <c r="G38" s="162" t="s">
        <v>537</v>
      </c>
      <c r="H38" s="162" t="s">
        <v>537</v>
      </c>
      <c r="I38" s="174"/>
      <c r="J38" s="153"/>
      <c r="K38" s="153"/>
    </row>
    <row r="39" spans="1:11" ht="63" x14ac:dyDescent="0.25">
      <c r="A39" s="156" t="s">
        <v>508</v>
      </c>
      <c r="B39" s="165" t="s">
        <v>507</v>
      </c>
      <c r="C39" s="162">
        <v>44611</v>
      </c>
      <c r="D39" s="162">
        <v>44611</v>
      </c>
      <c r="E39" s="173">
        <v>42843</v>
      </c>
      <c r="F39" s="173">
        <v>42843</v>
      </c>
      <c r="G39" s="162" t="s">
        <v>537</v>
      </c>
      <c r="H39" s="162" t="s">
        <v>537</v>
      </c>
      <c r="I39" s="174"/>
      <c r="J39" s="153"/>
      <c r="K39" s="153"/>
    </row>
    <row r="40" spans="1:11" x14ac:dyDescent="0.25">
      <c r="A40" s="156" t="s">
        <v>510</v>
      </c>
      <c r="B40" s="165" t="s">
        <v>509</v>
      </c>
      <c r="C40" s="162">
        <v>44611</v>
      </c>
      <c r="D40" s="162">
        <v>44681</v>
      </c>
      <c r="E40" s="173">
        <v>43038</v>
      </c>
      <c r="F40" s="173">
        <v>43038</v>
      </c>
      <c r="G40" s="162" t="s">
        <v>537</v>
      </c>
      <c r="H40" s="162" t="s">
        <v>537</v>
      </c>
      <c r="I40" s="174"/>
      <c r="J40" s="153"/>
      <c r="K40" s="153"/>
    </row>
    <row r="41" spans="1:11" ht="47.25" x14ac:dyDescent="0.25">
      <c r="A41" s="156" t="s">
        <v>512</v>
      </c>
      <c r="B41" s="166" t="s">
        <v>511</v>
      </c>
      <c r="C41" s="162"/>
      <c r="D41" s="162"/>
      <c r="E41" s="173"/>
      <c r="F41" s="173"/>
      <c r="G41" s="162" t="s">
        <v>537</v>
      </c>
      <c r="H41" s="162" t="s">
        <v>537</v>
      </c>
      <c r="I41" s="174"/>
      <c r="J41" s="153"/>
      <c r="K41" s="153"/>
    </row>
    <row r="42" spans="1:11" ht="31.5" x14ac:dyDescent="0.25">
      <c r="A42" s="156" t="s">
        <v>514</v>
      </c>
      <c r="B42" s="165" t="s">
        <v>513</v>
      </c>
      <c r="C42" s="162" t="s">
        <v>435</v>
      </c>
      <c r="D42" s="162" t="s">
        <v>435</v>
      </c>
      <c r="E42" s="173">
        <v>43070</v>
      </c>
      <c r="F42" s="173">
        <v>43097</v>
      </c>
      <c r="G42" s="162" t="s">
        <v>537</v>
      </c>
      <c r="H42" s="162" t="s">
        <v>537</v>
      </c>
      <c r="I42" s="174"/>
      <c r="J42" s="153"/>
      <c r="K42" s="153"/>
    </row>
    <row r="43" spans="1:11" x14ac:dyDescent="0.25">
      <c r="A43" s="156" t="s">
        <v>515</v>
      </c>
      <c r="B43" s="165" t="s">
        <v>190</v>
      </c>
      <c r="C43" s="185">
        <v>44681</v>
      </c>
      <c r="D43" s="185">
        <v>44681</v>
      </c>
      <c r="E43" s="173">
        <v>43054</v>
      </c>
      <c r="F43" s="173">
        <v>43218</v>
      </c>
      <c r="G43" s="162" t="s">
        <v>537</v>
      </c>
      <c r="H43" s="162" t="s">
        <v>537</v>
      </c>
      <c r="I43" s="174"/>
      <c r="J43" s="153"/>
      <c r="K43" s="153"/>
    </row>
    <row r="44" spans="1:11" x14ac:dyDescent="0.25">
      <c r="A44" s="156" t="s">
        <v>516</v>
      </c>
      <c r="B44" s="165" t="s">
        <v>189</v>
      </c>
      <c r="C44" s="185">
        <v>44681</v>
      </c>
      <c r="D44" s="185">
        <v>44742</v>
      </c>
      <c r="E44" s="173">
        <v>43084</v>
      </c>
      <c r="F44" s="173">
        <v>43266</v>
      </c>
      <c r="G44" s="162" t="s">
        <v>537</v>
      </c>
      <c r="H44" s="162" t="s">
        <v>537</v>
      </c>
      <c r="I44" s="174"/>
      <c r="J44" s="153"/>
      <c r="K44" s="153"/>
    </row>
    <row r="45" spans="1:11" ht="78.75" x14ac:dyDescent="0.25">
      <c r="A45" s="156" t="s">
        <v>518</v>
      </c>
      <c r="B45" s="165" t="s">
        <v>517</v>
      </c>
      <c r="C45" s="185" t="s">
        <v>435</v>
      </c>
      <c r="D45" s="185" t="s">
        <v>435</v>
      </c>
      <c r="E45" s="173"/>
      <c r="F45" s="173"/>
      <c r="G45" s="162" t="s">
        <v>537</v>
      </c>
      <c r="H45" s="162" t="s">
        <v>537</v>
      </c>
      <c r="I45" s="174"/>
      <c r="J45" s="153"/>
      <c r="K45" s="153"/>
    </row>
    <row r="46" spans="1:11" ht="157.5" x14ac:dyDescent="0.25">
      <c r="A46" s="156" t="s">
        <v>520</v>
      </c>
      <c r="B46" s="165" t="s">
        <v>519</v>
      </c>
      <c r="C46" s="185" t="s">
        <v>435</v>
      </c>
      <c r="D46" s="185" t="s">
        <v>435</v>
      </c>
      <c r="E46" s="173">
        <v>43319</v>
      </c>
      <c r="F46" s="173">
        <v>43319</v>
      </c>
      <c r="G46" s="162" t="s">
        <v>537</v>
      </c>
      <c r="H46" s="162" t="s">
        <v>537</v>
      </c>
      <c r="I46" s="174"/>
      <c r="J46" s="153"/>
      <c r="K46" s="153"/>
    </row>
    <row r="47" spans="1:11" x14ac:dyDescent="0.25">
      <c r="A47" s="156" t="s">
        <v>530</v>
      </c>
      <c r="B47" s="165" t="s">
        <v>188</v>
      </c>
      <c r="C47" s="186">
        <v>44742</v>
      </c>
      <c r="D47" s="185">
        <v>44772</v>
      </c>
      <c r="E47" s="173">
        <v>43220</v>
      </c>
      <c r="F47" s="173">
        <v>43318</v>
      </c>
      <c r="G47" s="162" t="s">
        <v>537</v>
      </c>
      <c r="H47" s="162" t="s">
        <v>537</v>
      </c>
      <c r="I47" s="174"/>
      <c r="J47" s="153"/>
      <c r="K47" s="153"/>
    </row>
    <row r="48" spans="1:11" ht="31.5" x14ac:dyDescent="0.25">
      <c r="A48" s="156" t="s">
        <v>521</v>
      </c>
      <c r="B48" s="166" t="s">
        <v>187</v>
      </c>
      <c r="C48" s="162"/>
      <c r="D48" s="162"/>
      <c r="E48" s="173"/>
      <c r="F48" s="173"/>
      <c r="G48" s="162" t="s">
        <v>537</v>
      </c>
      <c r="H48" s="162" t="s">
        <v>537</v>
      </c>
      <c r="I48" s="174"/>
      <c r="J48" s="153"/>
      <c r="K48" s="153"/>
    </row>
    <row r="49" spans="1:11" ht="31.5" x14ac:dyDescent="0.25">
      <c r="A49" s="156" t="s">
        <v>531</v>
      </c>
      <c r="B49" s="165" t="s">
        <v>186</v>
      </c>
      <c r="C49" s="162">
        <v>44772</v>
      </c>
      <c r="D49" s="162">
        <v>44772</v>
      </c>
      <c r="E49" s="173">
        <v>43318</v>
      </c>
      <c r="F49" s="173">
        <v>43320</v>
      </c>
      <c r="G49" s="162" t="s">
        <v>537</v>
      </c>
      <c r="H49" s="162" t="s">
        <v>537</v>
      </c>
      <c r="I49" s="174"/>
      <c r="J49" s="153"/>
      <c r="K49" s="153"/>
    </row>
    <row r="50" spans="1:11" ht="78.75" x14ac:dyDescent="0.25">
      <c r="A50" s="163" t="s">
        <v>523</v>
      </c>
      <c r="B50" s="165" t="s">
        <v>522</v>
      </c>
      <c r="C50" s="162">
        <v>44772</v>
      </c>
      <c r="D50" s="162">
        <v>44784</v>
      </c>
      <c r="E50" s="173">
        <v>43343</v>
      </c>
      <c r="F50" s="173">
        <v>43343</v>
      </c>
      <c r="G50" s="162" t="s">
        <v>537</v>
      </c>
      <c r="H50" s="162" t="s">
        <v>537</v>
      </c>
      <c r="I50" s="174"/>
      <c r="J50" s="153"/>
      <c r="K50" s="153"/>
    </row>
    <row r="51" spans="1:11" ht="63" x14ac:dyDescent="0.25">
      <c r="A51" s="156" t="s">
        <v>525</v>
      </c>
      <c r="B51" s="165" t="s">
        <v>524</v>
      </c>
      <c r="C51" s="162">
        <v>44784</v>
      </c>
      <c r="D51" s="162">
        <v>44784</v>
      </c>
      <c r="E51" s="173">
        <v>43343</v>
      </c>
      <c r="F51" s="173">
        <v>43343</v>
      </c>
      <c r="G51" s="162" t="s">
        <v>537</v>
      </c>
      <c r="H51" s="162" t="s">
        <v>537</v>
      </c>
      <c r="I51" s="174"/>
      <c r="J51" s="153"/>
      <c r="K51" s="153"/>
    </row>
    <row r="52" spans="1:11" ht="63" x14ac:dyDescent="0.25">
      <c r="A52" s="156" t="s">
        <v>526</v>
      </c>
      <c r="B52" s="165" t="s">
        <v>185</v>
      </c>
      <c r="C52" s="162"/>
      <c r="D52" s="162">
        <v>44784</v>
      </c>
      <c r="E52" s="173"/>
      <c r="F52" s="173"/>
      <c r="G52" s="162" t="s">
        <v>537</v>
      </c>
      <c r="H52" s="162" t="s">
        <v>537</v>
      </c>
      <c r="I52" s="174"/>
      <c r="J52" s="153"/>
      <c r="K52" s="153"/>
    </row>
    <row r="53" spans="1:11" ht="31.5" x14ac:dyDescent="0.25">
      <c r="A53" s="156" t="s">
        <v>528</v>
      </c>
      <c r="B53" s="165" t="s">
        <v>527</v>
      </c>
      <c r="C53" s="187">
        <v>44784</v>
      </c>
      <c r="D53" s="187">
        <v>44784</v>
      </c>
      <c r="E53" s="173">
        <v>43343</v>
      </c>
      <c r="F53" s="173">
        <v>43343</v>
      </c>
      <c r="G53" s="162" t="s">
        <v>537</v>
      </c>
      <c r="H53" s="162" t="s">
        <v>537</v>
      </c>
      <c r="I53" s="174"/>
      <c r="J53" s="153"/>
      <c r="K53" s="153"/>
    </row>
    <row r="54" spans="1:11" ht="31.5" x14ac:dyDescent="0.25">
      <c r="A54" s="156" t="s">
        <v>532</v>
      </c>
      <c r="B54" s="165" t="s">
        <v>184</v>
      </c>
      <c r="C54" s="187">
        <v>44784</v>
      </c>
      <c r="D54" s="187">
        <v>44784</v>
      </c>
      <c r="E54" s="173">
        <v>43353</v>
      </c>
      <c r="F54" s="173">
        <v>43353</v>
      </c>
      <c r="G54" s="162" t="s">
        <v>537</v>
      </c>
      <c r="H54" s="162" t="s">
        <v>537</v>
      </c>
      <c r="I54" s="174"/>
      <c r="J54" s="153"/>
      <c r="K54" s="153"/>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2023-03-26T00:32:00Z</dcterms:modified>
</cp:coreProperties>
</file>