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Пользователь\Desktop\2023\2023 _кор ИПР\05.04.2023\паспорта,карты,ф 20, ст-сти\L  21-09\L 21-09_паспорт_карта\"/>
    </mc:Choice>
  </mc:AlternateContent>
  <xr:revisionPtr revIDLastSave="0" documentId="13_ncr:1_{CF27E3B9-FA06-46AD-B9E1-15E0BAF89691}" xr6:coauthVersionLast="47" xr6:coauthVersionMax="47" xr10:uidLastSave="{00000000-0000-0000-0000-000000000000}"/>
  <bookViews>
    <workbookView xWindow="-120" yWindow="-120" windowWidth="29040" windowHeight="1584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C54" i="29" l="1"/>
  <c r="AC33" i="29"/>
  <c r="I118" i="30"/>
  <c r="N33" i="29"/>
  <c r="S22" i="12"/>
  <c r="D43" i="29" l="1"/>
  <c r="R43" i="29"/>
  <c r="R52" i="29" s="1"/>
  <c r="R58" i="29" s="1"/>
  <c r="R29" i="29"/>
  <c r="R25" i="29"/>
  <c r="R26" i="29"/>
  <c r="R27" i="29"/>
  <c r="F43" i="29"/>
  <c r="D58" i="29"/>
  <c r="D52" i="29"/>
  <c r="D24" i="29"/>
  <c r="D28" i="29" s="1"/>
  <c r="D49" i="29" l="1"/>
  <c r="D45" i="29"/>
  <c r="E45" i="29" s="1"/>
  <c r="F29" i="29"/>
  <c r="F31" i="29"/>
  <c r="R31" i="29" s="1"/>
  <c r="F32" i="29"/>
  <c r="F34" i="29"/>
  <c r="R34" i="29" s="1"/>
  <c r="F35" i="29"/>
  <c r="F36" i="29"/>
  <c r="F37" i="29"/>
  <c r="F38" i="29"/>
  <c r="F39" i="29"/>
  <c r="F40" i="29"/>
  <c r="F41" i="29"/>
  <c r="F42" i="29"/>
  <c r="F44" i="29"/>
  <c r="F46" i="29"/>
  <c r="F47" i="29"/>
  <c r="F48" i="29"/>
  <c r="F50" i="29"/>
  <c r="F51" i="29"/>
  <c r="F53" i="29"/>
  <c r="F55" i="29"/>
  <c r="F57" i="29"/>
  <c r="F59" i="29"/>
  <c r="F60" i="29"/>
  <c r="F61" i="29"/>
  <c r="F62" i="29"/>
  <c r="F63" i="29"/>
  <c r="F64" i="29"/>
  <c r="F25" i="29"/>
  <c r="F26" i="29"/>
  <c r="F27" i="29"/>
  <c r="F28" i="29"/>
  <c r="R28" i="29" s="1"/>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D56" i="29"/>
  <c r="E56" i="29" s="1"/>
  <c r="D54" i="29"/>
  <c r="N24" i="29"/>
  <c r="N56" i="29"/>
  <c r="N49" i="29"/>
  <c r="N45" i="29"/>
  <c r="N54" i="29" s="1"/>
  <c r="N58" i="29"/>
  <c r="F58" i="29" s="1"/>
  <c r="AC58" i="29" l="1"/>
  <c r="F24" i="29"/>
  <c r="R24" i="29" s="1"/>
  <c r="AC24" i="29"/>
  <c r="F45" i="29"/>
  <c r="F49" i="29"/>
  <c r="F54" i="29"/>
  <c r="F56" i="29"/>
  <c r="E54" i="29"/>
  <c r="B24" i="26"/>
  <c r="F52" i="29"/>
  <c r="F30" i="29"/>
  <c r="E49" i="29"/>
  <c r="C92" i="30"/>
  <c r="D92" i="30" s="1"/>
  <c r="E92" i="30" s="1"/>
  <c r="F92" i="30" s="1"/>
  <c r="G92" i="30" s="1"/>
  <c r="H92" i="30" s="1"/>
  <c r="I92" i="30" s="1"/>
  <c r="J92" i="30" s="1"/>
  <c r="K92" i="30" s="1"/>
  <c r="L92" i="30" s="1"/>
  <c r="C51" i="7" l="1"/>
  <c r="B25" i="26"/>
  <c r="H140" i="30"/>
  <c r="H141" i="30" s="1"/>
  <c r="C73" i="30" s="1"/>
  <c r="N25" i="29"/>
  <c r="N26" i="29"/>
  <c r="N29" i="29"/>
  <c r="N35" i="29"/>
  <c r="N36" i="29"/>
  <c r="N38" i="29"/>
  <c r="N39" i="29"/>
  <c r="N40" i="29"/>
  <c r="N44" i="29"/>
  <c r="N46" i="29"/>
  <c r="N47" i="29"/>
  <c r="N48" i="29"/>
  <c r="N51" i="29"/>
  <c r="N53" i="29"/>
  <c r="N55" i="29"/>
  <c r="N59" i="29"/>
  <c r="N60" i="29"/>
  <c r="N62" i="29"/>
  <c r="N63" i="29"/>
  <c r="B27" i="26"/>
  <c r="C50" i="7" l="1"/>
  <c r="C126" i="30"/>
  <c r="B81" i="30" s="1"/>
  <c r="A15" i="6" l="1"/>
  <c r="C22" i="6" s="1"/>
  <c r="AC64" i="29" l="1"/>
  <c r="AC61" i="29"/>
  <c r="AC57" i="29"/>
  <c r="AC52" i="29"/>
  <c r="AC50" i="29"/>
  <c r="AC45" i="29"/>
  <c r="AC42" i="29"/>
  <c r="AC37" i="29"/>
  <c r="AC34" i="29"/>
  <c r="AC28" i="29"/>
  <c r="Z27" i="29"/>
  <c r="AA24" i="29"/>
  <c r="V27" i="29"/>
  <c r="AC27" i="29" s="1"/>
  <c r="W24" i="29"/>
  <c r="AC30" i="29"/>
  <c r="O24" i="29"/>
  <c r="AC29" i="29"/>
  <c r="K24" i="29"/>
  <c r="B22" i="26" l="1"/>
  <c r="D81" i="30" l="1"/>
  <c r="AC59" i="29" l="1"/>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F33" i="29" l="1"/>
  <c r="C105" i="30" l="1"/>
  <c r="G28" i="30"/>
  <c r="B89" i="30"/>
  <c r="B84" i="30"/>
  <c r="AI89" i="30"/>
  <c r="AI84" i="30"/>
  <c r="AC90" i="30"/>
  <c r="AC87" i="30"/>
  <c r="AB89" i="30"/>
  <c r="AB84" i="30"/>
  <c r="W86" i="30"/>
  <c r="W83" i="30"/>
  <c r="W79" i="30"/>
  <c r="AA86" i="30"/>
  <c r="AA83" i="30"/>
  <c r="AA79" i="30"/>
  <c r="AO89" i="30"/>
  <c r="AO84" i="30"/>
  <c r="U90" i="30"/>
  <c r="U87" i="30"/>
  <c r="Z90" i="30"/>
  <c r="Z87" i="30"/>
  <c r="F89" i="30"/>
  <c r="F84" i="30"/>
  <c r="T86" i="30"/>
  <c r="T83" i="30"/>
  <c r="T79" i="30"/>
  <c r="AD89" i="30"/>
  <c r="AD84" i="30"/>
  <c r="N89" i="30"/>
  <c r="N84" i="30"/>
  <c r="AF86" i="30"/>
  <c r="AF83" i="30"/>
  <c r="AF79" i="30"/>
  <c r="AP86" i="30"/>
  <c r="AP83" i="30"/>
  <c r="AP79" i="30"/>
  <c r="U86" i="30"/>
  <c r="U83" i="30"/>
  <c r="U79" i="30"/>
  <c r="M86" i="30"/>
  <c r="M83" i="30"/>
  <c r="M79" i="30"/>
  <c r="O89" i="30"/>
  <c r="O84" i="30"/>
  <c r="A105" i="30"/>
  <c r="G30" i="30"/>
  <c r="AE89" i="30"/>
  <c r="AE84" i="30"/>
  <c r="AJ86" i="30"/>
  <c r="AJ83" i="30"/>
  <c r="AJ79" i="30"/>
  <c r="E89" i="30"/>
  <c r="E84" i="30"/>
  <c r="R86" i="30"/>
  <c r="R83" i="30"/>
  <c r="R79" i="30"/>
  <c r="M90" i="30"/>
  <c r="M87" i="30"/>
  <c r="Y86" i="30"/>
  <c r="Y83" i="30"/>
  <c r="Y79" i="30"/>
  <c r="K90" i="30"/>
  <c r="K87" i="30"/>
  <c r="P86" i="30"/>
  <c r="P83" i="30"/>
  <c r="P79" i="30"/>
  <c r="D90" i="30"/>
  <c r="D87" i="30"/>
  <c r="L89" i="30"/>
  <c r="L84" i="30"/>
  <c r="AK89" i="30"/>
  <c r="AK84" i="30"/>
  <c r="AO86" i="30"/>
  <c r="AO83" i="30"/>
  <c r="AO79" i="30"/>
  <c r="Q89" i="30"/>
  <c r="Q84" i="30"/>
  <c r="AD90" i="30"/>
  <c r="AD87" i="30"/>
  <c r="AF89" i="30"/>
  <c r="AF84" i="30"/>
  <c r="S86" i="30"/>
  <c r="S83" i="30"/>
  <c r="S79" i="30"/>
  <c r="W90" i="30"/>
  <c r="W87" i="30"/>
  <c r="AI86" i="30"/>
  <c r="AI83" i="30"/>
  <c r="AI79" i="30"/>
  <c r="AN89" i="30"/>
  <c r="AN84" i="30"/>
  <c r="V90" i="30"/>
  <c r="V87" i="30"/>
  <c r="N90" i="30"/>
  <c r="N87" i="30"/>
  <c r="AG90" i="30"/>
  <c r="AG87" i="30"/>
  <c r="AH90" i="30"/>
  <c r="AH87" i="30"/>
  <c r="H89" i="30"/>
  <c r="H84" i="30"/>
  <c r="AD86" i="30"/>
  <c r="AD83" i="30"/>
  <c r="AD79" i="30"/>
  <c r="AH89" i="30"/>
  <c r="AH84" i="30"/>
  <c r="U89" i="30"/>
  <c r="U84" i="30"/>
  <c r="Y90" i="30"/>
  <c r="Y87" i="30"/>
  <c r="G86" i="30"/>
  <c r="G83" i="30"/>
  <c r="G79" i="30"/>
  <c r="V89" i="30"/>
  <c r="V84" i="30"/>
  <c r="Z89" i="30"/>
  <c r="Z84" i="30"/>
  <c r="H90" i="30"/>
  <c r="H87" i="30"/>
  <c r="C79" i="30"/>
  <c r="C83" i="30"/>
  <c r="C86" i="30"/>
  <c r="C89" i="30"/>
  <c r="C84" i="30"/>
  <c r="Q90" i="30"/>
  <c r="Q87" i="30"/>
  <c r="D79" i="30"/>
  <c r="D83" i="30"/>
  <c r="D86" i="30"/>
  <c r="P90" i="30"/>
  <c r="P87" i="30"/>
  <c r="F86" i="30"/>
  <c r="F83" i="30"/>
  <c r="F79" i="30"/>
  <c r="Q86" i="30"/>
  <c r="Q83" i="30"/>
  <c r="Q79" i="30"/>
  <c r="E79" i="30"/>
  <c r="E83" i="30"/>
  <c r="E86" i="30"/>
  <c r="S90" i="30"/>
  <c r="S87" i="30"/>
  <c r="K79" i="30"/>
  <c r="K83" i="30"/>
  <c r="K86" i="30"/>
  <c r="I90" i="30"/>
  <c r="I87" i="30"/>
  <c r="O79" i="30"/>
  <c r="O83" i="30"/>
  <c r="O86" i="30"/>
  <c r="P89" i="30"/>
  <c r="P84" i="30"/>
  <c r="B102" i="30"/>
  <c r="A101" i="30"/>
  <c r="D89" i="30"/>
  <c r="D84" i="30"/>
  <c r="AA89" i="30"/>
  <c r="AA84" i="30"/>
  <c r="I86" i="30"/>
  <c r="I83" i="30"/>
  <c r="I79" i="30"/>
  <c r="G89" i="30"/>
  <c r="G84" i="30"/>
  <c r="X86" i="30"/>
  <c r="X83" i="30"/>
  <c r="X79" i="30"/>
  <c r="J89" i="30"/>
  <c r="J84" i="30"/>
  <c r="AG89" i="30"/>
  <c r="AG84" i="30"/>
  <c r="T89" i="30"/>
  <c r="T84" i="30"/>
  <c r="W89" i="30"/>
  <c r="W84" i="30"/>
  <c r="C90" i="30"/>
  <c r="C87" i="30"/>
  <c r="AN90" i="30"/>
  <c r="AN87" i="30"/>
  <c r="AI90" i="30"/>
  <c r="AI87" i="30"/>
  <c r="AH79" i="30"/>
  <c r="AH83" i="30"/>
  <c r="AH86" i="30"/>
  <c r="AP89" i="30"/>
  <c r="AP84" i="30"/>
  <c r="AM89" i="30"/>
  <c r="AM84" i="30"/>
  <c r="AL90" i="30"/>
  <c r="AL87" i="30"/>
  <c r="AB90" i="30"/>
  <c r="AB87" i="30"/>
  <c r="K89" i="30"/>
  <c r="K84" i="30"/>
  <c r="AO90" i="30"/>
  <c r="AO87" i="30"/>
  <c r="J90" i="30"/>
  <c r="J87" i="30"/>
  <c r="R90" i="30"/>
  <c r="R87" i="30"/>
  <c r="E90" i="30"/>
  <c r="E87" i="30"/>
  <c r="B87" i="30"/>
  <c r="B90" i="30"/>
  <c r="G29" i="30"/>
  <c r="D105" i="30"/>
  <c r="AJ89" i="30"/>
  <c r="AJ84" i="30"/>
  <c r="Y89" i="30"/>
  <c r="Y84" i="30"/>
  <c r="J79" i="30"/>
  <c r="J83" i="30"/>
  <c r="J86" i="30"/>
  <c r="G90" i="30"/>
  <c r="G87" i="30"/>
  <c r="H79" i="30"/>
  <c r="H83" i="30"/>
  <c r="H86" i="30"/>
  <c r="AF90" i="30"/>
  <c r="AF87" i="30"/>
  <c r="M89" i="30"/>
  <c r="M84" i="30"/>
  <c r="AC89" i="30"/>
  <c r="AC84" i="30"/>
  <c r="AE79" i="30"/>
  <c r="AE83" i="30"/>
  <c r="AE86" i="30"/>
  <c r="R89" i="30"/>
  <c r="R84" i="30"/>
  <c r="I89" i="30"/>
  <c r="I84" i="30"/>
  <c r="AA90" i="30"/>
  <c r="AA87" i="30"/>
  <c r="B105" i="30"/>
  <c r="L88" i="30"/>
  <c r="L79" i="30"/>
  <c r="L83" i="30"/>
  <c r="L86" i="30"/>
  <c r="O90" i="30"/>
  <c r="O87" i="30"/>
  <c r="AK79" i="30"/>
  <c r="AK83" i="30"/>
  <c r="AK86" i="30"/>
  <c r="AB79" i="30"/>
  <c r="AB83" i="30"/>
  <c r="AB86" i="30"/>
  <c r="S89" i="30"/>
  <c r="S84" i="30"/>
  <c r="T90" i="30"/>
  <c r="T87" i="30"/>
  <c r="AL79" i="30"/>
  <c r="AL83" i="30"/>
  <c r="AL86" i="30"/>
  <c r="AJ90" i="30"/>
  <c r="AJ87" i="30"/>
  <c r="X90" i="30"/>
  <c r="X87" i="30"/>
  <c r="X89" i="30"/>
  <c r="X84" i="30"/>
  <c r="Z79" i="30"/>
  <c r="Z83" i="30"/>
  <c r="Z86" i="30"/>
  <c r="N79" i="30"/>
  <c r="N83" i="30"/>
  <c r="N86" i="30"/>
  <c r="AM90" i="30"/>
  <c r="AM87" i="30"/>
  <c r="AP87" i="30"/>
  <c r="AP90" i="30"/>
  <c r="AE90" i="30"/>
  <c r="AE87" i="30"/>
  <c r="AN79" i="30"/>
  <c r="AN83" i="30"/>
  <c r="AN86" i="30"/>
  <c r="F90" i="30"/>
  <c r="F87" i="30"/>
  <c r="V79" i="30"/>
  <c r="V83" i="30"/>
  <c r="V86" i="30"/>
  <c r="L87" i="30"/>
  <c r="L90" i="30"/>
  <c r="AL89" i="30"/>
  <c r="AL84" i="30"/>
  <c r="AM79" i="30"/>
  <c r="AM83" i="30"/>
  <c r="AM86" i="30"/>
  <c r="AC79" i="30"/>
  <c r="AC83" i="30"/>
  <c r="AC86" i="30"/>
  <c r="AK90" i="30"/>
  <c r="B86" i="30"/>
  <c r="AK87" i="30"/>
  <c r="AG79" i="30"/>
  <c r="AG83" i="30"/>
  <c r="AG86" i="30"/>
  <c r="Z88" i="30"/>
  <c r="AF88" i="30"/>
  <c r="N88" i="30"/>
  <c r="AO88" i="30"/>
  <c r="U88" i="30"/>
  <c r="J88" i="30"/>
  <c r="D88" i="30"/>
  <c r="AL88" i="30"/>
  <c r="H88" i="30"/>
  <c r="X88" i="30"/>
  <c r="K88" i="30"/>
  <c r="F88" i="30"/>
  <c r="E88" i="30"/>
  <c r="G88" i="30"/>
  <c r="AC88" i="30"/>
  <c r="W88" i="30"/>
  <c r="AN88" i="30"/>
  <c r="AH88" i="30"/>
  <c r="T88" i="30"/>
  <c r="AI88" i="30"/>
  <c r="AM88" i="30"/>
  <c r="R88" i="30"/>
  <c r="AG88" i="30"/>
  <c r="P88" i="30"/>
  <c r="AE88" i="30"/>
  <c r="Y88" i="30"/>
  <c r="S88" i="30"/>
  <c r="B88" i="30"/>
  <c r="I88" i="30"/>
  <c r="AK88" i="30"/>
  <c r="AP88" i="30"/>
  <c r="Q88" i="30"/>
  <c r="O88" i="30"/>
  <c r="C88" i="30"/>
  <c r="AJ88" i="30"/>
  <c r="M88" i="30"/>
  <c r="V88" i="30"/>
  <c r="AB88" i="30"/>
  <c r="AD88" i="30"/>
  <c r="B79" i="30"/>
  <c r="B83" i="30"/>
  <c r="AA88" i="30"/>
</calcChain>
</file>

<file path=xl/sharedStrings.xml><?xml version="1.0" encoding="utf-8"?>
<sst xmlns="http://schemas.openxmlformats.org/spreadsheetml/2006/main" count="1452" uniqueCount="651">
  <si>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</si>
  <si>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</si>
  <si>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</si>
  <si>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</si>
  <si>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</si>
  <si>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</si>
  <si>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</si>
  <si>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</si>
  <si>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</si>
  <si>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</si>
  <si>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</si>
  <si>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</si>
  <si>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</si>
  <si>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</si>
  <si>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</si>
  <si>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</si>
  <si>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</si>
  <si>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</si>
  <si>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</si>
  <si>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</si>
  <si>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</si>
  <si>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</si>
  <si>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</si>
  <si>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</si>
  <si>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</si>
  <si>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</si>
  <si>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</si>
  <si>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</si>
  <si>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</si>
  <si>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</si>
  <si>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</si>
  <si>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</si>
  <si>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</si>
  <si>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</si>
  <si>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</si>
  <si>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</si>
  <si>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</si>
  <si>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</si>
  <si>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</si>
  <si>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</si>
  <si>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</si>
  <si>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</si>
  <si>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</si>
  <si>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</si>
  <si>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</si>
  <si>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</si>
  <si>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</si>
  <si>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</si>
  <si>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</si>
  <si>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</si>
  <si>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</si>
  <si>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</si>
  <si>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</si>
  <si>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</si>
  <si>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</si>
  <si>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</si>
  <si>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</si>
  <si>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</si>
  <si>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</si>
  <si>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</si>
  <si>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</si>
  <si>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</si>
  <si>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</si>
  <si>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</si>
  <si>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</si>
  <si>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</si>
  <si>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</si>
  <si>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</si>
  <si>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</si>
  <si>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</si>
  <si>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</si>
  <si>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</si>
  <si>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</si>
  <si>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</si>
  <si>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</si>
  <si>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</si>
  <si>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</si>
  <si>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</si>
  <si>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</si>
  <si>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</si>
  <si>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</si>
  <si>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</si>
  <si>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</si>
  <si>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</si>
  <si>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</si>
  <si>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</si>
  <si>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</si>
  <si>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</si>
  <si>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</si>
  <si>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</si>
  <si>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</si>
  <si>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</si>
  <si>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</si>
  <si>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</si>
  <si>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</si>
  <si>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</si>
  <si>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</si>
  <si>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</si>
  <si>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</si>
  <si>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</si>
  <si>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</si>
  <si>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</si>
  <si>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</si>
  <si>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</si>
  <si>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</si>
  <si>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</si>
  <si>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</si>
  <si>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</si>
  <si>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</si>
  <si>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</si>
  <si>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</si>
  <si>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</si>
  <si>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</si>
  <si>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</si>
  <si>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</si>
  <si>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</si>
  <si>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</si>
  <si>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</si>
  <si>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</si>
  <si>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</si>
  <si>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</si>
  <si>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</si>
  <si>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</si>
  <si>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</si>
  <si>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</si>
  <si>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</si>
  <si>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</si>
  <si>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</si>
  <si>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</si>
  <si>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</si>
  <si>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</si>
  <si>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</si>
  <si>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</si>
  <si>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</si>
  <si>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</si>
  <si>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</si>
  <si>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</si>
  <si>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</si>
  <si>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</si>
  <si>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</si>
  <si>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</si>
  <si>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</si>
  <si>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</si>
  <si>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</si>
  <si>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</si>
  <si>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</si>
  <si>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</si>
  <si>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</si>
  <si>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</si>
  <si>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</si>
  <si>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</si>
  <si>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</si>
  <si>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</si>
  <si>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</si>
  <si>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</si>
  <si>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</si>
  <si>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</si>
  <si>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</si>
  <si>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</si>
  <si>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</si>
  <si>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</si>
  <si>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</si>
  <si>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</si>
  <si>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</si>
  <si>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</si>
  <si>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</si>
  <si>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</si>
  <si>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</si>
  <si>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</si>
  <si>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</si>
  <si>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</si>
  <si>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</si>
  <si>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</si>
  <si>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</si>
  <si>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</si>
  <si>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</si>
  <si>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</si>
  <si>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</si>
  <si>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</si>
  <si>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</si>
  <si>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</si>
  <si>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</si>
  <si>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</si>
  <si>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</si>
  <si>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</si>
  <si>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</si>
  <si>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</si>
  <si>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</si>
  <si>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</si>
  <si>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</si>
  <si>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</si>
  <si>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</si>
  <si>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</si>
  <si>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</si>
  <si>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</si>
  <si>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</si>
  <si>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</si>
  <si>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</si>
  <si>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</si>
  <si>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</si>
  <si>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</si>
  <si>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</si>
  <si>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</si>
  <si>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</si>
  <si>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</si>
  <si>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</si>
  <si>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</si>
  <si>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</si>
  <si>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</si>
  <si>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</si>
  <si>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</si>
  <si>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</si>
  <si>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</si>
  <si>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</si>
  <si>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</si>
  <si>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</si>
  <si>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</si>
  <si>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</si>
  <si>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</si>
  <si>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</si>
  <si>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</si>
  <si>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</si>
  <si>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</si>
  <si>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</si>
  <si>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</si>
  <si>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</si>
  <si>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</si>
  <si>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</si>
  <si>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</si>
  <si>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</si>
  <si>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</si>
  <si>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</si>
  <si>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</si>
  <si>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</si>
  <si>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</si>
  <si>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</si>
  <si>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</si>
  <si>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</si>
  <si>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</si>
  <si>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</si>
  <si>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</si>
  <si>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</si>
  <si>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</si>
  <si>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</si>
  <si>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</si>
  <si>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</si>
  <si>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</si>
  <si>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</si>
  <si>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</si>
  <si>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</si>
  <si>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</si>
  <si>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</si>
  <si>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</si>
  <si>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</si>
  <si>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</si>
  <si>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</si>
  <si>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</si>
  <si>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</si>
  <si>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</si>
  <si>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</si>
  <si>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</si>
  <si>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</si>
  <si>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</si>
  <si>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</si>
  <si>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</si>
  <si>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</si>
  <si>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</si>
  <si>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</si>
  <si>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</si>
  <si>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</si>
  <si>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</si>
  <si>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</si>
  <si>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</si>
  <si>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</si>
  <si>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</si>
  <si>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</si>
  <si>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</si>
  <si>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</si>
  <si>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</si>
  <si>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</si>
  <si>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</si>
  <si>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</si>
  <si>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</si>
  <si>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</si>
  <si>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</si>
  <si>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</si>
  <si>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</si>
  <si>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</si>
  <si>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</si>
  <si>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</si>
  <si>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</si>
  <si>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</si>
  <si>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</si>
  <si>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</si>
  <si>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</si>
  <si>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</si>
  <si>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</si>
  <si>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</si>
  <si>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</si>
  <si>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</si>
  <si>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</si>
  <si>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</si>
  <si>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</si>
  <si>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</si>
  <si>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</si>
  <si>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</si>
  <si>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</si>
  <si>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</si>
  <si>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</si>
  <si>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</si>
  <si>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</si>
  <si>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</si>
  <si>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</si>
  <si>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</si>
  <si>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</si>
  <si>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</si>
  <si>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</si>
  <si>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</si>
  <si>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</si>
  <si>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</si>
  <si>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</si>
  <si>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</si>
  <si>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</si>
  <si>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</si>
  <si>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</si>
  <si>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</si>
  <si>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</si>
  <si>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</si>
  <si>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</si>
  <si>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</si>
  <si>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</si>
  <si>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</si>
  <si>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</si>
  <si>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</si>
  <si>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</si>
  <si>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</si>
  <si>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</si>
  <si>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</si>
  <si>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</si>
  <si>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</si>
  <si>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</si>
  <si>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</si>
  <si>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</si>
  <si>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</si>
  <si>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</si>
  <si>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</si>
  <si>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</si>
  <si>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</si>
  <si>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</si>
  <si>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</si>
  <si>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</si>
  <si>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</si>
  <si>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</si>
  <si>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</si>
  <si>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</si>
  <si>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</si>
  <si>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</si>
  <si>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</si>
  <si>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</si>
  <si>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</si>
  <si>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</si>
  <si>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</si>
  <si>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</si>
  <si>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</si>
  <si>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</si>
  <si>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</si>
  <si>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</si>
  <si>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</si>
  <si>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</si>
  <si>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</si>
  <si>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</si>
  <si>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</si>
  <si>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</si>
  <si>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</si>
  <si>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</si>
  <si>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</si>
  <si>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</si>
  <si>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</si>
  <si>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</si>
  <si>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</si>
  <si>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</si>
  <si>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</si>
  <si>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</si>
  <si>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</si>
  <si>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</si>
  <si>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</si>
  <si>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</si>
  <si>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</si>
  <si>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</si>
  <si>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</si>
  <si>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</si>
  <si>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</si>
  <si>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</si>
  <si>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</si>
  <si>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</si>
  <si>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</si>
  <si>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</si>
  <si>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</si>
  <si>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</si>
  <si>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</si>
  <si>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</si>
  <si>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</si>
  <si>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</si>
  <si>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</si>
  <si>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</si>
  <si>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</si>
  <si>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</si>
  <si>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</si>
  <si>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</si>
  <si>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</si>
  <si>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</si>
  <si>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</si>
  <si>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</si>
  <si>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</si>
  <si>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</si>
  <si>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</si>
  <si>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</si>
  <si>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</si>
  <si>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</si>
  <si>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</si>
  <si>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</si>
  <si>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</si>
  <si>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</si>
  <si>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</si>
  <si>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</si>
  <si>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</si>
  <si>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</si>
  <si>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</si>
  <si>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</si>
  <si>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</si>
  <si>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</si>
  <si>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</si>
  <si>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</si>
  <si>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</si>
  <si>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</si>
  <si>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</si>
  <si>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</si>
  <si>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</si>
  <si>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</si>
  <si>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</si>
  <si>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</si>
  <si>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</si>
  <si>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</si>
  <si>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</si>
  <si>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</si>
  <si>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</si>
  <si>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</si>
  <si>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</si>
  <si>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</si>
  <si>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</si>
  <si>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</si>
  <si>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</si>
  <si>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</si>
  <si>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</si>
  <si>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</si>
  <si>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</si>
  <si>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</si>
  <si>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</si>
  <si>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</si>
  <si>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</si>
  <si>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</si>
  <si>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</si>
  <si>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</si>
  <si>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</si>
  <si>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</si>
  <si>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</si>
  <si>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</si>
  <si>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</si>
  <si>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</si>
  <si>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</si>
  <si>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</si>
  <si>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</si>
  <si>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</si>
  <si>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</si>
  <si>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</si>
  <si>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</si>
  <si>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</si>
  <si>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</si>
  <si>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</si>
  <si>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</si>
  <si>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</si>
  <si>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</si>
  <si>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</si>
  <si>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</si>
  <si>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</si>
  <si>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</si>
  <si>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</si>
  <si>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</si>
  <si>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</si>
  <si>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</si>
  <si>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</si>
  <si>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</si>
  <si>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</si>
  <si>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</si>
  <si>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</si>
  <si>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</si>
  <si>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</si>
  <si>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</si>
  <si>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</si>
  <si>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</si>
  <si>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</si>
  <si>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</si>
  <si>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</si>
  <si>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</si>
  <si>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</si>
  <si>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</si>
  <si>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</si>
  <si>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</si>
  <si>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</si>
  <si>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</si>
  <si>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</si>
  <si>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</si>
  <si>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</si>
  <si>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</si>
  <si>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</si>
  <si>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</si>
  <si>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</si>
  <si>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</si>
  <si>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</si>
  <si>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</si>
  <si>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</si>
  <si>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</si>
  <si>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</si>
  <si>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</si>
  <si>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</si>
  <si>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</si>
  <si>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</si>
  <si>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</si>
  <si>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</si>
  <si>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</si>
  <si>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</si>
  <si>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</si>
  <si>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</si>
  <si>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</si>
  <si>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</si>
  <si>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</si>
  <si>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</si>
  <si>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</si>
  <si>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</si>
  <si>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</si>
  <si>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</si>
  <si>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</si>
  <si>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</si>
  <si>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</si>
  <si>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</si>
  <si>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</si>
  <si>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</si>
  <si>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</si>
  <si>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</si>
  <si>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</si>
  <si>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</si>
  <si>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</si>
  <si>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</si>
  <si>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</si>
  <si>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</si>
  <si>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</si>
  <si>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</si>
  <si>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</si>
  <si>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</si>
  <si>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</si>
  <si>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</si>
  <si>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</si>
  <si>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</si>
  <si>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</si>
  <si>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</si>
  <si>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</si>
  <si>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</si>
  <si>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</si>
  <si>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</si>
  <si>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</si>
  <si>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</si>
  <si>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</si>
  <si>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</si>
  <si>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</si>
  <si>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</si>
  <si>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</si>
  <si>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</si>
  <si>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</si>
  <si>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</si>
  <si>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</si>
  <si>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</si>
  <si>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</si>
  <si>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</si>
  <si>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</si>
  <si>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</si>
  <si>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</si>
  <si>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</si>
  <si>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</si>
  <si>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</si>
  <si>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</si>
  <si>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</si>
  <si>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</si>
  <si>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</si>
  <si>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</si>
  <si>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</si>
  <si>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</si>
  <si>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</si>
  <si>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</si>
  <si>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</si>
  <si>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</si>
  <si>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</si>
  <si>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</si>
  <si>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</si>
  <si>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</si>
  <si>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</si>
  <si>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</si>
  <si>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</si>
  <si>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</si>
  <si>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</si>
  <si>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</si>
  <si>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</si>
  <si>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</si>
  <si>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0,4</t>
  </si>
  <si>
    <t>ячейки РУ-15кВ 5шт</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</si>
  <si>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</si>
  <si>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</si>
  <si>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</si>
  <si>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</si>
  <si>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</si>
  <si>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</si>
  <si>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</si>
  <si>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</si>
  <si>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</si>
  <si>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</si>
  <si>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</si>
  <si>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</si>
  <si>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</si>
  <si>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</si>
  <si>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</si>
  <si>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КЛ1</t>
  </si>
  <si>
    <t>З</t>
  </si>
  <si>
    <t>завершен</t>
  </si>
  <si>
    <t>введен</t>
  </si>
  <si>
    <t>дошкольное учреждение</t>
  </si>
  <si>
    <t>КЛ2</t>
  </si>
  <si>
    <t>3х120</t>
  </si>
  <si>
    <t>L_21-09</t>
  </si>
  <si>
    <t>Строительство сетей электроснабжения дошкольного учереждения в Калининграде п. Васильково</t>
  </si>
  <si>
    <t xml:space="preserve">п. Васильково </t>
  </si>
  <si>
    <t>показатель увеличения протяженности линий электропередачи в рамках осуществления технологического приоединения к электрическим сетям,   4 КЛ 0,4 кВ  протяженностью 720 м, СП-0,4 кВ</t>
  </si>
  <si>
    <t>05-08/21тп/128 от 07.07.2021</t>
  </si>
  <si>
    <t>п. Васильково г Калининград</t>
  </si>
  <si>
    <t>Строительство   4 КЛ 0,4 кВ сеч 3х120 мм2 протяженностью 4х720 м, СП 0,4 кВ</t>
  </si>
  <si>
    <t>СП 1</t>
  </si>
  <si>
    <t>КЛ3</t>
  </si>
  <si>
    <t>КЛ4</t>
  </si>
  <si>
    <t>СтроительствоСП 0,4 кВ, 4-х КЛ 0,4кВ , протяженностью 4х720 м</t>
  </si>
  <si>
    <t>4 КЛ 0,4 кВ сеч 3х120 мм2, протяженностью 4х0,250 км,  СП-0,4 кВ</t>
  </si>
  <si>
    <t>Строительство сетей электроснабжения дошкольного учереждения в г. Калининграде п. Васильково, создание 2-й категории надёжности электроснабжения.</t>
  </si>
  <si>
    <t>строительво</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</si>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</sst>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5" fontId="103" fillId="0" borderId="1" xfId="2" applyNumberFormat="1" applyFont="1" applyBorder="1" applyAlignment="1">
      <alignment horizontal="center" vertical="center" wrapText="1"/>
    </xf>
    <xf numFmtId="177" fontId="39" fillId="0" borderId="4" xfId="1" applyNumberFormat="1" applyFont="1" applyBorder="1" applyAlignment="1">
      <alignment horizontal="center" vertical="center" wrapText="1"/>
    </xf>
    <xf numFmtId="177" fontId="41" fillId="0" borderId="1" xfId="62" applyNumberForma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14" sqref="C14"/>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8" t="s">
        <v>650</v>
      </c>
      <c r="B5" s="348"/>
      <c r="C5" s="348"/>
      <c r="D5" s="84"/>
      <c r="E5" s="84"/>
      <c r="F5" s="84"/>
      <c r="G5" s="84"/>
      <c r="H5" s="84"/>
      <c r="I5" s="84"/>
      <c r="J5" s="84"/>
    </row>
    <row r="6" spans="1:22" s="8" customFormat="1" ht="18.75" x14ac:dyDescent="0.3">
      <c r="A6" s="13"/>
      <c r="H6" s="12"/>
    </row>
    <row r="7" spans="1:22" s="8" customFormat="1" ht="18.75" x14ac:dyDescent="0.2">
      <c r="A7" s="352" t="s">
        <v>7</v>
      </c>
      <c r="B7" s="352"/>
      <c r="C7" s="35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3" t="s">
        <v>544</v>
      </c>
      <c r="B9" s="353"/>
      <c r="C9" s="353"/>
      <c r="D9" s="7"/>
      <c r="E9" s="7"/>
      <c r="F9" s="7"/>
      <c r="G9" s="7"/>
      <c r="H9" s="7"/>
      <c r="I9" s="10"/>
      <c r="J9" s="10"/>
      <c r="K9" s="10"/>
      <c r="L9" s="10"/>
      <c r="M9" s="10"/>
      <c r="N9" s="10"/>
      <c r="O9" s="10"/>
      <c r="P9" s="10"/>
      <c r="Q9" s="10"/>
      <c r="R9" s="10"/>
      <c r="S9" s="10"/>
      <c r="T9" s="10"/>
      <c r="U9" s="10"/>
      <c r="V9" s="10"/>
    </row>
    <row r="10" spans="1:22" s="8" customFormat="1" ht="18.75" x14ac:dyDescent="0.2">
      <c r="A10" s="349" t="s">
        <v>6</v>
      </c>
      <c r="B10" s="349"/>
      <c r="C10" s="34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3" t="s">
        <v>636</v>
      </c>
      <c r="B12" s="353"/>
      <c r="C12" s="353"/>
      <c r="D12" s="7"/>
      <c r="E12" s="7"/>
      <c r="F12" s="7"/>
      <c r="G12" s="7"/>
      <c r="H12" s="7"/>
      <c r="I12" s="10"/>
      <c r="J12" s="10"/>
      <c r="K12" s="10"/>
      <c r="L12" s="10"/>
      <c r="M12" s="10"/>
      <c r="N12" s="10"/>
      <c r="O12" s="10"/>
      <c r="P12" s="10"/>
      <c r="Q12" s="10"/>
      <c r="R12" s="10"/>
      <c r="S12" s="10"/>
      <c r="T12" s="10"/>
      <c r="U12" s="10"/>
      <c r="V12" s="10"/>
    </row>
    <row r="13" spans="1:22" s="8" customFormat="1" ht="18.75" x14ac:dyDescent="0.2">
      <c r="A13" s="349" t="s">
        <v>5</v>
      </c>
      <c r="B13" s="349"/>
      <c r="C13" s="34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50" t="s">
        <v>637</v>
      </c>
      <c r="B15" s="350"/>
      <c r="C15" s="350"/>
      <c r="D15" s="7"/>
      <c r="E15" s="7"/>
      <c r="F15" s="7"/>
      <c r="G15" s="7"/>
      <c r="H15" s="7"/>
      <c r="I15" s="7"/>
      <c r="J15" s="7"/>
      <c r="K15" s="7"/>
      <c r="L15" s="7"/>
      <c r="M15" s="7"/>
      <c r="N15" s="7"/>
      <c r="O15" s="7"/>
      <c r="P15" s="7"/>
      <c r="Q15" s="7"/>
      <c r="R15" s="7"/>
      <c r="S15" s="7"/>
      <c r="T15" s="7"/>
      <c r="U15" s="7"/>
      <c r="V15" s="7"/>
    </row>
    <row r="16" spans="1:22" s="3" customFormat="1" ht="15" customHeight="1" x14ac:dyDescent="0.2">
      <c r="A16" s="349" t="s">
        <v>4</v>
      </c>
      <c r="B16" s="349"/>
      <c r="C16" s="34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408</v>
      </c>
      <c r="B18" s="351"/>
      <c r="C18" s="35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625</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626</v>
      </c>
      <c r="D23" s="5"/>
      <c r="E23" s="5"/>
      <c r="F23" s="5"/>
      <c r="G23" s="5"/>
      <c r="H23" s="5"/>
      <c r="I23" s="4"/>
      <c r="J23" s="4"/>
      <c r="K23" s="4"/>
      <c r="L23" s="4"/>
      <c r="M23" s="4"/>
      <c r="N23" s="4"/>
      <c r="O23" s="4"/>
      <c r="P23" s="4"/>
      <c r="Q23" s="4"/>
      <c r="R23" s="4"/>
      <c r="S23" s="4"/>
    </row>
    <row r="24" spans="1:22" s="3" customFormat="1" ht="22.5" customHeight="1" x14ac:dyDescent="0.2">
      <c r="A24" s="345"/>
      <c r="B24" s="346"/>
      <c r="C24" s="34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604</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605</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606</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608</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609</v>
      </c>
    </row>
    <row r="37" spans="1:18" ht="43.5" customHeight="1" x14ac:dyDescent="0.25">
      <c r="A37" s="15" t="s">
        <v>368</v>
      </c>
      <c r="B37" s="22" t="s">
        <v>366</v>
      </c>
      <c r="C37" s="16" t="s">
        <v>542</v>
      </c>
    </row>
    <row r="38" spans="1:18" ht="43.5" customHeight="1" x14ac:dyDescent="0.25">
      <c r="A38" s="15" t="s">
        <v>379</v>
      </c>
      <c r="B38" s="22" t="s">
        <v>209</v>
      </c>
      <c r="C38" s="16" t="s">
        <v>609</v>
      </c>
    </row>
    <row r="39" spans="1:18" ht="23.25" customHeight="1" x14ac:dyDescent="0.25">
      <c r="A39" s="345"/>
      <c r="B39" s="346"/>
      <c r="C39" s="347"/>
    </row>
    <row r="40" spans="1:18" ht="63" x14ac:dyDescent="0.25">
      <c r="A40" s="15" t="s">
        <v>369</v>
      </c>
      <c r="B40" s="22" t="s">
        <v>420</v>
      </c>
      <c r="C40" s="16" t="s">
        <v>639</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5"/>
      <c r="B47" s="346"/>
      <c r="C47" s="347"/>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ввод'!D24</f>
        <v>1.8337559999999999</v>
      </c>
      <c r="D50" s="1" t="s">
        <v>540</v>
      </c>
    </row>
    <row r="51" spans="1:4" ht="71.25" customHeight="1" x14ac:dyDescent="0.25">
      <c r="A51" s="15" t="s">
        <v>373</v>
      </c>
      <c r="B51" s="22" t="s">
        <v>419</v>
      </c>
      <c r="C51" s="336">
        <f>'6.2. Паспорт фин осв ввод'!D30</f>
        <v>1.52813</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6" t="str">
        <f>'1. паспорт местоположение'!A5:C5</f>
        <v>Год раскрытия информации: 2023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C5" s="12"/>
    </row>
    <row r="6" spans="1:29"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7" t="str">
        <f>'1. паспорт местоположение'!A9:C9</f>
        <v xml:space="preserve">Акционерное общество "Западная энергетическая компания" </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349" t="s">
        <v>6</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7" t="str">
        <f>'1. паспорт местоположение'!A12:C12</f>
        <v>L_21-09</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349" t="s">
        <v>5</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8" t="str">
        <f>'1. паспорт местоположение'!A15:C15</f>
        <v>Строительство сетей электроснабжения дошкольного учереждения в Калининграде п. Васильково</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49" t="s">
        <v>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20" spans="1:32" ht="33" customHeight="1" x14ac:dyDescent="0.25">
      <c r="A20" s="420" t="s">
        <v>183</v>
      </c>
      <c r="B20" s="420" t="s">
        <v>182</v>
      </c>
      <c r="C20" s="416" t="s">
        <v>181</v>
      </c>
      <c r="D20" s="416"/>
      <c r="E20" s="430" t="s">
        <v>180</v>
      </c>
      <c r="F20" s="430"/>
      <c r="G20" s="420" t="s">
        <v>423</v>
      </c>
      <c r="H20" s="423" t="s">
        <v>424</v>
      </c>
      <c r="I20" s="424"/>
      <c r="J20" s="424"/>
      <c r="K20" s="424"/>
      <c r="L20" s="423" t="s">
        <v>425</v>
      </c>
      <c r="M20" s="424"/>
      <c r="N20" s="424"/>
      <c r="O20" s="424"/>
      <c r="P20" s="423" t="s">
        <v>426</v>
      </c>
      <c r="Q20" s="424"/>
      <c r="R20" s="424"/>
      <c r="S20" s="424"/>
      <c r="T20" s="423" t="s">
        <v>438</v>
      </c>
      <c r="U20" s="424"/>
      <c r="V20" s="424"/>
      <c r="W20" s="424"/>
      <c r="X20" s="423" t="s">
        <v>439</v>
      </c>
      <c r="Y20" s="424"/>
      <c r="Z20" s="424"/>
      <c r="AA20" s="424"/>
      <c r="AB20" s="432" t="s">
        <v>179</v>
      </c>
      <c r="AC20" s="432"/>
      <c r="AD20" s="49"/>
      <c r="AE20" s="49"/>
      <c r="AF20" s="49"/>
    </row>
    <row r="21" spans="1:32" ht="99.75" customHeight="1" x14ac:dyDescent="0.25">
      <c r="A21" s="421"/>
      <c r="B21" s="421"/>
      <c r="C21" s="416"/>
      <c r="D21" s="416"/>
      <c r="E21" s="430"/>
      <c r="F21" s="430"/>
      <c r="G21" s="421"/>
      <c r="H21" s="416" t="s">
        <v>2</v>
      </c>
      <c r="I21" s="416"/>
      <c r="J21" s="416" t="s">
        <v>9</v>
      </c>
      <c r="K21" s="416"/>
      <c r="L21" s="416" t="s">
        <v>2</v>
      </c>
      <c r="M21" s="416"/>
      <c r="N21" s="416" t="s">
        <v>9</v>
      </c>
      <c r="O21" s="416"/>
      <c r="P21" s="416" t="s">
        <v>2</v>
      </c>
      <c r="Q21" s="416"/>
      <c r="R21" s="416" t="s">
        <v>178</v>
      </c>
      <c r="S21" s="416"/>
      <c r="T21" s="416" t="s">
        <v>2</v>
      </c>
      <c r="U21" s="416"/>
      <c r="V21" s="416" t="s">
        <v>178</v>
      </c>
      <c r="W21" s="416"/>
      <c r="X21" s="416" t="s">
        <v>2</v>
      </c>
      <c r="Y21" s="416"/>
      <c r="Z21" s="416" t="s">
        <v>178</v>
      </c>
      <c r="AA21" s="416"/>
      <c r="AB21" s="432"/>
      <c r="AC21" s="432"/>
    </row>
    <row r="22" spans="1:32" ht="89.25" customHeight="1" x14ac:dyDescent="0.25">
      <c r="A22" s="422"/>
      <c r="B22" s="422"/>
      <c r="C22" s="46" t="s">
        <v>2</v>
      </c>
      <c r="D22" s="46" t="s">
        <v>178</v>
      </c>
      <c r="E22" s="48" t="s">
        <v>437</v>
      </c>
      <c r="F22" s="48" t="s">
        <v>482</v>
      </c>
      <c r="G22" s="42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9"/>
      <c r="C66" s="419"/>
      <c r="D66" s="419"/>
      <c r="E66" s="419"/>
      <c r="F66" s="419"/>
      <c r="G66" s="419"/>
      <c r="H66" s="419"/>
      <c r="I66" s="41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9"/>
      <c r="C68" s="419"/>
      <c r="D68" s="419"/>
      <c r="E68" s="419"/>
      <c r="F68" s="419"/>
      <c r="G68" s="419"/>
      <c r="H68" s="419"/>
      <c r="I68" s="419"/>
      <c r="J68" s="35"/>
      <c r="K68" s="35"/>
    </row>
    <row r="70" spans="1:28" ht="36.75" customHeight="1" x14ac:dyDescent="0.25">
      <c r="B70" s="419"/>
      <c r="C70" s="419"/>
      <c r="D70" s="419"/>
      <c r="E70" s="419"/>
      <c r="F70" s="419"/>
      <c r="G70" s="419"/>
      <c r="H70" s="419"/>
      <c r="I70" s="419"/>
      <c r="J70" s="35"/>
      <c r="K70" s="35"/>
    </row>
    <row r="71" spans="1:28" x14ac:dyDescent="0.25">
      <c r="N71" s="36"/>
      <c r="V71" s="36"/>
    </row>
    <row r="72" spans="1:28" ht="51" customHeight="1" x14ac:dyDescent="0.25">
      <c r="B72" s="419"/>
      <c r="C72" s="419"/>
      <c r="D72" s="419"/>
      <c r="E72" s="419"/>
      <c r="F72" s="419"/>
      <c r="G72" s="419"/>
      <c r="H72" s="419"/>
      <c r="I72" s="419"/>
      <c r="J72" s="35"/>
      <c r="K72" s="35"/>
      <c r="N72" s="36"/>
      <c r="V72" s="36"/>
    </row>
    <row r="73" spans="1:28" ht="32.25" customHeight="1" x14ac:dyDescent="0.25">
      <c r="B73" s="419"/>
      <c r="C73" s="419"/>
      <c r="D73" s="419"/>
      <c r="E73" s="419"/>
      <c r="F73" s="419"/>
      <c r="G73" s="419"/>
      <c r="H73" s="419"/>
      <c r="I73" s="419"/>
      <c r="J73" s="35"/>
      <c r="K73" s="35"/>
    </row>
    <row r="74" spans="1:28" ht="51.75" customHeight="1" x14ac:dyDescent="0.25">
      <c r="B74" s="419"/>
      <c r="C74" s="419"/>
      <c r="D74" s="419"/>
      <c r="E74" s="419"/>
      <c r="F74" s="419"/>
      <c r="G74" s="419"/>
      <c r="H74" s="419"/>
      <c r="I74" s="419"/>
      <c r="J74" s="35"/>
      <c r="K74" s="35"/>
    </row>
    <row r="75" spans="1:28" ht="21.75" customHeight="1" x14ac:dyDescent="0.25">
      <c r="B75" s="425"/>
      <c r="C75" s="425"/>
      <c r="D75" s="425"/>
      <c r="E75" s="425"/>
      <c r="F75" s="425"/>
      <c r="G75" s="425"/>
      <c r="H75" s="425"/>
      <c r="I75" s="425"/>
      <c r="J75" s="34"/>
      <c r="K75" s="34"/>
    </row>
    <row r="76" spans="1:28" ht="23.25" customHeight="1" x14ac:dyDescent="0.25"/>
    <row r="77" spans="1:28" ht="18.75" customHeight="1" x14ac:dyDescent="0.25">
      <c r="B77" s="418"/>
      <c r="C77" s="418"/>
      <c r="D77" s="418"/>
      <c r="E77" s="418"/>
      <c r="F77" s="418"/>
      <c r="G77" s="418"/>
      <c r="H77" s="418"/>
      <c r="I77" s="41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J64">
    <cfRule type="cellIs" dxfId="8" priority="6" operator="notEqual">
      <formula>0</formula>
    </cfRule>
  </conditionalFormatting>
  <conditionalFormatting sqref="E31:I44 K58:M64 O58:Q64">
    <cfRule type="cellIs" dxfId="7" priority="24" operator="notEqual">
      <formula>0</formula>
    </cfRule>
  </conditionalFormatting>
  <conditionalFormatting sqref="K24:M51">
    <cfRule type="cellIs" dxfId="6" priority="17" operator="notEqual">
      <formula>0</formula>
    </cfRule>
  </conditionalFormatting>
  <conditionalFormatting sqref="K52:Q57">
    <cfRule type="cellIs" dxfId="5" priority="13" operator="notEqual">
      <formula>0</formula>
    </cfRule>
  </conditionalFormatting>
  <conditionalFormatting sqref="N24:N64">
    <cfRule type="cellIs" dxfId="4" priority="2" operator="notEqual">
      <formula>0</formula>
    </cfRule>
  </conditionalFormatting>
  <conditionalFormatting sqref="O31:Q51">
    <cfRule type="cellIs" dxfId="3" priority="1" operator="notEqual">
      <formula>0</formula>
    </cfRule>
  </conditionalFormatting>
  <conditionalFormatting sqref="O24:Y30">
    <cfRule type="cellIs" dxfId="2" priority="23" operator="notEqual">
      <formula>0</formula>
    </cfRule>
  </conditionalFormatting>
  <conditionalFormatting sqref="R31:Y64">
    <cfRule type="cellIs" dxfId="1" priority="26" operator="notEqual">
      <formula>0</formula>
    </cfRule>
  </conditionalFormatting>
  <conditionalFormatting sqref="Z24:AC64">
    <cfRule type="cellIs" dxfId="0"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29" zoomScale="70" zoomScaleNormal="70" zoomScaleSheetLayoutView="70" workbookViewId="0">
      <selection activeCell="Y37" sqref="Y37"/>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8" t="str">
        <f>'6.1. Паспорт сетевой график'!A5:K5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12"/>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3" t="str">
        <f>'6.1. Паспорт сетевой график'!A9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3" t="str">
        <f>'6.1. Паспорт сетевой график'!A12</f>
        <v>L_21-09</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0" t="str">
        <f>'6.1. Паспорт сетевой график'!A15</f>
        <v>Строительство сетей электроснабжения дошкольного учереждения в Калининграде п. Васильково</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ht="18.75" x14ac:dyDescent="0.3">
      <c r="U17" s="50"/>
      <c r="V17" s="50"/>
      <c r="W17" s="50"/>
      <c r="X17" s="50"/>
      <c r="Y17" s="167"/>
      <c r="Z17" s="167"/>
      <c r="AA17" s="167"/>
      <c r="AB17" s="167"/>
      <c r="AC17" s="167"/>
      <c r="AF17" s="167"/>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ht="49.5" hidden="1" customHeight="1" x14ac:dyDescent="0.25">
      <c r="E19" s="48" t="s">
        <v>598</v>
      </c>
      <c r="F19" s="48" t="s">
        <v>599</v>
      </c>
      <c r="G19" s="48" t="s">
        <v>600</v>
      </c>
      <c r="H19" s="32" t="s">
        <v>601</v>
      </c>
      <c r="L19" s="32" t="s">
        <v>602</v>
      </c>
      <c r="P19" s="32" t="s">
        <v>603</v>
      </c>
    </row>
    <row r="20" spans="1:32" ht="33" customHeight="1" x14ac:dyDescent="0.25">
      <c r="A20" s="420" t="s">
        <v>183</v>
      </c>
      <c r="B20" s="420" t="s">
        <v>182</v>
      </c>
      <c r="C20" s="416" t="s">
        <v>181</v>
      </c>
      <c r="D20" s="416"/>
      <c r="E20" s="430" t="s">
        <v>180</v>
      </c>
      <c r="F20" s="430"/>
      <c r="G20" s="420" t="s">
        <v>619</v>
      </c>
      <c r="H20" s="423">
        <v>2020</v>
      </c>
      <c r="I20" s="424"/>
      <c r="J20" s="424"/>
      <c r="K20" s="433"/>
      <c r="L20" s="423">
        <v>2021</v>
      </c>
      <c r="M20" s="424"/>
      <c r="N20" s="424"/>
      <c r="O20" s="433"/>
      <c r="P20" s="423">
        <v>2022</v>
      </c>
      <c r="Q20" s="424"/>
      <c r="R20" s="424"/>
      <c r="S20" s="433"/>
      <c r="T20" s="423">
        <v>2023</v>
      </c>
      <c r="U20" s="424"/>
      <c r="V20" s="424"/>
      <c r="W20" s="433"/>
      <c r="X20" s="423">
        <v>2024</v>
      </c>
      <c r="Y20" s="424"/>
      <c r="Z20" s="424"/>
      <c r="AA20" s="424"/>
      <c r="AB20" s="432" t="s">
        <v>179</v>
      </c>
      <c r="AC20" s="432"/>
      <c r="AD20" s="49"/>
      <c r="AE20" s="49"/>
      <c r="AF20" s="49"/>
    </row>
    <row r="21" spans="1:32" ht="99.75" customHeight="1" x14ac:dyDescent="0.25">
      <c r="A21" s="421"/>
      <c r="B21" s="421"/>
      <c r="C21" s="416"/>
      <c r="D21" s="416"/>
      <c r="E21" s="430"/>
      <c r="F21" s="430"/>
      <c r="G21" s="421"/>
      <c r="H21" s="416" t="s">
        <v>2</v>
      </c>
      <c r="I21" s="416"/>
      <c r="J21" s="416" t="s">
        <v>623</v>
      </c>
      <c r="K21" s="416"/>
      <c r="L21" s="416" t="s">
        <v>2</v>
      </c>
      <c r="M21" s="416"/>
      <c r="N21" s="416" t="s">
        <v>623</v>
      </c>
      <c r="O21" s="416"/>
      <c r="P21" s="416" t="s">
        <v>2</v>
      </c>
      <c r="Q21" s="416"/>
      <c r="R21" s="416" t="s">
        <v>178</v>
      </c>
      <c r="S21" s="416"/>
      <c r="T21" s="416" t="s">
        <v>2</v>
      </c>
      <c r="U21" s="416"/>
      <c r="V21" s="416" t="s">
        <v>178</v>
      </c>
      <c r="W21" s="416"/>
      <c r="X21" s="416" t="s">
        <v>2</v>
      </c>
      <c r="Y21" s="416"/>
      <c r="Z21" s="416" t="s">
        <v>178</v>
      </c>
      <c r="AA21" s="416"/>
      <c r="AB21" s="432"/>
      <c r="AC21" s="432"/>
    </row>
    <row r="22" spans="1:32" ht="89.25" customHeight="1" x14ac:dyDescent="0.25">
      <c r="A22" s="422"/>
      <c r="B22" s="422"/>
      <c r="C22" s="46" t="s">
        <v>2</v>
      </c>
      <c r="D22" s="46" t="s">
        <v>178</v>
      </c>
      <c r="E22" s="48" t="s">
        <v>545</v>
      </c>
      <c r="F22" s="48" t="s">
        <v>624</v>
      </c>
      <c r="G22" s="42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610</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537</v>
      </c>
      <c r="D24" s="96">
        <f>D30*1.2</f>
        <v>1.8337559999999999</v>
      </c>
      <c r="E24" s="96">
        <f>D24</f>
        <v>1.8337559999999999</v>
      </c>
      <c r="F24" s="98">
        <f>D24-G24-J24-N24</f>
        <v>3.0000000000000027E-2</v>
      </c>
      <c r="G24" s="98">
        <v>0</v>
      </c>
      <c r="H24" s="96" t="s">
        <v>537</v>
      </c>
      <c r="I24" s="96">
        <f>SUM(I25:I29)</f>
        <v>0</v>
      </c>
      <c r="J24" s="98">
        <v>0</v>
      </c>
      <c r="K24" s="96">
        <f>SUM(K25:K29)</f>
        <v>0</v>
      </c>
      <c r="L24" s="96" t="s">
        <v>537</v>
      </c>
      <c r="M24" s="96">
        <f t="shared" ref="M24:Y24" si="0">SUM(M25:M29)</f>
        <v>0</v>
      </c>
      <c r="N24" s="96">
        <f>N25+N26+N27+N28+N29</f>
        <v>1.8037559999999999</v>
      </c>
      <c r="O24" s="96">
        <f t="shared" ref="O24" si="1">SUM(O25:O29)</f>
        <v>0</v>
      </c>
      <c r="P24" s="98">
        <v>0</v>
      </c>
      <c r="Q24" s="96">
        <f t="shared" si="0"/>
        <v>0</v>
      </c>
      <c r="R24" s="96">
        <f>F24</f>
        <v>3.0000000000000027E-2</v>
      </c>
      <c r="S24" s="96">
        <v>0</v>
      </c>
      <c r="T24" s="98">
        <v>0</v>
      </c>
      <c r="U24" s="96">
        <f t="shared" si="0"/>
        <v>0</v>
      </c>
      <c r="V24" s="96">
        <v>0</v>
      </c>
      <c r="W24" s="96">
        <f t="shared" ref="W24" si="2">SUM(W25:W29)</f>
        <v>0</v>
      </c>
      <c r="X24" s="98">
        <v>0</v>
      </c>
      <c r="Y24" s="96">
        <f t="shared" si="0"/>
        <v>0</v>
      </c>
      <c r="Z24" s="96">
        <v>0</v>
      </c>
      <c r="AA24" s="96">
        <f t="shared" ref="AA24" si="3">SUM(AA25:AA29)</f>
        <v>0</v>
      </c>
      <c r="AB24" s="96" t="s">
        <v>537</v>
      </c>
      <c r="AC24" s="96">
        <f>SUM(J24,N24,R24,V24,Z24)</f>
        <v>1.8337559999999999</v>
      </c>
    </row>
    <row r="25" spans="1:32" ht="24" customHeight="1" x14ac:dyDescent="0.25">
      <c r="A25" s="41" t="s">
        <v>176</v>
      </c>
      <c r="B25" s="25" t="s">
        <v>175</v>
      </c>
      <c r="C25" s="96" t="s">
        <v>537</v>
      </c>
      <c r="D25" s="96">
        <v>0</v>
      </c>
      <c r="E25" s="96">
        <f t="shared" ref="E25:E64" si="4">D25</f>
        <v>0</v>
      </c>
      <c r="F25" s="98">
        <f t="shared" ref="F25:F64" si="5">D25-G25-J25-N25</f>
        <v>0</v>
      </c>
      <c r="G25" s="98">
        <v>0</v>
      </c>
      <c r="H25" s="96" t="s">
        <v>537</v>
      </c>
      <c r="I25" s="98">
        <v>0</v>
      </c>
      <c r="J25" s="98">
        <v>0</v>
      </c>
      <c r="K25" s="98">
        <v>0</v>
      </c>
      <c r="L25" s="96" t="s">
        <v>537</v>
      </c>
      <c r="M25" s="98">
        <v>0</v>
      </c>
      <c r="N25" s="96">
        <f t="shared" ref="N25:N63" si="6">D25</f>
        <v>0</v>
      </c>
      <c r="O25" s="98">
        <v>0</v>
      </c>
      <c r="P25" s="98">
        <v>0</v>
      </c>
      <c r="Q25" s="98">
        <v>0</v>
      </c>
      <c r="R25" s="96">
        <f t="shared" ref="R25:R34" si="7">F25</f>
        <v>0</v>
      </c>
      <c r="S25" s="98">
        <v>0</v>
      </c>
      <c r="T25" s="98">
        <v>0</v>
      </c>
      <c r="U25" s="98">
        <v>0</v>
      </c>
      <c r="V25" s="98">
        <v>0</v>
      </c>
      <c r="W25" s="98">
        <v>0</v>
      </c>
      <c r="X25" s="98">
        <v>0</v>
      </c>
      <c r="Y25" s="98">
        <v>0</v>
      </c>
      <c r="Z25" s="98">
        <v>0</v>
      </c>
      <c r="AA25" s="98">
        <v>0</v>
      </c>
      <c r="AB25" s="96" t="s">
        <v>537</v>
      </c>
      <c r="AC25" s="96">
        <f t="shared" ref="AC25:AC64" si="8">SUM(J25,N25,R25,V25,Z25)</f>
        <v>0</v>
      </c>
    </row>
    <row r="26" spans="1:32" x14ac:dyDescent="0.25">
      <c r="A26" s="41" t="s">
        <v>174</v>
      </c>
      <c r="B26" s="25" t="s">
        <v>173</v>
      </c>
      <c r="C26" s="96" t="s">
        <v>537</v>
      </c>
      <c r="D26" s="96">
        <v>0</v>
      </c>
      <c r="E26" s="96">
        <f t="shared" si="4"/>
        <v>0</v>
      </c>
      <c r="F26" s="98">
        <f t="shared" si="5"/>
        <v>0</v>
      </c>
      <c r="G26" s="98">
        <v>0</v>
      </c>
      <c r="H26" s="96" t="s">
        <v>537</v>
      </c>
      <c r="I26" s="98">
        <v>0</v>
      </c>
      <c r="J26" s="98">
        <v>0</v>
      </c>
      <c r="K26" s="98">
        <v>0</v>
      </c>
      <c r="L26" s="96" t="s">
        <v>537</v>
      </c>
      <c r="M26" s="98">
        <v>0</v>
      </c>
      <c r="N26" s="96">
        <f t="shared" si="6"/>
        <v>0</v>
      </c>
      <c r="O26" s="98">
        <v>0</v>
      </c>
      <c r="P26" s="98">
        <v>0</v>
      </c>
      <c r="Q26" s="98">
        <v>0</v>
      </c>
      <c r="R26" s="96">
        <f t="shared" si="7"/>
        <v>0</v>
      </c>
      <c r="S26" s="98">
        <v>0</v>
      </c>
      <c r="T26" s="98">
        <v>0</v>
      </c>
      <c r="U26" s="98">
        <v>0</v>
      </c>
      <c r="V26" s="98">
        <v>0</v>
      </c>
      <c r="W26" s="98">
        <v>0</v>
      </c>
      <c r="X26" s="98">
        <v>0</v>
      </c>
      <c r="Y26" s="98">
        <v>0</v>
      </c>
      <c r="Z26" s="98">
        <v>0</v>
      </c>
      <c r="AA26" s="98">
        <v>0</v>
      </c>
      <c r="AB26" s="96" t="s">
        <v>537</v>
      </c>
      <c r="AC26" s="96">
        <f t="shared" si="8"/>
        <v>0</v>
      </c>
    </row>
    <row r="27" spans="1:32" ht="31.5" x14ac:dyDescent="0.25">
      <c r="A27" s="41" t="s">
        <v>172</v>
      </c>
      <c r="B27" s="25" t="s">
        <v>356</v>
      </c>
      <c r="C27" s="96" t="s">
        <v>537</v>
      </c>
      <c r="D27" s="96">
        <v>0</v>
      </c>
      <c r="E27" s="96">
        <f t="shared" si="4"/>
        <v>0</v>
      </c>
      <c r="F27" s="98">
        <f t="shared" si="5"/>
        <v>0</v>
      </c>
      <c r="G27" s="98">
        <v>0</v>
      </c>
      <c r="H27" s="96" t="s">
        <v>537</v>
      </c>
      <c r="I27" s="98">
        <v>0</v>
      </c>
      <c r="J27" s="98">
        <v>0</v>
      </c>
      <c r="K27" s="98">
        <v>0</v>
      </c>
      <c r="L27" s="96" t="s">
        <v>537</v>
      </c>
      <c r="M27" s="98">
        <v>0</v>
      </c>
      <c r="N27" s="96">
        <v>0</v>
      </c>
      <c r="O27" s="98">
        <v>0</v>
      </c>
      <c r="P27" s="98">
        <v>0</v>
      </c>
      <c r="Q27" s="98">
        <v>0</v>
      </c>
      <c r="R27" s="96">
        <f t="shared" si="7"/>
        <v>0</v>
      </c>
      <c r="S27" s="98">
        <v>0</v>
      </c>
      <c r="T27" s="98">
        <v>0</v>
      </c>
      <c r="U27" s="98">
        <v>0</v>
      </c>
      <c r="V27" s="98">
        <f>V24</f>
        <v>0</v>
      </c>
      <c r="W27" s="98">
        <v>0</v>
      </c>
      <c r="X27" s="98">
        <v>0</v>
      </c>
      <c r="Y27" s="98">
        <v>0</v>
      </c>
      <c r="Z27" s="98">
        <f>Z24</f>
        <v>0</v>
      </c>
      <c r="AA27" s="98">
        <v>0</v>
      </c>
      <c r="AB27" s="96" t="s">
        <v>537</v>
      </c>
      <c r="AC27" s="96">
        <f t="shared" si="8"/>
        <v>0</v>
      </c>
    </row>
    <row r="28" spans="1:32" x14ac:dyDescent="0.25">
      <c r="A28" s="41" t="s">
        <v>171</v>
      </c>
      <c r="B28" s="25" t="s">
        <v>538</v>
      </c>
      <c r="C28" s="96" t="s">
        <v>537</v>
      </c>
      <c r="D28" s="96">
        <f>D24</f>
        <v>1.8337559999999999</v>
      </c>
      <c r="E28" s="96">
        <f t="shared" si="4"/>
        <v>1.8337559999999999</v>
      </c>
      <c r="F28" s="98">
        <f t="shared" si="5"/>
        <v>3.0000000000000027E-2</v>
      </c>
      <c r="G28" s="98">
        <v>0</v>
      </c>
      <c r="H28" s="96" t="s">
        <v>537</v>
      </c>
      <c r="I28" s="98">
        <v>0</v>
      </c>
      <c r="J28" s="98">
        <v>0</v>
      </c>
      <c r="K28" s="98">
        <v>0</v>
      </c>
      <c r="L28" s="96" t="s">
        <v>537</v>
      </c>
      <c r="M28" s="98">
        <v>0</v>
      </c>
      <c r="N28" s="342">
        <v>1.8037559999999999</v>
      </c>
      <c r="O28" s="98">
        <v>0</v>
      </c>
      <c r="P28" s="98">
        <v>0</v>
      </c>
      <c r="Q28" s="98">
        <v>0</v>
      </c>
      <c r="R28" s="96">
        <f t="shared" si="7"/>
        <v>3.0000000000000027E-2</v>
      </c>
      <c r="S28" s="98">
        <v>0</v>
      </c>
      <c r="T28" s="98">
        <v>0</v>
      </c>
      <c r="U28" s="98">
        <v>0</v>
      </c>
      <c r="V28" s="98">
        <v>0</v>
      </c>
      <c r="W28" s="98">
        <v>0</v>
      </c>
      <c r="X28" s="98">
        <v>0</v>
      </c>
      <c r="Y28" s="98">
        <v>0</v>
      </c>
      <c r="Z28" s="98">
        <v>0</v>
      </c>
      <c r="AA28" s="98">
        <v>0</v>
      </c>
      <c r="AB28" s="96" t="s">
        <v>537</v>
      </c>
      <c r="AC28" s="96">
        <f t="shared" si="8"/>
        <v>1.8337559999999999</v>
      </c>
    </row>
    <row r="29" spans="1:32" x14ac:dyDescent="0.25">
      <c r="A29" s="41" t="s">
        <v>169</v>
      </c>
      <c r="B29" s="45" t="s">
        <v>168</v>
      </c>
      <c r="C29" s="96" t="s">
        <v>537</v>
      </c>
      <c r="D29" s="96">
        <v>0</v>
      </c>
      <c r="E29" s="96">
        <f t="shared" si="4"/>
        <v>0</v>
      </c>
      <c r="F29" s="98">
        <f t="shared" si="5"/>
        <v>0</v>
      </c>
      <c r="G29" s="98">
        <v>0</v>
      </c>
      <c r="H29" s="96" t="s">
        <v>537</v>
      </c>
      <c r="I29" s="98">
        <v>0</v>
      </c>
      <c r="J29" s="98">
        <v>0</v>
      </c>
      <c r="K29" s="98">
        <v>0</v>
      </c>
      <c r="L29" s="96" t="s">
        <v>537</v>
      </c>
      <c r="M29" s="98">
        <v>0</v>
      </c>
      <c r="N29" s="96">
        <f t="shared" si="6"/>
        <v>0</v>
      </c>
      <c r="O29" s="98">
        <v>0</v>
      </c>
      <c r="P29" s="98">
        <v>0</v>
      </c>
      <c r="Q29" s="98">
        <v>0</v>
      </c>
      <c r="R29" s="96">
        <f t="shared" si="7"/>
        <v>0</v>
      </c>
      <c r="S29" s="98">
        <v>0</v>
      </c>
      <c r="T29" s="98">
        <v>0</v>
      </c>
      <c r="U29" s="98">
        <v>0</v>
      </c>
      <c r="V29" s="98">
        <v>0</v>
      </c>
      <c r="W29" s="98">
        <v>0</v>
      </c>
      <c r="X29" s="98">
        <v>0</v>
      </c>
      <c r="Y29" s="98">
        <v>0</v>
      </c>
      <c r="Z29" s="98">
        <v>0</v>
      </c>
      <c r="AA29" s="98">
        <v>0</v>
      </c>
      <c r="AB29" s="96" t="s">
        <v>537</v>
      </c>
      <c r="AC29" s="96">
        <f t="shared" si="8"/>
        <v>0</v>
      </c>
    </row>
    <row r="30" spans="1:32" s="338" customFormat="1" ht="47.25" x14ac:dyDescent="0.25">
      <c r="A30" s="44" t="s">
        <v>61</v>
      </c>
      <c r="B30" s="43" t="s">
        <v>167</v>
      </c>
      <c r="C30" s="96" t="s">
        <v>537</v>
      </c>
      <c r="D30" s="96">
        <v>1.52813</v>
      </c>
      <c r="E30" s="96">
        <f t="shared" si="4"/>
        <v>1.52813</v>
      </c>
      <c r="F30" s="98">
        <f t="shared" si="5"/>
        <v>0</v>
      </c>
      <c r="G30" s="98">
        <v>0</v>
      </c>
      <c r="H30" s="96" t="s">
        <v>537</v>
      </c>
      <c r="I30" s="96">
        <v>0</v>
      </c>
      <c r="J30" s="98">
        <v>0</v>
      </c>
      <c r="K30" s="96">
        <v>0</v>
      </c>
      <c r="L30" s="96" t="s">
        <v>537</v>
      </c>
      <c r="M30" s="96">
        <v>0</v>
      </c>
      <c r="N30" s="342">
        <v>1.52813</v>
      </c>
      <c r="O30" s="96">
        <v>0</v>
      </c>
      <c r="P30" s="98">
        <v>0</v>
      </c>
      <c r="Q30" s="96">
        <v>0</v>
      </c>
      <c r="R30" s="96">
        <v>0</v>
      </c>
      <c r="S30" s="96">
        <v>0</v>
      </c>
      <c r="T30" s="98">
        <v>0</v>
      </c>
      <c r="U30" s="96">
        <v>0</v>
      </c>
      <c r="V30" s="96">
        <v>0</v>
      </c>
      <c r="W30" s="96">
        <v>0</v>
      </c>
      <c r="X30" s="98">
        <v>0</v>
      </c>
      <c r="Y30" s="96">
        <v>0</v>
      </c>
      <c r="Z30" s="96">
        <v>0</v>
      </c>
      <c r="AA30" s="96">
        <v>0</v>
      </c>
      <c r="AB30" s="96" t="s">
        <v>537</v>
      </c>
      <c r="AC30" s="96">
        <f t="shared" si="8"/>
        <v>1.52813</v>
      </c>
      <c r="AD30" s="32"/>
      <c r="AE30" s="32"/>
      <c r="AF30" s="32"/>
    </row>
    <row r="31" spans="1:32" x14ac:dyDescent="0.25">
      <c r="A31" s="44" t="s">
        <v>166</v>
      </c>
      <c r="B31" s="25" t="s">
        <v>165</v>
      </c>
      <c r="C31" s="96" t="s">
        <v>537</v>
      </c>
      <c r="D31" s="96">
        <v>0</v>
      </c>
      <c r="E31" s="96">
        <f t="shared" si="4"/>
        <v>0</v>
      </c>
      <c r="F31" s="98">
        <f t="shared" si="5"/>
        <v>0</v>
      </c>
      <c r="G31" s="98">
        <v>0</v>
      </c>
      <c r="H31" s="96" t="s">
        <v>537</v>
      </c>
      <c r="I31" s="98">
        <v>0</v>
      </c>
      <c r="J31" s="98">
        <v>0</v>
      </c>
      <c r="K31" s="98">
        <v>0</v>
      </c>
      <c r="L31" s="96" t="s">
        <v>537</v>
      </c>
      <c r="M31" s="98">
        <v>0</v>
      </c>
      <c r="N31" s="96">
        <v>0</v>
      </c>
      <c r="O31" s="98">
        <v>0</v>
      </c>
      <c r="P31" s="98">
        <v>0</v>
      </c>
      <c r="Q31" s="98">
        <v>0</v>
      </c>
      <c r="R31" s="96">
        <f t="shared" si="7"/>
        <v>0</v>
      </c>
      <c r="S31" s="98">
        <v>0</v>
      </c>
      <c r="T31" s="98">
        <v>0</v>
      </c>
      <c r="U31" s="98">
        <v>0</v>
      </c>
      <c r="V31" s="98">
        <v>0</v>
      </c>
      <c r="W31" s="98">
        <v>0</v>
      </c>
      <c r="X31" s="98">
        <v>0</v>
      </c>
      <c r="Y31" s="98">
        <v>0</v>
      </c>
      <c r="Z31" s="98">
        <v>0</v>
      </c>
      <c r="AA31" s="98">
        <v>0</v>
      </c>
      <c r="AB31" s="96" t="s">
        <v>537</v>
      </c>
      <c r="AC31" s="96">
        <f t="shared" si="8"/>
        <v>0</v>
      </c>
    </row>
    <row r="32" spans="1:32" ht="31.5" x14ac:dyDescent="0.25">
      <c r="A32" s="44" t="s">
        <v>164</v>
      </c>
      <c r="B32" s="25" t="s">
        <v>163</v>
      </c>
      <c r="C32" s="96" t="s">
        <v>537</v>
      </c>
      <c r="D32" s="96">
        <v>0.86910900000000002</v>
      </c>
      <c r="E32" s="96">
        <f t="shared" si="4"/>
        <v>0.86910900000000002</v>
      </c>
      <c r="F32" s="98">
        <f t="shared" si="5"/>
        <v>0</v>
      </c>
      <c r="G32" s="98">
        <v>0</v>
      </c>
      <c r="H32" s="96" t="s">
        <v>537</v>
      </c>
      <c r="I32" s="98">
        <v>0</v>
      </c>
      <c r="J32" s="98">
        <v>0</v>
      </c>
      <c r="K32" s="98">
        <v>0</v>
      </c>
      <c r="L32" s="96" t="s">
        <v>537</v>
      </c>
      <c r="M32" s="98">
        <v>0</v>
      </c>
      <c r="N32" s="96">
        <v>0.86910900000000002</v>
      </c>
      <c r="O32" s="98">
        <v>0</v>
      </c>
      <c r="P32" s="98">
        <v>0</v>
      </c>
      <c r="Q32" s="98">
        <v>0</v>
      </c>
      <c r="R32" s="96">
        <v>0</v>
      </c>
      <c r="S32" s="98">
        <v>0</v>
      </c>
      <c r="T32" s="98">
        <v>0</v>
      </c>
      <c r="U32" s="98">
        <v>0</v>
      </c>
      <c r="V32" s="98">
        <v>0</v>
      </c>
      <c r="W32" s="98">
        <v>0</v>
      </c>
      <c r="X32" s="98">
        <v>0</v>
      </c>
      <c r="Y32" s="98">
        <v>0</v>
      </c>
      <c r="Z32" s="98">
        <v>0</v>
      </c>
      <c r="AA32" s="98">
        <v>0</v>
      </c>
      <c r="AB32" s="96" t="s">
        <v>537</v>
      </c>
      <c r="AC32" s="96">
        <f t="shared" si="8"/>
        <v>0.86910900000000002</v>
      </c>
    </row>
    <row r="33" spans="1:29" x14ac:dyDescent="0.25">
      <c r="A33" s="44" t="s">
        <v>162</v>
      </c>
      <c r="B33" s="25" t="s">
        <v>161</v>
      </c>
      <c r="C33" s="96" t="s">
        <v>537</v>
      </c>
      <c r="D33" s="96">
        <v>0.65902099999999997</v>
      </c>
      <c r="E33" s="96">
        <f t="shared" si="4"/>
        <v>0.65902099999999997</v>
      </c>
      <c r="F33" s="98">
        <f t="shared" si="5"/>
        <v>0</v>
      </c>
      <c r="G33" s="98">
        <v>0</v>
      </c>
      <c r="H33" s="96" t="s">
        <v>537</v>
      </c>
      <c r="I33" s="98">
        <v>0</v>
      </c>
      <c r="J33" s="98">
        <v>0</v>
      </c>
      <c r="K33" s="98">
        <v>0</v>
      </c>
      <c r="L33" s="96" t="s">
        <v>537</v>
      </c>
      <c r="M33" s="98">
        <v>0</v>
      </c>
      <c r="N33" s="96">
        <f>N30-N32</f>
        <v>0.65902099999999997</v>
      </c>
      <c r="O33" s="98">
        <v>0</v>
      </c>
      <c r="P33" s="98">
        <v>0</v>
      </c>
      <c r="Q33" s="98">
        <v>0</v>
      </c>
      <c r="R33" s="96">
        <v>0</v>
      </c>
      <c r="S33" s="98">
        <v>0</v>
      </c>
      <c r="T33" s="98">
        <v>0</v>
      </c>
      <c r="U33" s="98">
        <v>0</v>
      </c>
      <c r="V33" s="98">
        <v>0</v>
      </c>
      <c r="W33" s="98">
        <v>0</v>
      </c>
      <c r="X33" s="98">
        <v>0</v>
      </c>
      <c r="Y33" s="98">
        <v>0</v>
      </c>
      <c r="Z33" s="98">
        <v>0</v>
      </c>
      <c r="AA33" s="98">
        <v>0</v>
      </c>
      <c r="AB33" s="96" t="s">
        <v>537</v>
      </c>
      <c r="AC33" s="96">
        <f>SUM(J33,N33,R33,V33,Z33)</f>
        <v>0.65902099999999997</v>
      </c>
    </row>
    <row r="34" spans="1:29" x14ac:dyDescent="0.25">
      <c r="A34" s="44" t="s">
        <v>160</v>
      </c>
      <c r="B34" s="25" t="s">
        <v>159</v>
      </c>
      <c r="C34" s="96" t="s">
        <v>537</v>
      </c>
      <c r="D34" s="96">
        <v>0</v>
      </c>
      <c r="E34" s="96">
        <f t="shared" si="4"/>
        <v>0</v>
      </c>
      <c r="F34" s="98">
        <f t="shared" si="5"/>
        <v>0</v>
      </c>
      <c r="G34" s="98">
        <v>0</v>
      </c>
      <c r="H34" s="96" t="s">
        <v>537</v>
      </c>
      <c r="I34" s="98">
        <v>0</v>
      </c>
      <c r="J34" s="98">
        <v>0</v>
      </c>
      <c r="K34" s="98">
        <v>0</v>
      </c>
      <c r="L34" s="96" t="s">
        <v>537</v>
      </c>
      <c r="M34" s="98">
        <v>0</v>
      </c>
      <c r="N34" s="96">
        <v>0</v>
      </c>
      <c r="O34" s="98">
        <v>0</v>
      </c>
      <c r="P34" s="98">
        <v>0</v>
      </c>
      <c r="Q34" s="98">
        <v>0</v>
      </c>
      <c r="R34" s="96">
        <f t="shared" si="7"/>
        <v>0</v>
      </c>
      <c r="S34" s="98">
        <v>0</v>
      </c>
      <c r="T34" s="98">
        <v>0</v>
      </c>
      <c r="U34" s="98">
        <v>0</v>
      </c>
      <c r="V34" s="98">
        <v>0</v>
      </c>
      <c r="W34" s="98">
        <v>0</v>
      </c>
      <c r="X34" s="98">
        <v>0</v>
      </c>
      <c r="Y34" s="98">
        <v>0</v>
      </c>
      <c r="Z34" s="98">
        <v>0</v>
      </c>
      <c r="AA34" s="98">
        <v>0</v>
      </c>
      <c r="AB34" s="96" t="s">
        <v>537</v>
      </c>
      <c r="AC34" s="96">
        <f t="shared" si="8"/>
        <v>0</v>
      </c>
    </row>
    <row r="35" spans="1:29" s="338" customFormat="1" ht="31.5" x14ac:dyDescent="0.25">
      <c r="A35" s="44" t="s">
        <v>60</v>
      </c>
      <c r="B35" s="43" t="s">
        <v>158</v>
      </c>
      <c r="C35" s="96" t="s">
        <v>537</v>
      </c>
      <c r="D35" s="96">
        <v>0</v>
      </c>
      <c r="E35" s="96">
        <f t="shared" si="4"/>
        <v>0</v>
      </c>
      <c r="F35" s="98">
        <f t="shared" si="5"/>
        <v>0</v>
      </c>
      <c r="G35" s="98">
        <v>0</v>
      </c>
      <c r="H35" s="96" t="s">
        <v>537</v>
      </c>
      <c r="I35" s="96">
        <v>0</v>
      </c>
      <c r="J35" s="98">
        <v>0</v>
      </c>
      <c r="K35" s="96">
        <v>0</v>
      </c>
      <c r="L35" s="96" t="s">
        <v>537</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t="s">
        <v>537</v>
      </c>
      <c r="AC35" s="96">
        <f t="shared" si="8"/>
        <v>0</v>
      </c>
    </row>
    <row r="36" spans="1:29" ht="31.5" x14ac:dyDescent="0.25">
      <c r="A36" s="41" t="s">
        <v>157</v>
      </c>
      <c r="B36" s="168" t="s">
        <v>156</v>
      </c>
      <c r="C36" s="96" t="s">
        <v>537</v>
      </c>
      <c r="D36" s="96">
        <v>0</v>
      </c>
      <c r="E36" s="96">
        <f t="shared" si="4"/>
        <v>0</v>
      </c>
      <c r="F36" s="98">
        <f t="shared" si="5"/>
        <v>0</v>
      </c>
      <c r="G36" s="98">
        <v>0</v>
      </c>
      <c r="H36" s="96" t="s">
        <v>537</v>
      </c>
      <c r="I36" s="98">
        <v>0</v>
      </c>
      <c r="J36" s="98">
        <v>0</v>
      </c>
      <c r="K36" s="98">
        <v>0</v>
      </c>
      <c r="L36" s="96" t="s">
        <v>537</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t="s">
        <v>537</v>
      </c>
      <c r="AC36" s="96">
        <f t="shared" si="8"/>
        <v>0</v>
      </c>
    </row>
    <row r="37" spans="1:29" x14ac:dyDescent="0.25">
      <c r="A37" s="41" t="s">
        <v>155</v>
      </c>
      <c r="B37" s="168" t="s">
        <v>145</v>
      </c>
      <c r="C37" s="96" t="s">
        <v>537</v>
      </c>
      <c r="D37" s="96">
        <v>0</v>
      </c>
      <c r="E37" s="96">
        <f t="shared" si="4"/>
        <v>0</v>
      </c>
      <c r="F37" s="98">
        <f t="shared" si="5"/>
        <v>0</v>
      </c>
      <c r="G37" s="98">
        <v>0</v>
      </c>
      <c r="H37" s="96" t="s">
        <v>537</v>
      </c>
      <c r="I37" s="98">
        <v>0</v>
      </c>
      <c r="J37" s="98">
        <v>0</v>
      </c>
      <c r="K37" s="98">
        <v>0</v>
      </c>
      <c r="L37" s="96" t="s">
        <v>537</v>
      </c>
      <c r="M37" s="98">
        <v>0</v>
      </c>
      <c r="N37" s="96">
        <v>0</v>
      </c>
      <c r="O37" s="98">
        <v>0</v>
      </c>
      <c r="P37" s="98">
        <v>0</v>
      </c>
      <c r="Q37" s="98">
        <v>0</v>
      </c>
      <c r="R37" s="98">
        <v>0.8</v>
      </c>
      <c r="S37" s="98">
        <v>0</v>
      </c>
      <c r="T37" s="98">
        <v>0</v>
      </c>
      <c r="U37" s="98">
        <v>0</v>
      </c>
      <c r="V37" s="98">
        <v>0</v>
      </c>
      <c r="W37" s="98">
        <v>0</v>
      </c>
      <c r="X37" s="98">
        <v>0</v>
      </c>
      <c r="Y37" s="98">
        <v>0</v>
      </c>
      <c r="Z37" s="98">
        <v>0</v>
      </c>
      <c r="AA37" s="98">
        <v>0</v>
      </c>
      <c r="AB37" s="96" t="s">
        <v>537</v>
      </c>
      <c r="AC37" s="96">
        <f t="shared" si="8"/>
        <v>0.8</v>
      </c>
    </row>
    <row r="38" spans="1:29" x14ac:dyDescent="0.25">
      <c r="A38" s="41" t="s">
        <v>154</v>
      </c>
      <c r="B38" s="168" t="s">
        <v>143</v>
      </c>
      <c r="C38" s="96" t="s">
        <v>537</v>
      </c>
      <c r="D38" s="96">
        <v>0</v>
      </c>
      <c r="E38" s="96">
        <f t="shared" si="4"/>
        <v>0</v>
      </c>
      <c r="F38" s="98">
        <f t="shared" si="5"/>
        <v>0</v>
      </c>
      <c r="G38" s="98">
        <v>0</v>
      </c>
      <c r="H38" s="96" t="s">
        <v>537</v>
      </c>
      <c r="I38" s="98">
        <v>0</v>
      </c>
      <c r="J38" s="98">
        <v>0</v>
      </c>
      <c r="K38" s="98">
        <v>0</v>
      </c>
      <c r="L38" s="96" t="s">
        <v>537</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t="s">
        <v>537</v>
      </c>
      <c r="AC38" s="96">
        <f t="shared" si="8"/>
        <v>0</v>
      </c>
    </row>
    <row r="39" spans="1:29" ht="31.5" x14ac:dyDescent="0.25">
      <c r="A39" s="41" t="s">
        <v>153</v>
      </c>
      <c r="B39" s="25" t="s">
        <v>141</v>
      </c>
      <c r="C39" s="96" t="s">
        <v>537</v>
      </c>
      <c r="D39" s="96">
        <v>0</v>
      </c>
      <c r="E39" s="96">
        <f t="shared" si="4"/>
        <v>0</v>
      </c>
      <c r="F39" s="98">
        <f t="shared" si="5"/>
        <v>0</v>
      </c>
      <c r="G39" s="98">
        <v>0</v>
      </c>
      <c r="H39" s="96" t="s">
        <v>537</v>
      </c>
      <c r="I39" s="98">
        <v>0</v>
      </c>
      <c r="J39" s="98">
        <v>0</v>
      </c>
      <c r="K39" s="98">
        <v>0</v>
      </c>
      <c r="L39" s="96" t="s">
        <v>537</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t="s">
        <v>537</v>
      </c>
      <c r="AC39" s="96">
        <f t="shared" si="8"/>
        <v>0</v>
      </c>
    </row>
    <row r="40" spans="1:29" ht="31.5" x14ac:dyDescent="0.25">
      <c r="A40" s="41" t="s">
        <v>152</v>
      </c>
      <c r="B40" s="25" t="s">
        <v>139</v>
      </c>
      <c r="C40" s="96" t="s">
        <v>537</v>
      </c>
      <c r="D40" s="96">
        <v>0</v>
      </c>
      <c r="E40" s="96">
        <f t="shared" si="4"/>
        <v>0</v>
      </c>
      <c r="F40" s="98">
        <f t="shared" si="5"/>
        <v>0</v>
      </c>
      <c r="G40" s="98">
        <v>0</v>
      </c>
      <c r="H40" s="96" t="s">
        <v>537</v>
      </c>
      <c r="I40" s="98">
        <v>0</v>
      </c>
      <c r="J40" s="98">
        <v>0</v>
      </c>
      <c r="K40" s="98">
        <v>0</v>
      </c>
      <c r="L40" s="96" t="s">
        <v>537</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t="s">
        <v>537</v>
      </c>
      <c r="AC40" s="96">
        <f t="shared" si="8"/>
        <v>0</v>
      </c>
    </row>
    <row r="41" spans="1:29" x14ac:dyDescent="0.25">
      <c r="A41" s="41" t="s">
        <v>151</v>
      </c>
      <c r="B41" s="25" t="s">
        <v>137</v>
      </c>
      <c r="C41" s="96" t="s">
        <v>537</v>
      </c>
      <c r="D41" s="96">
        <v>0.72</v>
      </c>
      <c r="E41" s="96">
        <f t="shared" si="4"/>
        <v>0.72</v>
      </c>
      <c r="F41" s="98">
        <f t="shared" si="5"/>
        <v>0.72</v>
      </c>
      <c r="G41" s="98">
        <v>0</v>
      </c>
      <c r="H41" s="96" t="s">
        <v>537</v>
      </c>
      <c r="I41" s="98">
        <v>0</v>
      </c>
      <c r="J41" s="98">
        <v>0</v>
      </c>
      <c r="K41" s="98">
        <v>0</v>
      </c>
      <c r="L41" s="96" t="s">
        <v>537</v>
      </c>
      <c r="M41" s="98">
        <v>0</v>
      </c>
      <c r="N41" s="96">
        <v>0</v>
      </c>
      <c r="O41" s="98">
        <v>0</v>
      </c>
      <c r="P41" s="98">
        <v>0</v>
      </c>
      <c r="Q41" s="98">
        <v>0</v>
      </c>
      <c r="R41" s="98">
        <v>0</v>
      </c>
      <c r="S41" s="98">
        <v>0</v>
      </c>
      <c r="T41" s="98">
        <v>0</v>
      </c>
      <c r="U41" s="98">
        <v>0</v>
      </c>
      <c r="V41" s="98">
        <v>0</v>
      </c>
      <c r="W41" s="98">
        <v>0</v>
      </c>
      <c r="X41" s="98">
        <v>0</v>
      </c>
      <c r="Y41" s="98">
        <v>0</v>
      </c>
      <c r="Z41" s="98">
        <v>0</v>
      </c>
      <c r="AA41" s="98">
        <v>0</v>
      </c>
      <c r="AB41" s="96" t="s">
        <v>537</v>
      </c>
      <c r="AC41" s="96">
        <f t="shared" si="8"/>
        <v>0</v>
      </c>
    </row>
    <row r="42" spans="1:29" ht="18.75" x14ac:dyDescent="0.25">
      <c r="A42" s="41" t="s">
        <v>150</v>
      </c>
      <c r="B42" s="168" t="s">
        <v>543</v>
      </c>
      <c r="C42" s="96" t="s">
        <v>537</v>
      </c>
      <c r="D42" s="96">
        <v>0</v>
      </c>
      <c r="E42" s="96">
        <f t="shared" si="4"/>
        <v>0</v>
      </c>
      <c r="F42" s="98">
        <f t="shared" si="5"/>
        <v>0</v>
      </c>
      <c r="G42" s="98">
        <v>0</v>
      </c>
      <c r="H42" s="96" t="s">
        <v>537</v>
      </c>
      <c r="I42" s="98">
        <v>0</v>
      </c>
      <c r="J42" s="98">
        <v>0</v>
      </c>
      <c r="K42" s="98">
        <v>0</v>
      </c>
      <c r="L42" s="96" t="s">
        <v>537</v>
      </c>
      <c r="M42" s="98">
        <v>0</v>
      </c>
      <c r="N42" s="96">
        <v>0</v>
      </c>
      <c r="O42" s="98">
        <v>0</v>
      </c>
      <c r="P42" s="98">
        <v>0</v>
      </c>
      <c r="Q42" s="98">
        <v>0</v>
      </c>
      <c r="R42" s="98">
        <v>0</v>
      </c>
      <c r="S42" s="98">
        <v>0</v>
      </c>
      <c r="T42" s="98">
        <v>0</v>
      </c>
      <c r="U42" s="98">
        <v>0</v>
      </c>
      <c r="V42" s="98">
        <v>0</v>
      </c>
      <c r="W42" s="98">
        <v>0</v>
      </c>
      <c r="X42" s="98">
        <v>0</v>
      </c>
      <c r="Y42" s="98">
        <v>0</v>
      </c>
      <c r="Z42" s="98">
        <v>0</v>
      </c>
      <c r="AA42" s="98">
        <v>0</v>
      </c>
      <c r="AB42" s="96" t="s">
        <v>537</v>
      </c>
      <c r="AC42" s="96">
        <f t="shared" si="8"/>
        <v>0</v>
      </c>
    </row>
    <row r="43" spans="1:29" s="338" customFormat="1" x14ac:dyDescent="0.25">
      <c r="A43" s="44" t="s">
        <v>59</v>
      </c>
      <c r="B43" s="43" t="s">
        <v>149</v>
      </c>
      <c r="C43" s="96" t="s">
        <v>537</v>
      </c>
      <c r="D43" s="96">
        <f>D30</f>
        <v>1.52813</v>
      </c>
      <c r="E43" s="96">
        <f t="shared" si="4"/>
        <v>1.52813</v>
      </c>
      <c r="F43" s="98">
        <f>D43-G43-J43-N43</f>
        <v>1.52813</v>
      </c>
      <c r="G43" s="98">
        <v>0</v>
      </c>
      <c r="H43" s="96" t="s">
        <v>537</v>
      </c>
      <c r="I43" s="96">
        <v>0</v>
      </c>
      <c r="J43" s="98">
        <v>0</v>
      </c>
      <c r="K43" s="96">
        <v>0</v>
      </c>
      <c r="L43" s="96" t="s">
        <v>537</v>
      </c>
      <c r="M43" s="96">
        <v>0</v>
      </c>
      <c r="N43" s="96">
        <v>0</v>
      </c>
      <c r="O43" s="96">
        <v>0</v>
      </c>
      <c r="P43" s="98">
        <v>0</v>
      </c>
      <c r="Q43" s="96">
        <v>0</v>
      </c>
      <c r="R43" s="98">
        <f>R30</f>
        <v>0</v>
      </c>
      <c r="S43" s="96">
        <v>0</v>
      </c>
      <c r="T43" s="98">
        <v>0</v>
      </c>
      <c r="U43" s="96">
        <v>0</v>
      </c>
      <c r="V43" s="96">
        <v>0</v>
      </c>
      <c r="W43" s="96">
        <v>0</v>
      </c>
      <c r="X43" s="98">
        <v>0</v>
      </c>
      <c r="Y43" s="96">
        <v>0</v>
      </c>
      <c r="Z43" s="96">
        <v>0</v>
      </c>
      <c r="AA43" s="96">
        <v>0</v>
      </c>
      <c r="AB43" s="96" t="s">
        <v>537</v>
      </c>
      <c r="AC43" s="96">
        <f t="shared" si="8"/>
        <v>0</v>
      </c>
    </row>
    <row r="44" spans="1:29" x14ac:dyDescent="0.25">
      <c r="A44" s="41" t="s">
        <v>148</v>
      </c>
      <c r="B44" s="25" t="s">
        <v>147</v>
      </c>
      <c r="C44" s="96" t="s">
        <v>537</v>
      </c>
      <c r="D44" s="96">
        <v>0</v>
      </c>
      <c r="E44" s="96">
        <f t="shared" si="4"/>
        <v>0</v>
      </c>
      <c r="F44" s="98">
        <f t="shared" si="5"/>
        <v>0</v>
      </c>
      <c r="G44" s="98">
        <v>0</v>
      </c>
      <c r="H44" s="96" t="s">
        <v>537</v>
      </c>
      <c r="I44" s="98">
        <v>0</v>
      </c>
      <c r="J44" s="98">
        <v>0</v>
      </c>
      <c r="K44" s="98">
        <v>0</v>
      </c>
      <c r="L44" s="96" t="s">
        <v>537</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t="s">
        <v>537</v>
      </c>
      <c r="AC44" s="96">
        <f t="shared" si="8"/>
        <v>0</v>
      </c>
    </row>
    <row r="45" spans="1:29" x14ac:dyDescent="0.25">
      <c r="A45" s="41" t="s">
        <v>146</v>
      </c>
      <c r="B45" s="25" t="s">
        <v>145</v>
      </c>
      <c r="C45" s="96" t="s">
        <v>537</v>
      </c>
      <c r="D45" s="96">
        <f>D37</f>
        <v>0</v>
      </c>
      <c r="E45" s="96">
        <f t="shared" si="4"/>
        <v>0</v>
      </c>
      <c r="F45" s="98">
        <f t="shared" si="5"/>
        <v>0</v>
      </c>
      <c r="G45" s="98">
        <v>0</v>
      </c>
      <c r="H45" s="96" t="s">
        <v>537</v>
      </c>
      <c r="I45" s="98">
        <v>0</v>
      </c>
      <c r="J45" s="98">
        <v>0</v>
      </c>
      <c r="K45" s="98">
        <v>0</v>
      </c>
      <c r="L45" s="96" t="s">
        <v>537</v>
      </c>
      <c r="M45" s="98">
        <v>0</v>
      </c>
      <c r="N45" s="96">
        <f>N37</f>
        <v>0</v>
      </c>
      <c r="O45" s="98">
        <v>0</v>
      </c>
      <c r="P45" s="98">
        <v>0</v>
      </c>
      <c r="Q45" s="98">
        <v>0</v>
      </c>
      <c r="R45" s="98">
        <v>0</v>
      </c>
      <c r="S45" s="98">
        <v>0</v>
      </c>
      <c r="T45" s="98">
        <v>0</v>
      </c>
      <c r="U45" s="98">
        <v>0</v>
      </c>
      <c r="V45" s="98">
        <v>0</v>
      </c>
      <c r="W45" s="98">
        <v>0</v>
      </c>
      <c r="X45" s="98">
        <v>0</v>
      </c>
      <c r="Y45" s="98">
        <v>0</v>
      </c>
      <c r="Z45" s="98">
        <v>0</v>
      </c>
      <c r="AA45" s="98">
        <v>0</v>
      </c>
      <c r="AB45" s="96" t="s">
        <v>537</v>
      </c>
      <c r="AC45" s="96">
        <f t="shared" si="8"/>
        <v>0</v>
      </c>
    </row>
    <row r="46" spans="1:29" x14ac:dyDescent="0.25">
      <c r="A46" s="41" t="s">
        <v>144</v>
      </c>
      <c r="B46" s="25" t="s">
        <v>143</v>
      </c>
      <c r="C46" s="96" t="s">
        <v>537</v>
      </c>
      <c r="D46" s="96">
        <v>0</v>
      </c>
      <c r="E46" s="96">
        <f t="shared" si="4"/>
        <v>0</v>
      </c>
      <c r="F46" s="98">
        <f t="shared" si="5"/>
        <v>0</v>
      </c>
      <c r="G46" s="98">
        <v>0</v>
      </c>
      <c r="H46" s="96" t="s">
        <v>537</v>
      </c>
      <c r="I46" s="98">
        <v>0</v>
      </c>
      <c r="J46" s="98">
        <v>0</v>
      </c>
      <c r="K46" s="98">
        <v>0</v>
      </c>
      <c r="L46" s="96" t="s">
        <v>537</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t="s">
        <v>537</v>
      </c>
      <c r="AC46" s="96">
        <f t="shared" si="8"/>
        <v>0</v>
      </c>
    </row>
    <row r="47" spans="1:29" ht="31.5" x14ac:dyDescent="0.25">
      <c r="A47" s="41" t="s">
        <v>142</v>
      </c>
      <c r="B47" s="25" t="s">
        <v>141</v>
      </c>
      <c r="C47" s="96" t="s">
        <v>537</v>
      </c>
      <c r="D47" s="96">
        <v>0</v>
      </c>
      <c r="E47" s="96">
        <f t="shared" si="4"/>
        <v>0</v>
      </c>
      <c r="F47" s="98">
        <f t="shared" si="5"/>
        <v>0</v>
      </c>
      <c r="G47" s="98">
        <v>0</v>
      </c>
      <c r="H47" s="96" t="s">
        <v>537</v>
      </c>
      <c r="I47" s="98">
        <v>0</v>
      </c>
      <c r="J47" s="98">
        <v>0</v>
      </c>
      <c r="K47" s="98">
        <v>0</v>
      </c>
      <c r="L47" s="96" t="s">
        <v>537</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t="s">
        <v>537</v>
      </c>
      <c r="AC47" s="96">
        <f t="shared" si="8"/>
        <v>0</v>
      </c>
    </row>
    <row r="48" spans="1:29" ht="31.5" x14ac:dyDescent="0.25">
      <c r="A48" s="41" t="s">
        <v>140</v>
      </c>
      <c r="B48" s="25" t="s">
        <v>139</v>
      </c>
      <c r="C48" s="96" t="s">
        <v>537</v>
      </c>
      <c r="D48" s="96">
        <v>0</v>
      </c>
      <c r="E48" s="96">
        <f t="shared" si="4"/>
        <v>0</v>
      </c>
      <c r="F48" s="98">
        <f t="shared" si="5"/>
        <v>0</v>
      </c>
      <c r="G48" s="98">
        <v>0</v>
      </c>
      <c r="H48" s="96" t="s">
        <v>537</v>
      </c>
      <c r="I48" s="98">
        <v>0</v>
      </c>
      <c r="J48" s="98">
        <v>0</v>
      </c>
      <c r="K48" s="98">
        <v>0</v>
      </c>
      <c r="L48" s="96" t="s">
        <v>537</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t="s">
        <v>537</v>
      </c>
      <c r="AC48" s="96">
        <f t="shared" si="8"/>
        <v>0</v>
      </c>
    </row>
    <row r="49" spans="1:29" x14ac:dyDescent="0.25">
      <c r="A49" s="41" t="s">
        <v>138</v>
      </c>
      <c r="B49" s="25" t="s">
        <v>137</v>
      </c>
      <c r="C49" s="96" t="s">
        <v>537</v>
      </c>
      <c r="D49" s="96">
        <f>D41</f>
        <v>0.72</v>
      </c>
      <c r="E49" s="96">
        <f t="shared" si="4"/>
        <v>0.72</v>
      </c>
      <c r="F49" s="98">
        <f t="shared" si="5"/>
        <v>0.72</v>
      </c>
      <c r="G49" s="98">
        <v>0</v>
      </c>
      <c r="H49" s="96" t="s">
        <v>537</v>
      </c>
      <c r="I49" s="98">
        <v>0</v>
      </c>
      <c r="J49" s="98">
        <v>0</v>
      </c>
      <c r="K49" s="98">
        <v>0</v>
      </c>
      <c r="L49" s="96" t="s">
        <v>537</v>
      </c>
      <c r="M49" s="98">
        <v>0</v>
      </c>
      <c r="N49" s="96">
        <f>N41</f>
        <v>0</v>
      </c>
      <c r="O49" s="98">
        <v>0</v>
      </c>
      <c r="P49" s="98">
        <v>0</v>
      </c>
      <c r="Q49" s="98">
        <v>0</v>
      </c>
      <c r="R49" s="98">
        <v>0</v>
      </c>
      <c r="S49" s="98">
        <v>0</v>
      </c>
      <c r="T49" s="98">
        <v>0</v>
      </c>
      <c r="U49" s="98">
        <v>0</v>
      </c>
      <c r="V49" s="98">
        <v>0</v>
      </c>
      <c r="W49" s="98">
        <v>0</v>
      </c>
      <c r="X49" s="98">
        <v>0</v>
      </c>
      <c r="Y49" s="98">
        <v>0</v>
      </c>
      <c r="Z49" s="98">
        <v>0</v>
      </c>
      <c r="AA49" s="98">
        <v>0</v>
      </c>
      <c r="AB49" s="96" t="s">
        <v>537</v>
      </c>
      <c r="AC49" s="96">
        <f t="shared" si="8"/>
        <v>0</v>
      </c>
    </row>
    <row r="50" spans="1:29" ht="18.75" x14ac:dyDescent="0.25">
      <c r="A50" s="41" t="s">
        <v>136</v>
      </c>
      <c r="B50" s="168" t="s">
        <v>543</v>
      </c>
      <c r="C50" s="96" t="s">
        <v>537</v>
      </c>
      <c r="D50" s="96">
        <v>0</v>
      </c>
      <c r="E50" s="96">
        <f t="shared" si="4"/>
        <v>0</v>
      </c>
      <c r="F50" s="98">
        <f t="shared" si="5"/>
        <v>0</v>
      </c>
      <c r="G50" s="98">
        <v>0</v>
      </c>
      <c r="H50" s="96" t="s">
        <v>537</v>
      </c>
      <c r="I50" s="98">
        <v>0</v>
      </c>
      <c r="J50" s="98">
        <v>0</v>
      </c>
      <c r="K50" s="98">
        <v>0</v>
      </c>
      <c r="L50" s="96" t="s">
        <v>537</v>
      </c>
      <c r="M50" s="98">
        <v>0</v>
      </c>
      <c r="N50" s="96">
        <v>0</v>
      </c>
      <c r="O50" s="98">
        <v>0</v>
      </c>
      <c r="P50" s="98">
        <v>0</v>
      </c>
      <c r="Q50" s="98">
        <v>0</v>
      </c>
      <c r="R50" s="98">
        <v>0</v>
      </c>
      <c r="S50" s="98">
        <v>0</v>
      </c>
      <c r="T50" s="98">
        <v>0</v>
      </c>
      <c r="U50" s="98">
        <v>0</v>
      </c>
      <c r="V50" s="98">
        <v>0</v>
      </c>
      <c r="W50" s="98">
        <v>0</v>
      </c>
      <c r="X50" s="98">
        <v>0</v>
      </c>
      <c r="Y50" s="98">
        <v>0</v>
      </c>
      <c r="Z50" s="98">
        <v>0</v>
      </c>
      <c r="AA50" s="98">
        <v>0</v>
      </c>
      <c r="AB50" s="96" t="s">
        <v>537</v>
      </c>
      <c r="AC50" s="96">
        <f t="shared" si="8"/>
        <v>0</v>
      </c>
    </row>
    <row r="51" spans="1:29" s="338" customFormat="1" ht="35.25" customHeight="1" x14ac:dyDescent="0.25">
      <c r="A51" s="44" t="s">
        <v>57</v>
      </c>
      <c r="B51" s="43" t="s">
        <v>135</v>
      </c>
      <c r="C51" s="96" t="s">
        <v>537</v>
      </c>
      <c r="D51" s="96">
        <v>0</v>
      </c>
      <c r="E51" s="96">
        <f t="shared" si="4"/>
        <v>0</v>
      </c>
      <c r="F51" s="98">
        <f t="shared" si="5"/>
        <v>0</v>
      </c>
      <c r="G51" s="98">
        <v>0</v>
      </c>
      <c r="H51" s="96" t="s">
        <v>537</v>
      </c>
      <c r="I51" s="96">
        <v>0</v>
      </c>
      <c r="J51" s="98">
        <v>0</v>
      </c>
      <c r="K51" s="96">
        <v>0</v>
      </c>
      <c r="L51" s="96" t="s">
        <v>537</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t="s">
        <v>537</v>
      </c>
      <c r="AC51" s="96">
        <f t="shared" si="8"/>
        <v>0</v>
      </c>
    </row>
    <row r="52" spans="1:29" x14ac:dyDescent="0.25">
      <c r="A52" s="41" t="s">
        <v>134</v>
      </c>
      <c r="B52" s="25" t="s">
        <v>133</v>
      </c>
      <c r="C52" s="96" t="s">
        <v>537</v>
      </c>
      <c r="D52" s="96">
        <f>D30</f>
        <v>1.52813</v>
      </c>
      <c r="E52" s="96">
        <f t="shared" si="4"/>
        <v>1.52813</v>
      </c>
      <c r="F52" s="98">
        <f t="shared" si="5"/>
        <v>1.52813</v>
      </c>
      <c r="G52" s="98">
        <v>0</v>
      </c>
      <c r="H52" s="96" t="s">
        <v>537</v>
      </c>
      <c r="I52" s="98">
        <v>0</v>
      </c>
      <c r="J52" s="98">
        <v>0</v>
      </c>
      <c r="K52" s="98">
        <v>0</v>
      </c>
      <c r="L52" s="96" t="s">
        <v>537</v>
      </c>
      <c r="M52" s="98">
        <v>0</v>
      </c>
      <c r="N52" s="96">
        <v>0</v>
      </c>
      <c r="O52" s="98">
        <v>0</v>
      </c>
      <c r="P52" s="98">
        <v>0</v>
      </c>
      <c r="Q52" s="98">
        <v>0</v>
      </c>
      <c r="R52" s="98">
        <f>R43</f>
        <v>0</v>
      </c>
      <c r="S52" s="98">
        <v>0</v>
      </c>
      <c r="T52" s="98">
        <v>0</v>
      </c>
      <c r="U52" s="98">
        <v>0</v>
      </c>
      <c r="V52" s="98">
        <v>0</v>
      </c>
      <c r="W52" s="98">
        <v>0</v>
      </c>
      <c r="X52" s="98">
        <v>0</v>
      </c>
      <c r="Y52" s="98">
        <v>0</v>
      </c>
      <c r="Z52" s="98">
        <v>0</v>
      </c>
      <c r="AA52" s="98">
        <v>0</v>
      </c>
      <c r="AB52" s="96" t="s">
        <v>537</v>
      </c>
      <c r="AC52" s="96">
        <f t="shared" si="8"/>
        <v>0</v>
      </c>
    </row>
    <row r="53" spans="1:29" x14ac:dyDescent="0.25">
      <c r="A53" s="41" t="s">
        <v>132</v>
      </c>
      <c r="B53" s="25" t="s">
        <v>126</v>
      </c>
      <c r="C53" s="96" t="s">
        <v>537</v>
      </c>
      <c r="D53" s="96">
        <v>0</v>
      </c>
      <c r="E53" s="96">
        <f t="shared" si="4"/>
        <v>0</v>
      </c>
      <c r="F53" s="98">
        <f t="shared" si="5"/>
        <v>0</v>
      </c>
      <c r="G53" s="98">
        <v>0</v>
      </c>
      <c r="H53" s="96" t="s">
        <v>537</v>
      </c>
      <c r="I53" s="98">
        <v>0</v>
      </c>
      <c r="J53" s="98">
        <v>0</v>
      </c>
      <c r="K53" s="98">
        <v>0</v>
      </c>
      <c r="L53" s="96" t="s">
        <v>537</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t="s">
        <v>537</v>
      </c>
      <c r="AC53" s="96">
        <f t="shared" si="8"/>
        <v>0</v>
      </c>
    </row>
    <row r="54" spans="1:29" x14ac:dyDescent="0.25">
      <c r="A54" s="41" t="s">
        <v>131</v>
      </c>
      <c r="B54" s="168" t="s">
        <v>125</v>
      </c>
      <c r="C54" s="96" t="s">
        <v>537</v>
      </c>
      <c r="D54" s="96">
        <f>D37</f>
        <v>0</v>
      </c>
      <c r="E54" s="96">
        <f t="shared" si="4"/>
        <v>0</v>
      </c>
      <c r="F54" s="98">
        <f t="shared" si="5"/>
        <v>0</v>
      </c>
      <c r="G54" s="98">
        <v>0</v>
      </c>
      <c r="H54" s="96" t="s">
        <v>537</v>
      </c>
      <c r="I54" s="98">
        <v>0</v>
      </c>
      <c r="J54" s="98">
        <v>0</v>
      </c>
      <c r="K54" s="98">
        <v>0</v>
      </c>
      <c r="L54" s="96" t="s">
        <v>537</v>
      </c>
      <c r="M54" s="98">
        <v>0</v>
      </c>
      <c r="N54" s="96">
        <f>N45</f>
        <v>0</v>
      </c>
      <c r="O54" s="98">
        <v>0</v>
      </c>
      <c r="P54" s="98">
        <v>0</v>
      </c>
      <c r="Q54" s="98">
        <v>0</v>
      </c>
      <c r="R54" s="98">
        <v>0</v>
      </c>
      <c r="S54" s="98">
        <v>0</v>
      </c>
      <c r="T54" s="98">
        <v>0</v>
      </c>
      <c r="U54" s="98">
        <v>0</v>
      </c>
      <c r="V54" s="98">
        <v>0</v>
      </c>
      <c r="W54" s="98">
        <v>0</v>
      </c>
      <c r="X54" s="98">
        <v>0</v>
      </c>
      <c r="Y54" s="98">
        <v>0</v>
      </c>
      <c r="Z54" s="98">
        <v>0</v>
      </c>
      <c r="AA54" s="98">
        <v>0</v>
      </c>
      <c r="AB54" s="96" t="s">
        <v>537</v>
      </c>
      <c r="AC54" s="96">
        <f>SUM(J54,N54,R54,V54,Z54)</f>
        <v>0</v>
      </c>
    </row>
    <row r="55" spans="1:29" x14ac:dyDescent="0.25">
      <c r="A55" s="41" t="s">
        <v>130</v>
      </c>
      <c r="B55" s="168" t="s">
        <v>124</v>
      </c>
      <c r="C55" s="96" t="s">
        <v>537</v>
      </c>
      <c r="D55" s="96">
        <v>0</v>
      </c>
      <c r="E55" s="96">
        <f t="shared" si="4"/>
        <v>0</v>
      </c>
      <c r="F55" s="98">
        <f t="shared" si="5"/>
        <v>0</v>
      </c>
      <c r="G55" s="98">
        <v>0</v>
      </c>
      <c r="H55" s="96" t="s">
        <v>537</v>
      </c>
      <c r="I55" s="98">
        <v>0</v>
      </c>
      <c r="J55" s="98">
        <v>0</v>
      </c>
      <c r="K55" s="98">
        <v>0</v>
      </c>
      <c r="L55" s="96" t="s">
        <v>537</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t="s">
        <v>537</v>
      </c>
      <c r="AC55" s="96">
        <f t="shared" si="8"/>
        <v>0</v>
      </c>
    </row>
    <row r="56" spans="1:29" x14ac:dyDescent="0.25">
      <c r="A56" s="41" t="s">
        <v>129</v>
      </c>
      <c r="B56" s="168" t="s">
        <v>123</v>
      </c>
      <c r="C56" s="96" t="s">
        <v>537</v>
      </c>
      <c r="D56" s="96">
        <f>D41</f>
        <v>0.72</v>
      </c>
      <c r="E56" s="96">
        <f t="shared" si="4"/>
        <v>0.72</v>
      </c>
      <c r="F56" s="98">
        <f t="shared" si="5"/>
        <v>0.72</v>
      </c>
      <c r="G56" s="98">
        <v>0</v>
      </c>
      <c r="H56" s="96" t="s">
        <v>537</v>
      </c>
      <c r="I56" s="98">
        <v>0</v>
      </c>
      <c r="J56" s="98">
        <v>0</v>
      </c>
      <c r="K56" s="98">
        <v>0</v>
      </c>
      <c r="L56" s="96" t="s">
        <v>537</v>
      </c>
      <c r="M56" s="98">
        <v>0</v>
      </c>
      <c r="N56" s="96">
        <f>N41</f>
        <v>0</v>
      </c>
      <c r="O56" s="98">
        <v>0</v>
      </c>
      <c r="P56" s="98">
        <v>0</v>
      </c>
      <c r="Q56" s="98">
        <v>0</v>
      </c>
      <c r="R56" s="98">
        <v>0</v>
      </c>
      <c r="S56" s="98">
        <v>0</v>
      </c>
      <c r="T56" s="98">
        <v>0</v>
      </c>
      <c r="U56" s="98">
        <v>0</v>
      </c>
      <c r="V56" s="98">
        <v>0</v>
      </c>
      <c r="W56" s="98">
        <v>0</v>
      </c>
      <c r="X56" s="98">
        <v>0</v>
      </c>
      <c r="Y56" s="98">
        <v>0</v>
      </c>
      <c r="Z56" s="98">
        <v>0</v>
      </c>
      <c r="AA56" s="98">
        <v>0</v>
      </c>
      <c r="AB56" s="96" t="s">
        <v>537</v>
      </c>
      <c r="AC56" s="96">
        <f t="shared" si="8"/>
        <v>0</v>
      </c>
    </row>
    <row r="57" spans="1:29" ht="18.75" x14ac:dyDescent="0.25">
      <c r="A57" s="41" t="s">
        <v>128</v>
      </c>
      <c r="B57" s="168" t="s">
        <v>543</v>
      </c>
      <c r="C57" s="96" t="s">
        <v>537</v>
      </c>
      <c r="D57" s="96">
        <v>0</v>
      </c>
      <c r="E57" s="96">
        <f t="shared" si="4"/>
        <v>0</v>
      </c>
      <c r="F57" s="98">
        <f t="shared" si="5"/>
        <v>0</v>
      </c>
      <c r="G57" s="98">
        <v>0</v>
      </c>
      <c r="H57" s="96" t="s">
        <v>537</v>
      </c>
      <c r="I57" s="98">
        <v>0</v>
      </c>
      <c r="J57" s="98">
        <v>0</v>
      </c>
      <c r="K57" s="98">
        <v>0</v>
      </c>
      <c r="L57" s="96" t="s">
        <v>537</v>
      </c>
      <c r="M57" s="98">
        <v>0</v>
      </c>
      <c r="N57" s="96">
        <v>0</v>
      </c>
      <c r="O57" s="98">
        <v>0</v>
      </c>
      <c r="P57" s="98">
        <v>0</v>
      </c>
      <c r="Q57" s="98">
        <v>0</v>
      </c>
      <c r="R57" s="98">
        <v>0</v>
      </c>
      <c r="S57" s="98">
        <v>0</v>
      </c>
      <c r="T57" s="98">
        <v>0</v>
      </c>
      <c r="U57" s="98">
        <v>0</v>
      </c>
      <c r="V57" s="98">
        <v>0</v>
      </c>
      <c r="W57" s="98">
        <v>0</v>
      </c>
      <c r="X57" s="98">
        <v>0</v>
      </c>
      <c r="Y57" s="98">
        <v>0</v>
      </c>
      <c r="Z57" s="98">
        <v>0</v>
      </c>
      <c r="AA57" s="98">
        <v>0</v>
      </c>
      <c r="AB57" s="96" t="s">
        <v>537</v>
      </c>
      <c r="AC57" s="96">
        <f t="shared" si="8"/>
        <v>0</v>
      </c>
    </row>
    <row r="58" spans="1:29" s="338" customFormat="1" ht="36.75" customHeight="1" x14ac:dyDescent="0.25">
      <c r="A58" s="44" t="s">
        <v>56</v>
      </c>
      <c r="B58" s="169" t="s">
        <v>207</v>
      </c>
      <c r="C58" s="96" t="s">
        <v>537</v>
      </c>
      <c r="D58" s="96">
        <f>D30</f>
        <v>1.52813</v>
      </c>
      <c r="E58" s="96">
        <f t="shared" si="4"/>
        <v>1.52813</v>
      </c>
      <c r="F58" s="98">
        <f t="shared" si="5"/>
        <v>1.52813</v>
      </c>
      <c r="G58" s="98">
        <v>0</v>
      </c>
      <c r="H58" s="96" t="s">
        <v>537</v>
      </c>
      <c r="I58" s="96">
        <v>0</v>
      </c>
      <c r="J58" s="98">
        <v>0</v>
      </c>
      <c r="K58" s="96">
        <v>0</v>
      </c>
      <c r="L58" s="96" t="s">
        <v>537</v>
      </c>
      <c r="M58" s="96">
        <v>0</v>
      </c>
      <c r="N58" s="96">
        <f>N52</f>
        <v>0</v>
      </c>
      <c r="O58" s="96">
        <v>0</v>
      </c>
      <c r="P58" s="98">
        <v>0</v>
      </c>
      <c r="Q58" s="96">
        <v>0</v>
      </c>
      <c r="R58" s="98">
        <f>R52</f>
        <v>0</v>
      </c>
      <c r="S58" s="96">
        <v>0</v>
      </c>
      <c r="T58" s="98">
        <v>0</v>
      </c>
      <c r="U58" s="96">
        <v>0</v>
      </c>
      <c r="V58" s="96">
        <v>0</v>
      </c>
      <c r="W58" s="96">
        <v>0</v>
      </c>
      <c r="X58" s="98">
        <v>0</v>
      </c>
      <c r="Y58" s="96">
        <v>0</v>
      </c>
      <c r="Z58" s="96">
        <v>0</v>
      </c>
      <c r="AA58" s="96">
        <v>0</v>
      </c>
      <c r="AB58" s="96" t="s">
        <v>537</v>
      </c>
      <c r="AC58" s="96">
        <f>SUM(J58,N58,R58,V58,Z58)</f>
        <v>0</v>
      </c>
    </row>
    <row r="59" spans="1:29" s="338" customFormat="1" x14ac:dyDescent="0.25">
      <c r="A59" s="44" t="s">
        <v>54</v>
      </c>
      <c r="B59" s="43" t="s">
        <v>127</v>
      </c>
      <c r="C59" s="96" t="s">
        <v>537</v>
      </c>
      <c r="D59" s="96">
        <v>0</v>
      </c>
      <c r="E59" s="96">
        <f t="shared" si="4"/>
        <v>0</v>
      </c>
      <c r="F59" s="98">
        <f t="shared" si="5"/>
        <v>0</v>
      </c>
      <c r="G59" s="98">
        <v>0</v>
      </c>
      <c r="H59" s="96" t="s">
        <v>537</v>
      </c>
      <c r="I59" s="96">
        <v>0</v>
      </c>
      <c r="J59" s="98">
        <v>0</v>
      </c>
      <c r="K59" s="96">
        <v>0</v>
      </c>
      <c r="L59" s="96" t="s">
        <v>537</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t="s">
        <v>537</v>
      </c>
      <c r="AC59" s="96">
        <f t="shared" si="8"/>
        <v>0</v>
      </c>
    </row>
    <row r="60" spans="1:29" x14ac:dyDescent="0.25">
      <c r="A60" s="41" t="s">
        <v>201</v>
      </c>
      <c r="B60" s="170" t="s">
        <v>147</v>
      </c>
      <c r="C60" s="96" t="s">
        <v>537</v>
      </c>
      <c r="D60" s="96">
        <v>0</v>
      </c>
      <c r="E60" s="96">
        <f t="shared" si="4"/>
        <v>0</v>
      </c>
      <c r="F60" s="98">
        <f t="shared" si="5"/>
        <v>0</v>
      </c>
      <c r="G60" s="98">
        <v>0</v>
      </c>
      <c r="H60" s="96" t="s">
        <v>537</v>
      </c>
      <c r="I60" s="98">
        <v>0</v>
      </c>
      <c r="J60" s="98">
        <v>0</v>
      </c>
      <c r="K60" s="98">
        <v>0</v>
      </c>
      <c r="L60" s="96" t="s">
        <v>537</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t="s">
        <v>537</v>
      </c>
      <c r="AC60" s="96">
        <f t="shared" si="8"/>
        <v>0</v>
      </c>
    </row>
    <row r="61" spans="1:29" x14ac:dyDescent="0.25">
      <c r="A61" s="41" t="s">
        <v>202</v>
      </c>
      <c r="B61" s="170" t="s">
        <v>145</v>
      </c>
      <c r="C61" s="96" t="s">
        <v>537</v>
      </c>
      <c r="D61" s="96">
        <v>0</v>
      </c>
      <c r="E61" s="96">
        <f t="shared" si="4"/>
        <v>0</v>
      </c>
      <c r="F61" s="98">
        <f t="shared" si="5"/>
        <v>0</v>
      </c>
      <c r="G61" s="98">
        <v>0</v>
      </c>
      <c r="H61" s="96" t="s">
        <v>537</v>
      </c>
      <c r="I61" s="98">
        <v>0</v>
      </c>
      <c r="J61" s="98">
        <v>0</v>
      </c>
      <c r="K61" s="98">
        <v>0</v>
      </c>
      <c r="L61" s="96" t="s">
        <v>537</v>
      </c>
      <c r="M61" s="98">
        <v>0</v>
      </c>
      <c r="N61" s="96">
        <v>0</v>
      </c>
      <c r="O61" s="98">
        <v>0</v>
      </c>
      <c r="P61" s="98">
        <v>0</v>
      </c>
      <c r="Q61" s="98">
        <v>0</v>
      </c>
      <c r="R61" s="98">
        <v>0</v>
      </c>
      <c r="S61" s="98">
        <v>0</v>
      </c>
      <c r="T61" s="98">
        <v>0</v>
      </c>
      <c r="U61" s="98">
        <v>0</v>
      </c>
      <c r="V61" s="98">
        <v>0</v>
      </c>
      <c r="W61" s="98">
        <v>0</v>
      </c>
      <c r="X61" s="98">
        <v>0</v>
      </c>
      <c r="Y61" s="98">
        <v>0</v>
      </c>
      <c r="Z61" s="98">
        <v>0</v>
      </c>
      <c r="AA61" s="98">
        <v>0</v>
      </c>
      <c r="AB61" s="96" t="s">
        <v>537</v>
      </c>
      <c r="AC61" s="96">
        <f t="shared" si="8"/>
        <v>0</v>
      </c>
    </row>
    <row r="62" spans="1:29" x14ac:dyDescent="0.25">
      <c r="A62" s="41" t="s">
        <v>203</v>
      </c>
      <c r="B62" s="170" t="s">
        <v>143</v>
      </c>
      <c r="C62" s="96" t="s">
        <v>537</v>
      </c>
      <c r="D62" s="96">
        <v>0</v>
      </c>
      <c r="E62" s="96">
        <f t="shared" si="4"/>
        <v>0</v>
      </c>
      <c r="F62" s="98">
        <f t="shared" si="5"/>
        <v>0</v>
      </c>
      <c r="G62" s="98">
        <v>0</v>
      </c>
      <c r="H62" s="96" t="s">
        <v>537</v>
      </c>
      <c r="I62" s="98">
        <v>0</v>
      </c>
      <c r="J62" s="98">
        <v>0</v>
      </c>
      <c r="K62" s="98">
        <v>0</v>
      </c>
      <c r="L62" s="96" t="s">
        <v>537</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t="s">
        <v>537</v>
      </c>
      <c r="AC62" s="96">
        <f t="shared" si="8"/>
        <v>0</v>
      </c>
    </row>
    <row r="63" spans="1:29" x14ac:dyDescent="0.25">
      <c r="A63" s="41" t="s">
        <v>204</v>
      </c>
      <c r="B63" s="170" t="s">
        <v>206</v>
      </c>
      <c r="C63" s="96" t="s">
        <v>537</v>
      </c>
      <c r="D63" s="96">
        <v>0</v>
      </c>
      <c r="E63" s="96">
        <f t="shared" si="4"/>
        <v>0</v>
      </c>
      <c r="F63" s="98">
        <f t="shared" si="5"/>
        <v>0</v>
      </c>
      <c r="G63" s="98">
        <v>0</v>
      </c>
      <c r="H63" s="96" t="s">
        <v>537</v>
      </c>
      <c r="I63" s="98">
        <v>0</v>
      </c>
      <c r="J63" s="98">
        <v>0</v>
      </c>
      <c r="K63" s="98">
        <v>0</v>
      </c>
      <c r="L63" s="96" t="s">
        <v>537</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t="s">
        <v>537</v>
      </c>
      <c r="AC63" s="96">
        <f t="shared" si="8"/>
        <v>0</v>
      </c>
    </row>
    <row r="64" spans="1:29" ht="18.75" x14ac:dyDescent="0.25">
      <c r="A64" s="41" t="s">
        <v>205</v>
      </c>
      <c r="B64" s="168" t="s">
        <v>543</v>
      </c>
      <c r="C64" s="96" t="s">
        <v>537</v>
      </c>
      <c r="D64" s="96">
        <v>0</v>
      </c>
      <c r="E64" s="96">
        <f t="shared" si="4"/>
        <v>0</v>
      </c>
      <c r="F64" s="98">
        <f t="shared" si="5"/>
        <v>0</v>
      </c>
      <c r="G64" s="98">
        <v>0</v>
      </c>
      <c r="H64" s="96" t="s">
        <v>537</v>
      </c>
      <c r="I64" s="98">
        <v>0</v>
      </c>
      <c r="J64" s="98">
        <v>0</v>
      </c>
      <c r="K64" s="98">
        <v>0</v>
      </c>
      <c r="L64" s="96" t="s">
        <v>537</v>
      </c>
      <c r="M64" s="98">
        <v>0</v>
      </c>
      <c r="N64" s="96">
        <v>0</v>
      </c>
      <c r="O64" s="98">
        <v>0</v>
      </c>
      <c r="P64" s="98">
        <v>0</v>
      </c>
      <c r="Q64" s="98">
        <v>0</v>
      </c>
      <c r="R64" s="98">
        <v>0</v>
      </c>
      <c r="S64" s="98">
        <v>0</v>
      </c>
      <c r="T64" s="98">
        <v>0</v>
      </c>
      <c r="U64" s="98">
        <v>0</v>
      </c>
      <c r="V64" s="98">
        <v>0</v>
      </c>
      <c r="W64" s="98">
        <v>0</v>
      </c>
      <c r="X64" s="98">
        <v>0</v>
      </c>
      <c r="Y64" s="98">
        <v>0</v>
      </c>
      <c r="Z64" s="98">
        <v>0</v>
      </c>
      <c r="AA64" s="98">
        <v>0</v>
      </c>
      <c r="AB64" s="96" t="s">
        <v>537</v>
      </c>
      <c r="AC64" s="96">
        <f t="shared" si="8"/>
        <v>0</v>
      </c>
    </row>
    <row r="65" spans="1:28" x14ac:dyDescent="0.25">
      <c r="A65" s="38"/>
      <c r="B65" s="33"/>
      <c r="C65" s="33"/>
      <c r="D65" s="33"/>
      <c r="E65" s="33"/>
      <c r="F65" s="33"/>
      <c r="G65" s="33"/>
    </row>
    <row r="66" spans="1:28" ht="54" customHeight="1" x14ac:dyDescent="0.25">
      <c r="B66" s="419"/>
      <c r="C66" s="419"/>
      <c r="D66" s="419"/>
      <c r="E66" s="419"/>
      <c r="F66" s="419"/>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19"/>
      <c r="C68" s="419"/>
      <c r="D68" s="419"/>
      <c r="E68" s="419"/>
      <c r="F68" s="419"/>
      <c r="G68" s="35"/>
    </row>
    <row r="70" spans="1:28" ht="36.75" customHeight="1" x14ac:dyDescent="0.25">
      <c r="B70" s="419"/>
      <c r="C70" s="419"/>
      <c r="D70" s="419"/>
      <c r="E70" s="419"/>
      <c r="F70" s="419"/>
      <c r="G70" s="35"/>
    </row>
    <row r="72" spans="1:28" ht="51" customHeight="1" x14ac:dyDescent="0.25">
      <c r="B72" s="419"/>
      <c r="C72" s="419"/>
      <c r="D72" s="419"/>
      <c r="E72" s="419"/>
      <c r="F72" s="419"/>
      <c r="G72" s="35"/>
    </row>
    <row r="73" spans="1:28" ht="32.25" customHeight="1" x14ac:dyDescent="0.25">
      <c r="B73" s="419"/>
      <c r="C73" s="419"/>
      <c r="D73" s="419"/>
      <c r="E73" s="419"/>
      <c r="F73" s="419"/>
      <c r="G73" s="35"/>
    </row>
    <row r="74" spans="1:28" ht="51.75" customHeight="1" x14ac:dyDescent="0.25">
      <c r="B74" s="419"/>
      <c r="C74" s="419"/>
      <c r="D74" s="419"/>
      <c r="E74" s="419"/>
      <c r="F74" s="419"/>
      <c r="G74" s="35"/>
    </row>
    <row r="75" spans="1:28" ht="21.75" customHeight="1" x14ac:dyDescent="0.25">
      <c r="B75" s="425"/>
      <c r="C75" s="425"/>
      <c r="D75" s="425"/>
      <c r="E75" s="425"/>
      <c r="F75" s="425"/>
      <c r="G75" s="34"/>
    </row>
    <row r="76" spans="1:28" ht="23.25" customHeight="1" x14ac:dyDescent="0.25"/>
    <row r="77" spans="1:28" ht="18.75" customHeight="1" x14ac:dyDescent="0.25">
      <c r="B77" s="418"/>
      <c r="C77" s="418"/>
      <c r="D77" s="418"/>
      <c r="E77" s="418"/>
      <c r="F77" s="418"/>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S1"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2"/>
    </row>
    <row r="7" spans="1:48" ht="18.75" x14ac:dyDescent="0.25">
      <c r="A7" s="355" t="s">
        <v>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ht="15.75"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ht="15.75" x14ac:dyDescent="0.25">
      <c r="A12" s="360" t="str">
        <f>'1. паспорт местоположение'!A12:C12</f>
        <v>L_21-09</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ht="15.75" x14ac:dyDescent="0.25">
      <c r="A15" s="353" t="str">
        <f>'1. паспорт местоположение'!A15:C15</f>
        <v>Строительство сетей электроснабжения дошкольного учереждения в Калининграде п. Васильково</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x14ac:dyDescent="0.25">
      <c r="A21" s="448" t="s">
        <v>406</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ht="58.5" customHeight="1" x14ac:dyDescent="0.25">
      <c r="A22" s="449" t="s">
        <v>50</v>
      </c>
      <c r="B22" s="453" t="s">
        <v>22</v>
      </c>
      <c r="C22" s="439" t="s">
        <v>49</v>
      </c>
      <c r="D22" s="439" t="s">
        <v>48</v>
      </c>
      <c r="E22" s="456" t="s">
        <v>416</v>
      </c>
      <c r="F22" s="457"/>
      <c r="G22" s="457"/>
      <c r="H22" s="457"/>
      <c r="I22" s="457"/>
      <c r="J22" s="457"/>
      <c r="K22" s="457"/>
      <c r="L22" s="458"/>
      <c r="M22" s="439" t="s">
        <v>47</v>
      </c>
      <c r="N22" s="439" t="s">
        <v>46</v>
      </c>
      <c r="O22" s="439" t="s">
        <v>45</v>
      </c>
      <c r="P22" s="434" t="s">
        <v>228</v>
      </c>
      <c r="Q22" s="434" t="s">
        <v>44</v>
      </c>
      <c r="R22" s="434" t="s">
        <v>43</v>
      </c>
      <c r="S22" s="434" t="s">
        <v>42</v>
      </c>
      <c r="T22" s="434"/>
      <c r="U22" s="441" t="s">
        <v>41</v>
      </c>
      <c r="V22" s="441" t="s">
        <v>40</v>
      </c>
      <c r="W22" s="434" t="s">
        <v>39</v>
      </c>
      <c r="X22" s="434" t="s">
        <v>38</v>
      </c>
      <c r="Y22" s="434" t="s">
        <v>37</v>
      </c>
      <c r="Z22" s="441" t="s">
        <v>36</v>
      </c>
      <c r="AA22" s="434" t="s">
        <v>35</v>
      </c>
      <c r="AB22" s="434" t="s">
        <v>34</v>
      </c>
      <c r="AC22" s="434" t="s">
        <v>33</v>
      </c>
      <c r="AD22" s="434" t="s">
        <v>32</v>
      </c>
      <c r="AE22" s="434" t="s">
        <v>31</v>
      </c>
      <c r="AF22" s="434" t="s">
        <v>30</v>
      </c>
      <c r="AG22" s="434"/>
      <c r="AH22" s="434"/>
      <c r="AI22" s="434"/>
      <c r="AJ22" s="434"/>
      <c r="AK22" s="434"/>
      <c r="AL22" s="434" t="s">
        <v>29</v>
      </c>
      <c r="AM22" s="434"/>
      <c r="AN22" s="434"/>
      <c r="AO22" s="434"/>
      <c r="AP22" s="434" t="s">
        <v>28</v>
      </c>
      <c r="AQ22" s="434"/>
      <c r="AR22" s="434" t="s">
        <v>27</v>
      </c>
      <c r="AS22" s="434" t="s">
        <v>26</v>
      </c>
      <c r="AT22" s="434" t="s">
        <v>25</v>
      </c>
      <c r="AU22" s="434" t="s">
        <v>24</v>
      </c>
      <c r="AV22" s="442" t="s">
        <v>23</v>
      </c>
    </row>
    <row r="23" spans="1:48" ht="64.5" customHeight="1" x14ac:dyDescent="0.25">
      <c r="A23" s="450"/>
      <c r="B23" s="454"/>
      <c r="C23" s="452"/>
      <c r="D23" s="452"/>
      <c r="E23" s="444" t="s">
        <v>21</v>
      </c>
      <c r="F23" s="435" t="s">
        <v>126</v>
      </c>
      <c r="G23" s="435" t="s">
        <v>125</v>
      </c>
      <c r="H23" s="435" t="s">
        <v>124</v>
      </c>
      <c r="I23" s="437" t="s">
        <v>353</v>
      </c>
      <c r="J23" s="437" t="s">
        <v>354</v>
      </c>
      <c r="K23" s="437" t="s">
        <v>355</v>
      </c>
      <c r="L23" s="435" t="s">
        <v>74</v>
      </c>
      <c r="M23" s="452"/>
      <c r="N23" s="452"/>
      <c r="O23" s="452"/>
      <c r="P23" s="434"/>
      <c r="Q23" s="434"/>
      <c r="R23" s="434"/>
      <c r="S23" s="446" t="s">
        <v>2</v>
      </c>
      <c r="T23" s="446" t="s">
        <v>9</v>
      </c>
      <c r="U23" s="441"/>
      <c r="V23" s="441"/>
      <c r="W23" s="434"/>
      <c r="X23" s="434"/>
      <c r="Y23" s="434"/>
      <c r="Z23" s="434"/>
      <c r="AA23" s="434"/>
      <c r="AB23" s="434"/>
      <c r="AC23" s="434"/>
      <c r="AD23" s="434"/>
      <c r="AE23" s="434"/>
      <c r="AF23" s="434" t="s">
        <v>20</v>
      </c>
      <c r="AG23" s="434"/>
      <c r="AH23" s="434" t="s">
        <v>19</v>
      </c>
      <c r="AI23" s="434"/>
      <c r="AJ23" s="439" t="s">
        <v>18</v>
      </c>
      <c r="AK23" s="439" t="s">
        <v>17</v>
      </c>
      <c r="AL23" s="439" t="s">
        <v>16</v>
      </c>
      <c r="AM23" s="439" t="s">
        <v>15</v>
      </c>
      <c r="AN23" s="439" t="s">
        <v>14</v>
      </c>
      <c r="AO23" s="439" t="s">
        <v>13</v>
      </c>
      <c r="AP23" s="439" t="s">
        <v>12</v>
      </c>
      <c r="AQ23" s="439" t="s">
        <v>9</v>
      </c>
      <c r="AR23" s="434"/>
      <c r="AS23" s="434"/>
      <c r="AT23" s="434"/>
      <c r="AU23" s="434"/>
      <c r="AV23" s="443"/>
    </row>
    <row r="24" spans="1:48" ht="96.75" customHeight="1" x14ac:dyDescent="0.25">
      <c r="A24" s="451"/>
      <c r="B24" s="455"/>
      <c r="C24" s="440"/>
      <c r="D24" s="440"/>
      <c r="E24" s="445"/>
      <c r="F24" s="436"/>
      <c r="G24" s="436"/>
      <c r="H24" s="436"/>
      <c r="I24" s="438"/>
      <c r="J24" s="438"/>
      <c r="K24" s="438"/>
      <c r="L24" s="436"/>
      <c r="M24" s="440"/>
      <c r="N24" s="440"/>
      <c r="O24" s="440"/>
      <c r="P24" s="434"/>
      <c r="Q24" s="434"/>
      <c r="R24" s="434"/>
      <c r="S24" s="447"/>
      <c r="T24" s="447"/>
      <c r="U24" s="441"/>
      <c r="V24" s="441"/>
      <c r="W24" s="434"/>
      <c r="X24" s="434"/>
      <c r="Y24" s="434"/>
      <c r="Z24" s="434"/>
      <c r="AA24" s="434"/>
      <c r="AB24" s="434"/>
      <c r="AC24" s="434"/>
      <c r="AD24" s="434"/>
      <c r="AE24" s="434"/>
      <c r="AF24" s="140" t="s">
        <v>11</v>
      </c>
      <c r="AG24" s="140" t="s">
        <v>10</v>
      </c>
      <c r="AH24" s="141" t="s">
        <v>2</v>
      </c>
      <c r="AI24" s="141" t="s">
        <v>9</v>
      </c>
      <c r="AJ24" s="440"/>
      <c r="AK24" s="440"/>
      <c r="AL24" s="440"/>
      <c r="AM24" s="440"/>
      <c r="AN24" s="440"/>
      <c r="AO24" s="440"/>
      <c r="AP24" s="440"/>
      <c r="AQ24" s="440"/>
      <c r="AR24" s="434"/>
      <c r="AS24" s="434"/>
      <c r="AT24" s="434"/>
      <c r="AU24" s="434"/>
      <c r="AV24" s="443"/>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0.1</v>
      </c>
      <c r="H26" s="146"/>
      <c r="I26" s="146"/>
      <c r="J26" s="146"/>
      <c r="K26" s="146"/>
      <c r="L26" s="146">
        <v>24</v>
      </c>
      <c r="M26" s="146" t="s">
        <v>611</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4" t="str">
        <f>'1. паспорт местоположение'!A5:C5</f>
        <v>Год раскрытия информации: 2023 год</v>
      </c>
      <c r="B5" s="464"/>
      <c r="C5" s="52"/>
      <c r="D5" s="52"/>
      <c r="E5" s="52"/>
      <c r="F5" s="52"/>
      <c r="G5" s="52"/>
      <c r="H5" s="52"/>
    </row>
    <row r="6" spans="1:8" ht="18.75" x14ac:dyDescent="0.3">
      <c r="A6" s="83"/>
      <c r="B6" s="83"/>
      <c r="C6" s="83"/>
      <c r="D6" s="83"/>
      <c r="E6" s="83"/>
      <c r="F6" s="83"/>
      <c r="G6" s="83"/>
      <c r="H6" s="83"/>
    </row>
    <row r="7" spans="1:8" ht="18.75" x14ac:dyDescent="0.25">
      <c r="A7" s="355" t="s">
        <v>7</v>
      </c>
      <c r="B7" s="355"/>
      <c r="C7" s="107"/>
      <c r="D7" s="107"/>
      <c r="E7" s="107"/>
      <c r="F7" s="107"/>
      <c r="G7" s="107"/>
      <c r="H7" s="107"/>
    </row>
    <row r="8" spans="1:8" ht="18.75" x14ac:dyDescent="0.25">
      <c r="A8" s="107"/>
      <c r="B8" s="107"/>
      <c r="C8" s="107"/>
      <c r="D8" s="107"/>
      <c r="E8" s="107"/>
      <c r="F8" s="107"/>
      <c r="G8" s="107"/>
      <c r="H8" s="107"/>
    </row>
    <row r="9" spans="1:8" x14ac:dyDescent="0.25">
      <c r="A9" s="353" t="str">
        <f>'1. паспорт местоположение'!A9:C9</f>
        <v xml:space="preserve">Акционерное общество "Западная энергетическая компания" </v>
      </c>
      <c r="B9" s="353"/>
      <c r="C9" s="109"/>
      <c r="D9" s="109"/>
      <c r="E9" s="109"/>
      <c r="F9" s="109"/>
      <c r="G9" s="109"/>
      <c r="H9" s="109"/>
    </row>
    <row r="10" spans="1:8" x14ac:dyDescent="0.25">
      <c r="A10" s="359" t="s">
        <v>6</v>
      </c>
      <c r="B10" s="359"/>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3" t="str">
        <f>'1. паспорт местоположение'!A12:C12</f>
        <v>L_21-09</v>
      </c>
      <c r="B12" s="353"/>
      <c r="C12" s="109"/>
      <c r="D12" s="109"/>
      <c r="E12" s="109"/>
      <c r="F12" s="109"/>
      <c r="G12" s="109"/>
      <c r="H12" s="109"/>
    </row>
    <row r="13" spans="1:8" x14ac:dyDescent="0.25">
      <c r="A13" s="359" t="s">
        <v>5</v>
      </c>
      <c r="B13" s="359"/>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0" t="str">
        <f>'1. паспорт местоположение'!A15:C15</f>
        <v>Строительство сетей электроснабжения дошкольного учереждения в Калининграде п. Васильково</v>
      </c>
      <c r="B15" s="380"/>
      <c r="C15" s="109"/>
      <c r="D15" s="109"/>
      <c r="E15" s="109"/>
      <c r="F15" s="109"/>
      <c r="G15" s="109"/>
      <c r="H15" s="109"/>
    </row>
    <row r="16" spans="1:8" x14ac:dyDescent="0.25">
      <c r="A16" s="359" t="s">
        <v>4</v>
      </c>
      <c r="B16" s="359"/>
      <c r="C16" s="110"/>
      <c r="D16" s="110"/>
      <c r="E16" s="110"/>
      <c r="F16" s="110"/>
      <c r="G16" s="110"/>
      <c r="H16" s="110"/>
    </row>
    <row r="17" spans="1:2" x14ac:dyDescent="0.25">
      <c r="B17" s="57"/>
    </row>
    <row r="18" spans="1:2" ht="33.75" customHeight="1" x14ac:dyDescent="0.25">
      <c r="A18" s="459" t="s">
        <v>407</v>
      </c>
      <c r="B18" s="460"/>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дошкольного учереждения в Калининграде п. Васильково</v>
      </c>
    </row>
    <row r="22" spans="1:2" ht="30" customHeight="1" thickBot="1" x14ac:dyDescent="0.3">
      <c r="A22" s="59" t="s">
        <v>305</v>
      </c>
      <c r="B22" s="60" t="str">
        <f>'1. паспорт местоположение'!C27</f>
        <v xml:space="preserve">п. Васильково </v>
      </c>
    </row>
    <row r="23" spans="1:2" ht="16.5" thickBot="1" x14ac:dyDescent="0.3">
      <c r="A23" s="59" t="s">
        <v>289</v>
      </c>
      <c r="B23" s="61" t="s">
        <v>649</v>
      </c>
    </row>
    <row r="24" spans="1:2" ht="16.5" thickBot="1" x14ac:dyDescent="0.3">
      <c r="A24" s="59" t="s">
        <v>306</v>
      </c>
      <c r="B24" s="61">
        <f>'6.2. Паспорт фин осв ввод'!D45</f>
        <v>0</v>
      </c>
    </row>
    <row r="25" spans="1:2" ht="16.5" thickBot="1" x14ac:dyDescent="0.3">
      <c r="A25" s="62" t="s">
        <v>307</v>
      </c>
      <c r="B25" s="333">
        <f>'6.1. Паспорт сетевой график'!H53</f>
        <v>44561</v>
      </c>
    </row>
    <row r="26" spans="1:2" ht="16.5" thickBot="1" x14ac:dyDescent="0.3">
      <c r="A26" s="63" t="s">
        <v>308</v>
      </c>
      <c r="B26" s="329" t="s">
        <v>631</v>
      </c>
    </row>
    <row r="27" spans="1:2" ht="29.25" thickBot="1" x14ac:dyDescent="0.3">
      <c r="A27" s="70" t="s">
        <v>617</v>
      </c>
      <c r="B27" s="330">
        <f>'6.2. Паспорт фин осв ввод'!D24</f>
        <v>1.8337559999999999</v>
      </c>
    </row>
    <row r="28" spans="1:2" ht="42" customHeight="1" thickBot="1" x14ac:dyDescent="0.3">
      <c r="A28" s="65" t="s">
        <v>309</v>
      </c>
      <c r="B28" s="65" t="s">
        <v>597</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44470</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632</v>
      </c>
    </row>
    <row r="137" spans="1:2" ht="28.5" customHeight="1" x14ac:dyDescent="0.25">
      <c r="A137" s="64" t="s">
        <v>345</v>
      </c>
      <c r="B137" s="461" t="s">
        <v>542</v>
      </c>
    </row>
    <row r="138" spans="1:2" x14ac:dyDescent="0.25">
      <c r="A138" s="68" t="s">
        <v>346</v>
      </c>
      <c r="B138" s="462"/>
    </row>
    <row r="139" spans="1:2" x14ac:dyDescent="0.25">
      <c r="A139" s="68" t="s">
        <v>347</v>
      </c>
      <c r="B139" s="462"/>
    </row>
    <row r="140" spans="1:2" x14ac:dyDescent="0.25">
      <c r="A140" s="68" t="s">
        <v>348</v>
      </c>
      <c r="B140" s="462"/>
    </row>
    <row r="141" spans="1:2" x14ac:dyDescent="0.25">
      <c r="A141" s="68" t="s">
        <v>349</v>
      </c>
      <c r="B141" s="462"/>
    </row>
    <row r="142" spans="1:2" ht="16.5" thickBot="1" x14ac:dyDescent="0.3">
      <c r="A142" s="78" t="s">
        <v>350</v>
      </c>
      <c r="B142" s="463"/>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tabSelected="1" view="pageBreakPreview" topLeftCell="H1" zoomScale="70" zoomScaleSheetLayoutView="70" workbookViewId="0">
      <selection activeCell="B22" sqref="B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row>
    <row r="5" spans="1:28" s="14" customFormat="1" ht="15.75" x14ac:dyDescent="0.2">
      <c r="A5" s="105"/>
    </row>
    <row r="6" spans="1:28" s="14" customFormat="1" ht="18.75" x14ac:dyDescent="0.2">
      <c r="A6" s="355" t="s">
        <v>7</v>
      </c>
      <c r="B6" s="355"/>
      <c r="C6" s="355"/>
      <c r="D6" s="355"/>
      <c r="E6" s="355"/>
      <c r="F6" s="355"/>
      <c r="G6" s="355"/>
      <c r="H6" s="355"/>
      <c r="I6" s="355"/>
      <c r="J6" s="355"/>
      <c r="K6" s="355"/>
      <c r="L6" s="355"/>
      <c r="M6" s="355"/>
      <c r="N6" s="355"/>
      <c r="O6" s="355"/>
      <c r="P6" s="355"/>
      <c r="Q6" s="355"/>
      <c r="R6" s="355"/>
      <c r="S6" s="355"/>
      <c r="T6" s="107"/>
      <c r="U6" s="107"/>
      <c r="V6" s="107"/>
      <c r="W6" s="107"/>
      <c r="X6" s="107"/>
      <c r="Y6" s="107"/>
      <c r="Z6" s="107"/>
      <c r="AA6" s="107"/>
      <c r="AB6" s="107"/>
    </row>
    <row r="7" spans="1:28" s="14" customFormat="1" ht="18.75" x14ac:dyDescent="0.2">
      <c r="A7" s="355"/>
      <c r="B7" s="355"/>
      <c r="C7" s="355"/>
      <c r="D7" s="355"/>
      <c r="E7" s="355"/>
      <c r="F7" s="355"/>
      <c r="G7" s="355"/>
      <c r="H7" s="355"/>
      <c r="I7" s="355"/>
      <c r="J7" s="355"/>
      <c r="K7" s="355"/>
      <c r="L7" s="355"/>
      <c r="M7" s="355"/>
      <c r="N7" s="355"/>
      <c r="O7" s="355"/>
      <c r="P7" s="355"/>
      <c r="Q7" s="355"/>
      <c r="R7" s="355"/>
      <c r="S7" s="355"/>
      <c r="T7" s="107"/>
      <c r="U7" s="107"/>
      <c r="V7" s="107"/>
      <c r="W7" s="107"/>
      <c r="X7" s="107"/>
      <c r="Y7" s="107"/>
      <c r="Z7" s="107"/>
      <c r="AA7" s="107"/>
      <c r="AB7" s="107"/>
    </row>
    <row r="8" spans="1:28" s="14" customFormat="1" ht="18.75" x14ac:dyDescent="0.2">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107"/>
      <c r="U8" s="107"/>
      <c r="V8" s="107"/>
      <c r="W8" s="107"/>
      <c r="X8" s="107"/>
      <c r="Y8" s="107"/>
      <c r="Z8" s="107"/>
      <c r="AA8" s="107"/>
      <c r="AB8" s="107"/>
    </row>
    <row r="9" spans="1:28" s="14" customFormat="1" ht="18.75" x14ac:dyDescent="0.2">
      <c r="A9" s="359" t="s">
        <v>6</v>
      </c>
      <c r="B9" s="359"/>
      <c r="C9" s="359"/>
      <c r="D9" s="359"/>
      <c r="E9" s="359"/>
      <c r="F9" s="359"/>
      <c r="G9" s="359"/>
      <c r="H9" s="359"/>
      <c r="I9" s="359"/>
      <c r="J9" s="359"/>
      <c r="K9" s="359"/>
      <c r="L9" s="359"/>
      <c r="M9" s="359"/>
      <c r="N9" s="359"/>
      <c r="O9" s="359"/>
      <c r="P9" s="359"/>
      <c r="Q9" s="359"/>
      <c r="R9" s="359"/>
      <c r="S9" s="359"/>
      <c r="T9" s="107"/>
      <c r="U9" s="107"/>
      <c r="V9" s="107"/>
      <c r="W9" s="107"/>
      <c r="X9" s="107"/>
      <c r="Y9" s="107"/>
      <c r="Z9" s="107"/>
      <c r="AA9" s="107"/>
      <c r="AB9" s="107"/>
    </row>
    <row r="10" spans="1:28" s="14" customFormat="1" ht="18.75" x14ac:dyDescent="0.2">
      <c r="A10" s="355"/>
      <c r="B10" s="355"/>
      <c r="C10" s="355"/>
      <c r="D10" s="355"/>
      <c r="E10" s="355"/>
      <c r="F10" s="355"/>
      <c r="G10" s="355"/>
      <c r="H10" s="355"/>
      <c r="I10" s="355"/>
      <c r="J10" s="355"/>
      <c r="K10" s="355"/>
      <c r="L10" s="355"/>
      <c r="M10" s="355"/>
      <c r="N10" s="355"/>
      <c r="O10" s="355"/>
      <c r="P10" s="355"/>
      <c r="Q10" s="355"/>
      <c r="R10" s="355"/>
      <c r="S10" s="355"/>
      <c r="T10" s="107"/>
      <c r="U10" s="107"/>
      <c r="V10" s="107"/>
      <c r="W10" s="107"/>
      <c r="X10" s="107"/>
      <c r="Y10" s="107"/>
      <c r="Z10" s="107"/>
      <c r="AA10" s="107"/>
      <c r="AB10" s="107"/>
    </row>
    <row r="11" spans="1:28" s="14" customFormat="1" ht="18.75" x14ac:dyDescent="0.2">
      <c r="A11" s="360" t="str">
        <f>'1. паспорт местоположение'!A12:C12</f>
        <v>L_21-09</v>
      </c>
      <c r="B11" s="360"/>
      <c r="C11" s="360"/>
      <c r="D11" s="360"/>
      <c r="E11" s="360"/>
      <c r="F11" s="360"/>
      <c r="G11" s="360"/>
      <c r="H11" s="360"/>
      <c r="I11" s="360"/>
      <c r="J11" s="360"/>
      <c r="K11" s="360"/>
      <c r="L11" s="360"/>
      <c r="M11" s="360"/>
      <c r="N11" s="360"/>
      <c r="O11" s="360"/>
      <c r="P11" s="360"/>
      <c r="Q11" s="360"/>
      <c r="R11" s="360"/>
      <c r="S11" s="360"/>
      <c r="T11" s="107"/>
      <c r="U11" s="107"/>
      <c r="V11" s="107"/>
      <c r="W11" s="107"/>
      <c r="X11" s="107"/>
      <c r="Y11" s="107"/>
      <c r="Z11" s="107"/>
      <c r="AA11" s="107"/>
      <c r="AB11" s="107"/>
    </row>
    <row r="12" spans="1:28" s="14"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07"/>
      <c r="U12" s="107"/>
      <c r="V12" s="107"/>
      <c r="W12" s="107"/>
      <c r="X12" s="107"/>
      <c r="Y12" s="107"/>
      <c r="Z12" s="107"/>
      <c r="AA12" s="107"/>
      <c r="AB12" s="107"/>
    </row>
    <row r="13" spans="1:28" s="14"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8"/>
      <c r="U13" s="108"/>
      <c r="V13" s="108"/>
      <c r="W13" s="108"/>
      <c r="X13" s="108"/>
      <c r="Y13" s="108"/>
      <c r="Z13" s="108"/>
      <c r="AA13" s="108"/>
      <c r="AB13" s="108"/>
    </row>
    <row r="14" spans="1:28" s="106" customFormat="1" ht="15.75" x14ac:dyDescent="0.2">
      <c r="A14" s="353" t="str">
        <f>'1. паспорт местоположение'!A15:C15</f>
        <v>Строительство сетей электроснабжения дошкольного учереждения в Калининграде п. Васильково</v>
      </c>
      <c r="B14" s="353"/>
      <c r="C14" s="353"/>
      <c r="D14" s="353"/>
      <c r="E14" s="353"/>
      <c r="F14" s="353"/>
      <c r="G14" s="353"/>
      <c r="H14" s="353"/>
      <c r="I14" s="353"/>
      <c r="J14" s="353"/>
      <c r="K14" s="353"/>
      <c r="L14" s="353"/>
      <c r="M14" s="353"/>
      <c r="N14" s="353"/>
      <c r="O14" s="353"/>
      <c r="P14" s="353"/>
      <c r="Q14" s="353"/>
      <c r="R14" s="353"/>
      <c r="S14" s="353"/>
      <c r="T14" s="109"/>
      <c r="U14" s="109"/>
      <c r="V14" s="109"/>
      <c r="W14" s="109"/>
      <c r="X14" s="109"/>
      <c r="Y14" s="109"/>
      <c r="Z14" s="109"/>
      <c r="AA14" s="109"/>
      <c r="AB14" s="109"/>
    </row>
    <row r="15" spans="1:28" s="106"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10"/>
      <c r="U15" s="110"/>
      <c r="V15" s="110"/>
      <c r="W15" s="110"/>
      <c r="X15" s="110"/>
      <c r="Y15" s="110"/>
      <c r="Z15" s="110"/>
      <c r="AA15" s="110"/>
      <c r="AB15" s="110"/>
    </row>
    <row r="16" spans="1:28" s="106"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108"/>
      <c r="U16" s="108"/>
      <c r="V16" s="108"/>
      <c r="W16" s="108"/>
      <c r="X16" s="108"/>
      <c r="Y16" s="108"/>
    </row>
    <row r="17" spans="1:28" s="106" customFormat="1" ht="45.75" customHeight="1" x14ac:dyDescent="0.2">
      <c r="A17" s="362" t="s">
        <v>382</v>
      </c>
      <c r="B17" s="362"/>
      <c r="C17" s="362"/>
      <c r="D17" s="362"/>
      <c r="E17" s="362"/>
      <c r="F17" s="362"/>
      <c r="G17" s="362"/>
      <c r="H17" s="362"/>
      <c r="I17" s="362"/>
      <c r="J17" s="362"/>
      <c r="K17" s="362"/>
      <c r="L17" s="362"/>
      <c r="M17" s="362"/>
      <c r="N17" s="362"/>
      <c r="O17" s="362"/>
      <c r="P17" s="362"/>
      <c r="Q17" s="362"/>
      <c r="R17" s="362"/>
      <c r="S17" s="362"/>
      <c r="T17" s="111"/>
      <c r="U17" s="111"/>
      <c r="V17" s="111"/>
      <c r="W17" s="111"/>
      <c r="X17" s="111"/>
      <c r="Y17" s="111"/>
      <c r="Z17" s="111"/>
      <c r="AA17" s="111"/>
      <c r="AB17" s="111"/>
    </row>
    <row r="18" spans="1:28" s="106"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108"/>
      <c r="U18" s="108"/>
      <c r="V18" s="108"/>
      <c r="W18" s="108"/>
      <c r="X18" s="108"/>
      <c r="Y18" s="108"/>
    </row>
    <row r="19" spans="1:28" s="106" customFormat="1" ht="54" customHeight="1" x14ac:dyDescent="0.2">
      <c r="A19" s="354" t="s">
        <v>3</v>
      </c>
      <c r="B19" s="354" t="s">
        <v>94</v>
      </c>
      <c r="C19" s="356" t="s">
        <v>303</v>
      </c>
      <c r="D19" s="354" t="s">
        <v>302</v>
      </c>
      <c r="E19" s="354" t="s">
        <v>93</v>
      </c>
      <c r="F19" s="354" t="s">
        <v>92</v>
      </c>
      <c r="G19" s="354" t="s">
        <v>298</v>
      </c>
      <c r="H19" s="354" t="s">
        <v>91</v>
      </c>
      <c r="I19" s="354" t="s">
        <v>90</v>
      </c>
      <c r="J19" s="354" t="s">
        <v>89</v>
      </c>
      <c r="K19" s="354" t="s">
        <v>88</v>
      </c>
      <c r="L19" s="354" t="s">
        <v>87</v>
      </c>
      <c r="M19" s="354" t="s">
        <v>86</v>
      </c>
      <c r="N19" s="354" t="s">
        <v>85</v>
      </c>
      <c r="O19" s="354" t="s">
        <v>84</v>
      </c>
      <c r="P19" s="354" t="s">
        <v>83</v>
      </c>
      <c r="Q19" s="354" t="s">
        <v>301</v>
      </c>
      <c r="R19" s="354"/>
      <c r="S19" s="358" t="s">
        <v>376</v>
      </c>
      <c r="T19" s="108"/>
      <c r="U19" s="108"/>
      <c r="V19" s="108"/>
      <c r="W19" s="108"/>
      <c r="X19" s="108"/>
      <c r="Y19" s="108"/>
    </row>
    <row r="20" spans="1:28" s="106" customFormat="1" ht="180.75" customHeight="1" x14ac:dyDescent="0.2">
      <c r="A20" s="354"/>
      <c r="B20" s="354"/>
      <c r="C20" s="357"/>
      <c r="D20" s="354"/>
      <c r="E20" s="354"/>
      <c r="F20" s="354"/>
      <c r="G20" s="354"/>
      <c r="H20" s="354"/>
      <c r="I20" s="354"/>
      <c r="J20" s="354"/>
      <c r="K20" s="354"/>
      <c r="L20" s="354"/>
      <c r="M20" s="354"/>
      <c r="N20" s="354"/>
      <c r="O20" s="354"/>
      <c r="P20" s="354"/>
      <c r="Q20" s="112" t="s">
        <v>299</v>
      </c>
      <c r="R20" s="113" t="s">
        <v>300</v>
      </c>
      <c r="S20" s="358"/>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640</v>
      </c>
      <c r="C22" s="114" t="s">
        <v>618</v>
      </c>
      <c r="D22" s="114" t="s">
        <v>627</v>
      </c>
      <c r="E22" s="114" t="s">
        <v>641</v>
      </c>
      <c r="F22" s="114" t="s">
        <v>537</v>
      </c>
      <c r="G22" s="114" t="s">
        <v>633</v>
      </c>
      <c r="H22" s="343">
        <v>0.23100000000000001</v>
      </c>
      <c r="I22" s="114">
        <v>0</v>
      </c>
      <c r="J22" s="114">
        <v>0</v>
      </c>
      <c r="K22" s="114" t="s">
        <v>628</v>
      </c>
      <c r="L22" s="114">
        <v>2</v>
      </c>
      <c r="M22" s="114"/>
      <c r="N22" s="114"/>
      <c r="O22" s="114" t="s">
        <v>537</v>
      </c>
      <c r="P22" s="114" t="s">
        <v>537</v>
      </c>
      <c r="Q22" s="115" t="s">
        <v>642</v>
      </c>
      <c r="R22" s="184" t="s">
        <v>537</v>
      </c>
      <c r="S22" s="341">
        <f>2.727435*1.2</f>
        <v>3.2729219999999999</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2" zoomScale="80" zoomScaleNormal="60" zoomScaleSheetLayoutView="80" workbookViewId="0">
      <selection activeCell="F27" sqref="F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8" t="str">
        <f>'1. паспорт местоположение'!A5:C5</f>
        <v>Год раскрытия информации: 2023 год</v>
      </c>
      <c r="B6" s="348"/>
      <c r="C6" s="348"/>
      <c r="D6" s="348"/>
      <c r="E6" s="348"/>
      <c r="F6" s="348"/>
      <c r="G6" s="348"/>
      <c r="H6" s="348"/>
      <c r="I6" s="348"/>
      <c r="J6" s="348"/>
      <c r="K6" s="348"/>
      <c r="L6" s="348"/>
      <c r="M6" s="348"/>
      <c r="N6" s="348"/>
      <c r="O6" s="348"/>
      <c r="P6" s="348"/>
      <c r="Q6" s="348"/>
      <c r="R6" s="348"/>
      <c r="S6" s="348"/>
      <c r="T6" s="348"/>
    </row>
    <row r="7" spans="1:20" s="14" customFormat="1" x14ac:dyDescent="0.2">
      <c r="A7" s="105"/>
    </row>
    <row r="8" spans="1:20" s="14" customFormat="1" ht="18.75" x14ac:dyDescent="0.2">
      <c r="A8" s="355" t="s">
        <v>7</v>
      </c>
      <c r="B8" s="355"/>
      <c r="C8" s="355"/>
      <c r="D8" s="355"/>
      <c r="E8" s="355"/>
      <c r="F8" s="355"/>
      <c r="G8" s="355"/>
      <c r="H8" s="355"/>
      <c r="I8" s="355"/>
      <c r="J8" s="355"/>
      <c r="K8" s="355"/>
      <c r="L8" s="355"/>
      <c r="M8" s="355"/>
      <c r="N8" s="355"/>
      <c r="O8" s="355"/>
      <c r="P8" s="355"/>
      <c r="Q8" s="355"/>
      <c r="R8" s="355"/>
      <c r="S8" s="355"/>
      <c r="T8" s="355"/>
    </row>
    <row r="9" spans="1:20" s="14"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4" customFormat="1" ht="18.75" customHeight="1" x14ac:dyDescent="0.2">
      <c r="A10" s="353" t="str">
        <f>'1. паспорт местоположение'!A9:C9</f>
        <v xml:space="preserve">Акционерное общество "Западная энергетическая компания" </v>
      </c>
      <c r="B10" s="353"/>
      <c r="C10" s="353"/>
      <c r="D10" s="353"/>
      <c r="E10" s="353"/>
      <c r="F10" s="353"/>
      <c r="G10" s="353"/>
      <c r="H10" s="353"/>
      <c r="I10" s="353"/>
      <c r="J10" s="353"/>
      <c r="K10" s="353"/>
      <c r="L10" s="353"/>
      <c r="M10" s="353"/>
      <c r="N10" s="353"/>
      <c r="O10" s="353"/>
      <c r="P10" s="353"/>
      <c r="Q10" s="353"/>
      <c r="R10" s="353"/>
      <c r="S10" s="353"/>
      <c r="T10" s="353"/>
    </row>
    <row r="11" spans="1:20" s="14"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4"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4" customFormat="1" ht="18.75" customHeight="1" x14ac:dyDescent="0.2">
      <c r="A13" s="360" t="str">
        <f>'1. паспорт местоположение'!A12:C12</f>
        <v>L_21-09</v>
      </c>
      <c r="B13" s="360"/>
      <c r="C13" s="360"/>
      <c r="D13" s="360"/>
      <c r="E13" s="360"/>
      <c r="F13" s="360"/>
      <c r="G13" s="360"/>
      <c r="H13" s="360"/>
      <c r="I13" s="360"/>
      <c r="J13" s="360"/>
      <c r="K13" s="360"/>
      <c r="L13" s="360"/>
      <c r="M13" s="360"/>
      <c r="N13" s="360"/>
      <c r="O13" s="360"/>
      <c r="P13" s="360"/>
      <c r="Q13" s="360"/>
      <c r="R13" s="360"/>
      <c r="S13" s="360"/>
      <c r="T13" s="360"/>
    </row>
    <row r="14" spans="1:20" s="14"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14"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106" customFormat="1" x14ac:dyDescent="0.2">
      <c r="A16" s="353" t="str">
        <f>'1. паспорт местоположение'!A15:C15</f>
        <v>Строительство сетей электроснабжения дошкольного учереждения в Калининграде п. Васильково</v>
      </c>
      <c r="B16" s="353"/>
      <c r="C16" s="353"/>
      <c r="D16" s="353"/>
      <c r="E16" s="353"/>
      <c r="F16" s="353"/>
      <c r="G16" s="353"/>
      <c r="H16" s="353"/>
      <c r="I16" s="353"/>
      <c r="J16" s="353"/>
      <c r="K16" s="353"/>
      <c r="L16" s="353"/>
      <c r="M16" s="353"/>
      <c r="N16" s="353"/>
      <c r="O16" s="353"/>
      <c r="P16" s="353"/>
      <c r="Q16" s="353"/>
      <c r="R16" s="353"/>
      <c r="S16" s="353"/>
      <c r="T16" s="353"/>
    </row>
    <row r="17" spans="1:20" s="106"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20" s="106"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20" s="106" customFormat="1" ht="15" customHeight="1" x14ac:dyDescent="0.2">
      <c r="A19" s="378" t="s">
        <v>387</v>
      </c>
      <c r="B19" s="378"/>
      <c r="C19" s="378"/>
      <c r="D19" s="378"/>
      <c r="E19" s="378"/>
      <c r="F19" s="378"/>
      <c r="G19" s="378"/>
      <c r="H19" s="378"/>
      <c r="I19" s="378"/>
      <c r="J19" s="378"/>
      <c r="K19" s="378"/>
      <c r="L19" s="378"/>
      <c r="M19" s="378"/>
      <c r="N19" s="378"/>
      <c r="O19" s="378"/>
      <c r="P19" s="378"/>
      <c r="Q19" s="378"/>
      <c r="R19" s="378"/>
      <c r="S19" s="378"/>
      <c r="T19" s="378"/>
    </row>
    <row r="20" spans="1:20" s="27"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20" ht="46.5" customHeight="1" x14ac:dyDescent="0.25">
      <c r="A21" s="372" t="s">
        <v>3</v>
      </c>
      <c r="B21" s="365" t="s">
        <v>200</v>
      </c>
      <c r="C21" s="366"/>
      <c r="D21" s="369" t="s">
        <v>116</v>
      </c>
      <c r="E21" s="365" t="s">
        <v>415</v>
      </c>
      <c r="F21" s="366"/>
      <c r="G21" s="365" t="s">
        <v>239</v>
      </c>
      <c r="H21" s="366"/>
      <c r="I21" s="365" t="s">
        <v>115</v>
      </c>
      <c r="J21" s="366"/>
      <c r="K21" s="369" t="s">
        <v>114</v>
      </c>
      <c r="L21" s="365" t="s">
        <v>113</v>
      </c>
      <c r="M21" s="366"/>
      <c r="N21" s="365" t="s">
        <v>441</v>
      </c>
      <c r="O21" s="366"/>
      <c r="P21" s="369" t="s">
        <v>112</v>
      </c>
      <c r="Q21" s="375" t="s">
        <v>111</v>
      </c>
      <c r="R21" s="376"/>
      <c r="S21" s="375" t="s">
        <v>110</v>
      </c>
      <c r="T21" s="377"/>
    </row>
    <row r="22" spans="1:20" ht="204.75" customHeight="1" x14ac:dyDescent="0.25">
      <c r="A22" s="373"/>
      <c r="B22" s="367"/>
      <c r="C22" s="368"/>
      <c r="D22" s="371"/>
      <c r="E22" s="367"/>
      <c r="F22" s="368"/>
      <c r="G22" s="367"/>
      <c r="H22" s="368"/>
      <c r="I22" s="367"/>
      <c r="J22" s="368"/>
      <c r="K22" s="370"/>
      <c r="L22" s="367"/>
      <c r="M22" s="368"/>
      <c r="N22" s="367"/>
      <c r="O22" s="368"/>
      <c r="P22" s="370"/>
      <c r="Q22" s="54" t="s">
        <v>109</v>
      </c>
      <c r="R22" s="54" t="s">
        <v>386</v>
      </c>
      <c r="S22" s="54" t="s">
        <v>108</v>
      </c>
      <c r="T22" s="54" t="s">
        <v>107</v>
      </c>
    </row>
    <row r="23" spans="1:20" ht="51.75" customHeight="1" x14ac:dyDescent="0.25">
      <c r="A23" s="374"/>
      <c r="B23" s="54" t="s">
        <v>105</v>
      </c>
      <c r="C23" s="54" t="s">
        <v>106</v>
      </c>
      <c r="D23" s="370"/>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643</v>
      </c>
      <c r="D25" s="326" t="s">
        <v>614</v>
      </c>
      <c r="E25" s="326"/>
      <c r="F25" s="326" t="s">
        <v>615</v>
      </c>
      <c r="G25" s="326"/>
      <c r="H25" s="326" t="s">
        <v>616</v>
      </c>
      <c r="I25" s="325"/>
      <c r="J25" s="326">
        <v>2021</v>
      </c>
      <c r="K25" s="326">
        <v>2021</v>
      </c>
      <c r="L25" s="325"/>
      <c r="M25" s="325" t="s">
        <v>612</v>
      </c>
      <c r="N25" s="327"/>
      <c r="O25" s="327"/>
      <c r="P25" s="325" t="s">
        <v>297</v>
      </c>
      <c r="Q25" s="325"/>
      <c r="R25" s="325"/>
      <c r="S25" s="325" t="s">
        <v>297</v>
      </c>
      <c r="T25" s="93" t="s">
        <v>297</v>
      </c>
    </row>
    <row r="26" spans="1:20" ht="47.25" customHeight="1" x14ac:dyDescent="0.25">
      <c r="A26" s="93"/>
      <c r="B26" s="93"/>
      <c r="C26" s="93"/>
      <c r="D26" s="326"/>
      <c r="E26" s="326"/>
      <c r="F26" s="326"/>
      <c r="G26" s="326"/>
      <c r="H26" s="326"/>
      <c r="I26" s="325"/>
      <c r="J26" s="326"/>
      <c r="K26" s="326"/>
      <c r="L26" s="325"/>
      <c r="M26" s="325"/>
      <c r="N26" s="327"/>
      <c r="O26" s="327"/>
      <c r="P26" s="325"/>
      <c r="Q26" s="93"/>
      <c r="R26" s="93"/>
      <c r="S26" s="327"/>
      <c r="T26" s="327"/>
    </row>
    <row r="27" spans="1:20" ht="24" customHeight="1" x14ac:dyDescent="0.25">
      <c r="A27" s="93"/>
      <c r="B27" s="93"/>
      <c r="C27" s="93"/>
      <c r="D27" s="326"/>
      <c r="E27" s="326"/>
      <c r="F27" s="326"/>
      <c r="G27" s="326"/>
      <c r="H27" s="326"/>
      <c r="I27" s="325"/>
      <c r="J27" s="326"/>
      <c r="K27" s="326"/>
      <c r="L27" s="325"/>
      <c r="M27" s="325"/>
      <c r="N27" s="327"/>
      <c r="O27" s="327"/>
      <c r="P27" s="325"/>
      <c r="Q27" s="325"/>
      <c r="R27" s="325"/>
      <c r="S27" s="327"/>
      <c r="T27" s="327"/>
    </row>
    <row r="28" spans="1:20" ht="24" customHeight="1" x14ac:dyDescent="0.25">
      <c r="A28" s="93"/>
      <c r="B28" s="93"/>
      <c r="C28" s="93"/>
      <c r="D28" s="326"/>
      <c r="E28" s="326"/>
      <c r="F28" s="326"/>
      <c r="G28" s="326"/>
      <c r="H28" s="326"/>
      <c r="I28" s="325"/>
      <c r="J28" s="326"/>
      <c r="K28" s="326"/>
      <c r="L28" s="325"/>
      <c r="M28" s="325"/>
      <c r="N28" s="327"/>
      <c r="O28" s="327"/>
      <c r="P28" s="325"/>
      <c r="Q28" s="325"/>
      <c r="R28" s="325"/>
      <c r="S28" s="327"/>
      <c r="T28" s="327"/>
    </row>
    <row r="29" spans="1:20" s="30" customFormat="1" x14ac:dyDescent="0.2">
      <c r="A29" s="93"/>
      <c r="B29" s="93"/>
      <c r="C29" s="93"/>
      <c r="D29" s="93"/>
      <c r="E29" s="326"/>
      <c r="F29" s="326"/>
      <c r="G29" s="326"/>
      <c r="H29" s="326"/>
      <c r="I29" s="326"/>
      <c r="J29" s="326"/>
      <c r="K29" s="326"/>
      <c r="L29" s="326"/>
      <c r="M29" s="325"/>
      <c r="N29" s="326"/>
      <c r="O29" s="326"/>
      <c r="P29" s="326"/>
      <c r="Q29" s="326"/>
      <c r="R29" s="326"/>
      <c r="S29" s="326"/>
      <c r="T29" s="326"/>
    </row>
    <row r="30" spans="1:20" s="30" customFormat="1" x14ac:dyDescent="0.2">
      <c r="A30" s="93"/>
      <c r="B30" s="93"/>
      <c r="C30" s="93"/>
      <c r="D30" s="93"/>
      <c r="E30" s="326"/>
      <c r="F30" s="326"/>
      <c r="G30" s="326"/>
      <c r="H30" s="326"/>
      <c r="I30" s="326"/>
      <c r="J30" s="326"/>
      <c r="K30" s="326"/>
      <c r="L30" s="326"/>
      <c r="M30" s="325"/>
      <c r="N30" s="326"/>
      <c r="O30" s="326"/>
      <c r="P30" s="326"/>
      <c r="Q30" s="326"/>
      <c r="R30" s="326"/>
      <c r="S30" s="326"/>
      <c r="T30" s="326"/>
    </row>
    <row r="31" spans="1:20" s="30" customFormat="1" ht="12.75" x14ac:dyDescent="0.2"/>
    <row r="32" spans="1:20" s="30" customFormat="1" ht="12.75" x14ac:dyDescent="0.2"/>
    <row r="33" spans="2:18" s="30" customFormat="1" ht="12.75" x14ac:dyDescent="0.2"/>
    <row r="34" spans="2:18" s="30" customFormat="1" ht="12.75" x14ac:dyDescent="0.2"/>
    <row r="35" spans="2:18" s="30" customFormat="1" ht="12.75" x14ac:dyDescent="0.2"/>
    <row r="36" spans="2:18" s="30" customFormat="1" ht="12.75" x14ac:dyDescent="0.2"/>
    <row r="37" spans="2:18" s="30" customFormat="1" ht="12.75" x14ac:dyDescent="0.2"/>
    <row r="38" spans="2:18" s="30" customFormat="1" ht="12.75" x14ac:dyDescent="0.2"/>
    <row r="39" spans="2:18" s="30" customFormat="1" ht="12.75" x14ac:dyDescent="0.2"/>
    <row r="40" spans="2:18" s="30" customFormat="1" ht="12.75" x14ac:dyDescent="0.2"/>
    <row r="41" spans="2:18" s="30" customFormat="1" ht="12.75" x14ac:dyDescent="0.2"/>
    <row r="42" spans="2:18" s="30" customFormat="1" ht="12.75" x14ac:dyDescent="0.2"/>
    <row r="43" spans="2:18" s="30" customFormat="1" ht="12.75" x14ac:dyDescent="0.2"/>
    <row r="44" spans="2:18" s="30" customFormat="1" ht="12.75" x14ac:dyDescent="0.2"/>
    <row r="45" spans="2:18" s="30" customFormat="1" ht="12.75" x14ac:dyDescent="0.2"/>
    <row r="46" spans="2:18" s="30" customFormat="1" ht="12.75" x14ac:dyDescent="0.2"/>
    <row r="47" spans="2:18" s="30" customFormat="1" ht="12.75" x14ac:dyDescent="0.2"/>
    <row r="48" spans="2:18" s="30" customFormat="1" x14ac:dyDescent="0.25">
      <c r="B48" s="26" t="s">
        <v>104</v>
      </c>
      <c r="C48" s="26"/>
      <c r="D48" s="26"/>
      <c r="E48" s="26"/>
      <c r="F48" s="26"/>
      <c r="G48" s="26"/>
      <c r="H48" s="26"/>
      <c r="I48" s="26"/>
      <c r="J48" s="26"/>
      <c r="K48" s="26"/>
      <c r="L48" s="26"/>
      <c r="M48" s="26"/>
      <c r="N48" s="26"/>
      <c r="O48" s="26"/>
      <c r="P48" s="26"/>
      <c r="Q48" s="26"/>
      <c r="R48" s="26"/>
    </row>
    <row r="49" spans="2:113" x14ac:dyDescent="0.25">
      <c r="B49" s="364" t="s">
        <v>421</v>
      </c>
      <c r="C49" s="364"/>
      <c r="D49" s="364"/>
      <c r="E49" s="364"/>
      <c r="F49" s="364"/>
      <c r="G49" s="364"/>
      <c r="H49" s="364"/>
      <c r="I49" s="364"/>
      <c r="J49" s="364"/>
      <c r="K49" s="364"/>
      <c r="L49" s="364"/>
      <c r="M49" s="364"/>
      <c r="N49" s="364"/>
      <c r="O49" s="364"/>
      <c r="P49" s="364"/>
      <c r="Q49" s="364"/>
      <c r="R49" s="364"/>
    </row>
    <row r="50" spans="2:113" x14ac:dyDescent="0.25">
      <c r="F50" s="26" t="s">
        <v>613</v>
      </c>
    </row>
    <row r="51" spans="2:113" x14ac:dyDescent="0.25">
      <c r="B51" s="28" t="s">
        <v>385</v>
      </c>
      <c r="C51" s="28"/>
      <c r="D51" s="28"/>
      <c r="E51" s="28"/>
      <c r="H51" s="28"/>
      <c r="I51" s="28"/>
      <c r="J51" s="28"/>
      <c r="K51" s="28"/>
      <c r="L51" s="28"/>
      <c r="M51" s="28"/>
      <c r="N51" s="28"/>
      <c r="O51" s="28"/>
      <c r="P51" s="28"/>
      <c r="Q51" s="28"/>
      <c r="R51" s="28"/>
      <c r="S51" s="29"/>
      <c r="T51" s="29"/>
      <c r="U51" s="29"/>
      <c r="V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row>
    <row r="52" spans="2:113" x14ac:dyDescent="0.25">
      <c r="B52" s="28" t="s">
        <v>103</v>
      </c>
      <c r="C52" s="28"/>
      <c r="D52" s="28"/>
      <c r="E52" s="28"/>
      <c r="H52" s="28"/>
      <c r="I52" s="28"/>
      <c r="J52" s="28"/>
      <c r="K52" s="28"/>
      <c r="L52" s="28"/>
      <c r="M52" s="28"/>
      <c r="N52" s="28"/>
      <c r="O52" s="28"/>
      <c r="P52" s="28"/>
      <c r="Q52" s="28"/>
      <c r="R52" s="28"/>
    </row>
    <row r="53" spans="2:113" x14ac:dyDescent="0.25">
      <c r="B53" s="28" t="s">
        <v>102</v>
      </c>
      <c r="C53" s="28"/>
      <c r="D53" s="28"/>
      <c r="E53" s="28"/>
      <c r="H53" s="28"/>
      <c r="I53" s="28"/>
      <c r="J53" s="28"/>
      <c r="K53" s="28"/>
      <c r="L53" s="28"/>
      <c r="M53" s="28"/>
      <c r="N53" s="28"/>
      <c r="O53" s="28"/>
      <c r="P53" s="28"/>
      <c r="Q53" s="28"/>
      <c r="R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101</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100</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99</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B57" s="28" t="s">
        <v>98</v>
      </c>
      <c r="C57" s="28"/>
      <c r="D57" s="28"/>
      <c r="E57" s="28"/>
      <c r="H57" s="28"/>
      <c r="I57" s="28"/>
      <c r="J57" s="28"/>
      <c r="K57" s="28"/>
      <c r="L57" s="28"/>
      <c r="M57" s="28"/>
      <c r="N57" s="28"/>
      <c r="O57" s="28"/>
      <c r="P57" s="28"/>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B58" s="28" t="s">
        <v>97</v>
      </c>
      <c r="C58" s="28"/>
      <c r="D58" s="28"/>
      <c r="E58" s="28"/>
      <c r="H58" s="28"/>
      <c r="I58" s="28"/>
      <c r="J58" s="28"/>
      <c r="K58" s="28"/>
      <c r="L58" s="28"/>
      <c r="M58" s="28"/>
      <c r="N58" s="28"/>
      <c r="O58" s="28"/>
      <c r="P58" s="28"/>
      <c r="Q58" s="28"/>
      <c r="R58" s="28"/>
      <c r="S58" s="28"/>
      <c r="T58" s="28"/>
      <c r="U58" s="28"/>
      <c r="V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row r="59" spans="2:113" x14ac:dyDescent="0.25">
      <c r="B59" s="28" t="s">
        <v>96</v>
      </c>
      <c r="C59" s="28"/>
      <c r="D59" s="28"/>
      <c r="E59" s="28"/>
      <c r="H59" s="28"/>
      <c r="I59" s="28"/>
      <c r="J59" s="28"/>
      <c r="K59" s="28"/>
      <c r="L59" s="28"/>
      <c r="M59" s="28"/>
      <c r="N59" s="28"/>
      <c r="O59" s="28"/>
      <c r="P59" s="28"/>
      <c r="Q59" s="28"/>
      <c r="R59" s="28"/>
      <c r="S59" s="28"/>
      <c r="T59" s="28"/>
      <c r="U59" s="28"/>
      <c r="V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row>
    <row r="60" spans="2:113" x14ac:dyDescent="0.25">
      <c r="B60" s="28" t="s">
        <v>95</v>
      </c>
      <c r="C60" s="28"/>
      <c r="D60" s="28"/>
      <c r="E60" s="28"/>
      <c r="H60" s="28"/>
      <c r="I60" s="28"/>
      <c r="J60" s="28"/>
      <c r="K60" s="28"/>
      <c r="L60" s="28"/>
      <c r="M60" s="28"/>
      <c r="N60" s="28"/>
      <c r="O60" s="28"/>
      <c r="P60" s="28"/>
      <c r="Q60" s="28"/>
      <c r="R60" s="28"/>
      <c r="S60" s="28"/>
      <c r="T60" s="28"/>
      <c r="U60" s="28"/>
      <c r="V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row>
    <row r="61" spans="2:113" x14ac:dyDescent="0.25">
      <c r="Q61" s="28"/>
      <c r="R61" s="28"/>
      <c r="S61" s="28"/>
      <c r="T61" s="28"/>
      <c r="U61" s="28"/>
      <c r="V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9:R4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A27" sqref="A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5" t="s">
        <v>7</v>
      </c>
      <c r="F7" s="355"/>
      <c r="G7" s="355"/>
      <c r="H7" s="355"/>
      <c r="I7" s="355"/>
      <c r="J7" s="355"/>
      <c r="K7" s="355"/>
      <c r="L7" s="355"/>
      <c r="M7" s="355"/>
      <c r="N7" s="355"/>
      <c r="O7" s="355"/>
      <c r="P7" s="355"/>
      <c r="Q7" s="355"/>
      <c r="R7" s="355"/>
      <c r="S7" s="355"/>
      <c r="T7" s="355"/>
      <c r="U7" s="355"/>
      <c r="V7" s="355"/>
      <c r="W7" s="355"/>
      <c r="X7" s="355"/>
      <c r="Y7" s="355"/>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3" t="str">
        <f>'1. паспорт местоположение'!A9</f>
        <v xml:space="preserve">Акционерное общество "Западная энергетическая компания" </v>
      </c>
      <c r="F9" s="353"/>
      <c r="G9" s="353"/>
      <c r="H9" s="353"/>
      <c r="I9" s="353"/>
      <c r="J9" s="353"/>
      <c r="K9" s="353"/>
      <c r="L9" s="353"/>
      <c r="M9" s="353"/>
      <c r="N9" s="353"/>
      <c r="O9" s="353"/>
      <c r="P9" s="353"/>
      <c r="Q9" s="353"/>
      <c r="R9" s="353"/>
      <c r="S9" s="353"/>
      <c r="T9" s="353"/>
      <c r="U9" s="353"/>
      <c r="V9" s="353"/>
      <c r="W9" s="353"/>
      <c r="X9" s="353"/>
      <c r="Y9" s="353"/>
    </row>
    <row r="10" spans="1:27" s="14"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3" t="str">
        <f>'1. паспорт местоположение'!A12</f>
        <v>L_21-09</v>
      </c>
      <c r="F12" s="353"/>
      <c r="G12" s="353"/>
      <c r="H12" s="353"/>
      <c r="I12" s="353"/>
      <c r="J12" s="353"/>
      <c r="K12" s="353"/>
      <c r="L12" s="353"/>
      <c r="M12" s="353"/>
      <c r="N12" s="353"/>
      <c r="O12" s="353"/>
      <c r="P12" s="353"/>
      <c r="Q12" s="353"/>
      <c r="R12" s="353"/>
      <c r="S12" s="353"/>
      <c r="T12" s="353"/>
      <c r="U12" s="353"/>
      <c r="V12" s="353"/>
      <c r="W12" s="353"/>
      <c r="X12" s="353"/>
      <c r="Y12" s="353"/>
    </row>
    <row r="13" spans="1:27" s="14"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3" t="str">
        <f>'1. паспорт местоположение'!A15</f>
        <v>Строительство сетей электроснабжения дошкольного учереждения в Калининграде п. Васильково</v>
      </c>
      <c r="F15" s="353"/>
      <c r="G15" s="353"/>
      <c r="H15" s="353"/>
      <c r="I15" s="353"/>
      <c r="J15" s="353"/>
      <c r="K15" s="353"/>
      <c r="L15" s="353"/>
      <c r="M15" s="353"/>
      <c r="N15" s="353"/>
      <c r="O15" s="353"/>
      <c r="P15" s="353"/>
      <c r="Q15" s="353"/>
      <c r="R15" s="353"/>
      <c r="S15" s="353"/>
      <c r="T15" s="353"/>
      <c r="U15" s="353"/>
      <c r="V15" s="353"/>
      <c r="W15" s="353"/>
      <c r="X15" s="353"/>
      <c r="Y15" s="353"/>
    </row>
    <row r="16" spans="1:27" s="106"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389</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27" customFormat="1" ht="21" customHeight="1" x14ac:dyDescent="0.25"/>
    <row r="21" spans="1:27" ht="15.75" customHeight="1" x14ac:dyDescent="0.25">
      <c r="A21" s="369" t="s">
        <v>3</v>
      </c>
      <c r="B21" s="365" t="s">
        <v>396</v>
      </c>
      <c r="C21" s="366"/>
      <c r="D21" s="365" t="s">
        <v>398</v>
      </c>
      <c r="E21" s="366"/>
      <c r="F21" s="375" t="s">
        <v>88</v>
      </c>
      <c r="G21" s="377"/>
      <c r="H21" s="377"/>
      <c r="I21" s="376"/>
      <c r="J21" s="369" t="s">
        <v>399</v>
      </c>
      <c r="K21" s="365" t="s">
        <v>400</v>
      </c>
      <c r="L21" s="366"/>
      <c r="M21" s="365" t="s">
        <v>401</v>
      </c>
      <c r="N21" s="366"/>
      <c r="O21" s="365" t="s">
        <v>388</v>
      </c>
      <c r="P21" s="366"/>
      <c r="Q21" s="365" t="s">
        <v>121</v>
      </c>
      <c r="R21" s="366"/>
      <c r="S21" s="369" t="s">
        <v>120</v>
      </c>
      <c r="T21" s="369" t="s">
        <v>402</v>
      </c>
      <c r="U21" s="369" t="s">
        <v>397</v>
      </c>
      <c r="V21" s="365" t="s">
        <v>119</v>
      </c>
      <c r="W21" s="366"/>
      <c r="X21" s="375" t="s">
        <v>111</v>
      </c>
      <c r="Y21" s="377"/>
      <c r="Z21" s="375" t="s">
        <v>110</v>
      </c>
      <c r="AA21" s="377"/>
    </row>
    <row r="22" spans="1:27" ht="216" customHeight="1" x14ac:dyDescent="0.25">
      <c r="A22" s="371"/>
      <c r="B22" s="367"/>
      <c r="C22" s="368"/>
      <c r="D22" s="367"/>
      <c r="E22" s="368"/>
      <c r="F22" s="375" t="s">
        <v>118</v>
      </c>
      <c r="G22" s="376"/>
      <c r="H22" s="375" t="s">
        <v>117</v>
      </c>
      <c r="I22" s="376"/>
      <c r="J22" s="370"/>
      <c r="K22" s="367"/>
      <c r="L22" s="368"/>
      <c r="M22" s="367"/>
      <c r="N22" s="368"/>
      <c r="O22" s="367"/>
      <c r="P22" s="368"/>
      <c r="Q22" s="367"/>
      <c r="R22" s="368"/>
      <c r="S22" s="370"/>
      <c r="T22" s="370"/>
      <c r="U22" s="370"/>
      <c r="V22" s="367"/>
      <c r="W22" s="368"/>
      <c r="X22" s="54" t="s">
        <v>109</v>
      </c>
      <c r="Y22" s="54" t="s">
        <v>386</v>
      </c>
      <c r="Z22" s="54" t="s">
        <v>108</v>
      </c>
      <c r="AA22" s="54" t="s">
        <v>107</v>
      </c>
    </row>
    <row r="23" spans="1:27" ht="60" customHeight="1" x14ac:dyDescent="0.25">
      <c r="A23" s="370"/>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629</v>
      </c>
      <c r="D25" s="93" t="s">
        <v>297</v>
      </c>
      <c r="E25" s="93" t="s">
        <v>537</v>
      </c>
      <c r="F25" s="93" t="s">
        <v>537</v>
      </c>
      <c r="G25" s="93">
        <v>0.4</v>
      </c>
      <c r="H25" s="93" t="s">
        <v>537</v>
      </c>
      <c r="I25" s="93">
        <v>0.4</v>
      </c>
      <c r="J25" s="93">
        <v>2021</v>
      </c>
      <c r="K25" s="93" t="s">
        <v>537</v>
      </c>
      <c r="L25" s="93" t="s">
        <v>537</v>
      </c>
      <c r="M25" s="93" t="s">
        <v>537</v>
      </c>
      <c r="N25" s="93" t="s">
        <v>635</v>
      </c>
      <c r="O25" s="93" t="s">
        <v>537</v>
      </c>
      <c r="P25" s="93" t="s">
        <v>585</v>
      </c>
      <c r="Q25" s="93" t="s">
        <v>537</v>
      </c>
      <c r="R25" s="93">
        <v>0.72</v>
      </c>
      <c r="S25" s="93" t="s">
        <v>537</v>
      </c>
      <c r="T25" s="93" t="s">
        <v>537</v>
      </c>
      <c r="U25" s="93" t="s">
        <v>537</v>
      </c>
      <c r="V25" s="93" t="s">
        <v>537</v>
      </c>
      <c r="W25" s="93" t="s">
        <v>537</v>
      </c>
      <c r="X25" s="93" t="s">
        <v>537</v>
      </c>
      <c r="Y25" s="93" t="s">
        <v>537</v>
      </c>
      <c r="Z25" s="93" t="s">
        <v>537</v>
      </c>
      <c r="AA25" s="93" t="s">
        <v>537</v>
      </c>
    </row>
    <row r="26" spans="1:27" s="27" customFormat="1" x14ac:dyDescent="0.25">
      <c r="A26" s="93"/>
      <c r="B26" s="93"/>
      <c r="C26" s="93" t="s">
        <v>634</v>
      </c>
      <c r="D26" s="93"/>
      <c r="E26" s="93" t="s">
        <v>537</v>
      </c>
      <c r="F26" s="93" t="s">
        <v>537</v>
      </c>
      <c r="G26" s="93">
        <v>0.4</v>
      </c>
      <c r="H26" s="93"/>
      <c r="I26" s="93">
        <v>0.4</v>
      </c>
      <c r="J26" s="93">
        <v>2021</v>
      </c>
      <c r="K26" s="93" t="s">
        <v>537</v>
      </c>
      <c r="L26" s="93" t="s">
        <v>537</v>
      </c>
      <c r="M26" s="93" t="s">
        <v>537</v>
      </c>
      <c r="N26" s="93" t="s">
        <v>635</v>
      </c>
      <c r="O26" s="93" t="s">
        <v>537</v>
      </c>
      <c r="P26" s="93" t="s">
        <v>585</v>
      </c>
      <c r="Q26" s="93" t="s">
        <v>537</v>
      </c>
      <c r="R26" s="93">
        <v>0.72</v>
      </c>
      <c r="S26" s="93" t="s">
        <v>537</v>
      </c>
      <c r="T26" s="93" t="s">
        <v>537</v>
      </c>
      <c r="U26" s="93" t="s">
        <v>537</v>
      </c>
      <c r="V26" s="93" t="s">
        <v>537</v>
      </c>
      <c r="W26" s="93" t="s">
        <v>537</v>
      </c>
      <c r="X26" s="93" t="s">
        <v>537</v>
      </c>
      <c r="Y26" s="93" t="s">
        <v>537</v>
      </c>
      <c r="Z26" s="93" t="s">
        <v>537</v>
      </c>
      <c r="AA26" s="93" t="s">
        <v>537</v>
      </c>
    </row>
    <row r="27" spans="1:27" ht="30" customHeight="1" x14ac:dyDescent="0.25">
      <c r="A27" s="93"/>
      <c r="B27" s="93"/>
      <c r="C27" s="93" t="s">
        <v>644</v>
      </c>
      <c r="D27" s="93"/>
      <c r="E27" s="93" t="s">
        <v>537</v>
      </c>
      <c r="F27" s="93" t="s">
        <v>537</v>
      </c>
      <c r="G27" s="93">
        <v>0.4</v>
      </c>
      <c r="H27" s="93"/>
      <c r="I27" s="93">
        <v>0.4</v>
      </c>
      <c r="J27" s="93">
        <v>2021</v>
      </c>
      <c r="K27" s="93" t="s">
        <v>537</v>
      </c>
      <c r="L27" s="93" t="s">
        <v>537</v>
      </c>
      <c r="M27" s="93" t="s">
        <v>537</v>
      </c>
      <c r="N27" s="93" t="s">
        <v>635</v>
      </c>
      <c r="O27" s="93" t="s">
        <v>537</v>
      </c>
      <c r="P27" s="93" t="s">
        <v>585</v>
      </c>
      <c r="Q27" s="93" t="s">
        <v>537</v>
      </c>
      <c r="R27" s="93">
        <v>0.72</v>
      </c>
      <c r="S27" s="93" t="s">
        <v>537</v>
      </c>
      <c r="T27" s="93" t="s">
        <v>537</v>
      </c>
      <c r="U27" s="93" t="s">
        <v>537</v>
      </c>
      <c r="V27" s="93" t="s">
        <v>537</v>
      </c>
      <c r="W27" s="93" t="s">
        <v>537</v>
      </c>
      <c r="X27" s="93" t="s">
        <v>537</v>
      </c>
      <c r="Y27" s="93" t="s">
        <v>537</v>
      </c>
      <c r="Z27" s="93" t="s">
        <v>537</v>
      </c>
      <c r="AA27" s="93" t="s">
        <v>537</v>
      </c>
    </row>
    <row r="28" spans="1:27" s="30" customFormat="1" x14ac:dyDescent="0.2">
      <c r="A28" s="93"/>
      <c r="B28" s="93"/>
      <c r="C28" s="93" t="s">
        <v>645</v>
      </c>
      <c r="D28" s="93"/>
      <c r="E28" s="93" t="s">
        <v>537</v>
      </c>
      <c r="F28" s="93" t="s">
        <v>537</v>
      </c>
      <c r="G28" s="93">
        <v>0.4</v>
      </c>
      <c r="H28" s="93"/>
      <c r="I28" s="93">
        <v>0.4</v>
      </c>
      <c r="J28" s="93">
        <v>2021</v>
      </c>
      <c r="K28" s="93" t="s">
        <v>537</v>
      </c>
      <c r="L28" s="93" t="s">
        <v>537</v>
      </c>
      <c r="M28" s="93" t="s">
        <v>537</v>
      </c>
      <c r="N28" s="93" t="s">
        <v>635</v>
      </c>
      <c r="O28" s="93" t="s">
        <v>537</v>
      </c>
      <c r="P28" s="93" t="s">
        <v>585</v>
      </c>
      <c r="Q28" s="93" t="s">
        <v>537</v>
      </c>
      <c r="R28" s="93">
        <v>0.72</v>
      </c>
      <c r="S28" s="93" t="s">
        <v>537</v>
      </c>
      <c r="T28" s="93" t="s">
        <v>537</v>
      </c>
      <c r="U28" s="93" t="s">
        <v>537</v>
      </c>
      <c r="V28" s="93" t="s">
        <v>537</v>
      </c>
      <c r="W28" s="93" t="s">
        <v>537</v>
      </c>
      <c r="X28" s="93" t="s">
        <v>537</v>
      </c>
      <c r="Y28" s="93" t="s">
        <v>537</v>
      </c>
      <c r="Z28" s="93" t="s">
        <v>537</v>
      </c>
      <c r="AA28" s="93" t="s">
        <v>537</v>
      </c>
    </row>
    <row r="29" spans="1:27" s="30" customFormat="1" x14ac:dyDescent="0.2">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8" t="str">
        <f>'1. паспорт местоположение'!A5:C5</f>
        <v>Год раскрытия информации: 2023 год</v>
      </c>
      <c r="B5" s="348"/>
      <c r="C5" s="348"/>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5" t="s">
        <v>7</v>
      </c>
      <c r="B7" s="355"/>
      <c r="C7" s="355"/>
      <c r="D7" s="107"/>
      <c r="E7" s="107"/>
      <c r="F7" s="107"/>
      <c r="G7" s="107"/>
      <c r="H7" s="107"/>
      <c r="I7" s="107"/>
      <c r="J7" s="107"/>
      <c r="K7" s="107"/>
      <c r="L7" s="107"/>
      <c r="M7" s="107"/>
      <c r="N7" s="107"/>
      <c r="O7" s="107"/>
      <c r="P7" s="107"/>
      <c r="Q7" s="107"/>
      <c r="R7" s="107"/>
      <c r="S7" s="107"/>
      <c r="T7" s="107"/>
      <c r="U7" s="107"/>
    </row>
    <row r="8" spans="1:29" s="14" customFormat="1" ht="18.75" x14ac:dyDescent="0.2">
      <c r="A8" s="355"/>
      <c r="B8" s="355"/>
      <c r="C8" s="355"/>
      <c r="D8" s="118"/>
      <c r="E8" s="118"/>
      <c r="F8" s="118"/>
      <c r="G8" s="118"/>
      <c r="H8" s="107"/>
      <c r="I8" s="107"/>
      <c r="J8" s="107"/>
      <c r="K8" s="107"/>
      <c r="L8" s="107"/>
      <c r="M8" s="107"/>
      <c r="N8" s="107"/>
      <c r="O8" s="107"/>
      <c r="P8" s="107"/>
      <c r="Q8" s="107"/>
      <c r="R8" s="107"/>
      <c r="S8" s="107"/>
      <c r="T8" s="107"/>
      <c r="U8" s="107"/>
    </row>
    <row r="9" spans="1:29" s="14" customFormat="1" ht="18.75" x14ac:dyDescent="0.2">
      <c r="A9" s="353" t="str">
        <f>'1. паспорт местоположение'!A9:C9</f>
        <v xml:space="preserve">Акционерное общество "Западная энергетическая компания" </v>
      </c>
      <c r="B9" s="353"/>
      <c r="C9" s="353"/>
      <c r="D9" s="109"/>
      <c r="E9" s="109"/>
      <c r="F9" s="109"/>
      <c r="G9" s="109"/>
      <c r="H9" s="107"/>
      <c r="I9" s="107"/>
      <c r="J9" s="107"/>
      <c r="K9" s="107"/>
      <c r="L9" s="107"/>
      <c r="M9" s="107"/>
      <c r="N9" s="107"/>
      <c r="O9" s="107"/>
      <c r="P9" s="107"/>
      <c r="Q9" s="107"/>
      <c r="R9" s="107"/>
      <c r="S9" s="107"/>
      <c r="T9" s="107"/>
      <c r="U9" s="107"/>
    </row>
    <row r="10" spans="1:29" s="14" customFormat="1" ht="18.75" x14ac:dyDescent="0.2">
      <c r="A10" s="359" t="s">
        <v>6</v>
      </c>
      <c r="B10" s="359"/>
      <c r="C10" s="359"/>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5"/>
      <c r="B11" s="355"/>
      <c r="C11" s="355"/>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3" t="str">
        <f>'1. паспорт местоположение'!A12:C12</f>
        <v>L_21-09</v>
      </c>
      <c r="B12" s="353"/>
      <c r="C12" s="353"/>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9" t="s">
        <v>5</v>
      </c>
      <c r="B13" s="359"/>
      <c r="C13" s="359"/>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1"/>
      <c r="B14" s="361"/>
      <c r="C14" s="361"/>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0" t="str">
        <f>'1. паспорт местоположение'!A15:C15</f>
        <v>Строительство сетей электроснабжения дошкольного учереждения в Калининграде п. Васильково</v>
      </c>
      <c r="B15" s="380"/>
      <c r="C15" s="380"/>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9" t="s">
        <v>4</v>
      </c>
      <c r="B16" s="359"/>
      <c r="C16" s="359"/>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1"/>
      <c r="B17" s="361"/>
      <c r="C17" s="361"/>
      <c r="D17" s="108"/>
      <c r="E17" s="108"/>
      <c r="F17" s="108"/>
      <c r="G17" s="108"/>
      <c r="H17" s="108"/>
      <c r="I17" s="108"/>
      <c r="J17" s="108"/>
      <c r="K17" s="108"/>
      <c r="L17" s="108"/>
      <c r="M17" s="108"/>
      <c r="N17" s="108"/>
      <c r="O17" s="108"/>
      <c r="P17" s="108"/>
      <c r="Q17" s="108"/>
      <c r="R17" s="108"/>
    </row>
    <row r="18" spans="1:21" s="106" customFormat="1" ht="27.75" customHeight="1" x14ac:dyDescent="0.2">
      <c r="A18" s="362" t="s">
        <v>381</v>
      </c>
      <c r="B18" s="362"/>
      <c r="C18" s="362"/>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сетей электроснабжения дошкольного учереждения в Калининграде п. Васильково</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646</v>
      </c>
    </row>
    <row r="24" spans="1:21" ht="89.25" customHeight="1" x14ac:dyDescent="0.25">
      <c r="A24" s="120" t="s">
        <v>60</v>
      </c>
      <c r="B24" s="121" t="s">
        <v>413</v>
      </c>
      <c r="C24" s="122" t="s">
        <v>647</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648</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630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07"/>
      <c r="AB6" s="107"/>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07"/>
      <c r="AB7" s="107"/>
    </row>
    <row r="8" spans="1:28" ht="15.75" x14ac:dyDescent="0.25">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09"/>
      <c r="AB8" s="109"/>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10"/>
      <c r="AB9" s="110"/>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07"/>
      <c r="AB10" s="107"/>
    </row>
    <row r="11" spans="1:28" ht="15.75" x14ac:dyDescent="0.25">
      <c r="A11" s="360" t="str">
        <f>'1. паспорт местоположение'!A12:C12</f>
        <v>L_21-09</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09"/>
      <c r="AB11" s="109"/>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10"/>
      <c r="AB12" s="110"/>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24"/>
      <c r="AB13" s="124"/>
    </row>
    <row r="14" spans="1:28" ht="15.75" x14ac:dyDescent="0.25">
      <c r="A14" s="353" t="str">
        <f>'1. паспорт местоположение'!A15:C15</f>
        <v>Строительство сетей электроснабжения дошкольного учереждения в Калининграде п. Васильково</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09"/>
      <c r="AB14" s="109"/>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10"/>
      <c r="AB15" s="110"/>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25"/>
      <c r="AB16" s="125"/>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25"/>
      <c r="AB17" s="125"/>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25"/>
      <c r="AB18" s="125"/>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25"/>
      <c r="AB19" s="125"/>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25"/>
      <c r="AB20" s="125"/>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25"/>
      <c r="AB21" s="125"/>
    </row>
    <row r="22" spans="1:28" x14ac:dyDescent="0.25">
      <c r="A22" s="382" t="s">
        <v>412</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26"/>
      <c r="AB22" s="126"/>
    </row>
    <row r="23" spans="1:28" ht="32.25" customHeight="1" x14ac:dyDescent="0.25">
      <c r="A23" s="384" t="s">
        <v>295</v>
      </c>
      <c r="B23" s="385"/>
      <c r="C23" s="385"/>
      <c r="D23" s="385"/>
      <c r="E23" s="385"/>
      <c r="F23" s="385"/>
      <c r="G23" s="385"/>
      <c r="H23" s="385"/>
      <c r="I23" s="385"/>
      <c r="J23" s="385"/>
      <c r="K23" s="385"/>
      <c r="L23" s="386"/>
      <c r="M23" s="383" t="s">
        <v>296</v>
      </c>
      <c r="N23" s="383"/>
      <c r="O23" s="383"/>
      <c r="P23" s="383"/>
      <c r="Q23" s="383"/>
      <c r="R23" s="383"/>
      <c r="S23" s="383"/>
      <c r="T23" s="383"/>
      <c r="U23" s="383"/>
      <c r="V23" s="383"/>
      <c r="W23" s="383"/>
      <c r="X23" s="383"/>
      <c r="Y23" s="383"/>
      <c r="Z23" s="383"/>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5" t="s">
        <v>7</v>
      </c>
      <c r="B7" s="355"/>
      <c r="C7" s="355"/>
      <c r="D7" s="355"/>
      <c r="E7" s="355"/>
      <c r="F7" s="355"/>
      <c r="G7" s="355"/>
      <c r="H7" s="355"/>
      <c r="I7" s="355"/>
      <c r="J7" s="355"/>
      <c r="K7" s="355"/>
      <c r="L7" s="355"/>
      <c r="M7" s="355"/>
      <c r="N7" s="355"/>
      <c r="O7" s="355"/>
      <c r="P7" s="107"/>
      <c r="Q7" s="107"/>
      <c r="R7" s="107"/>
      <c r="S7" s="107"/>
      <c r="T7" s="107"/>
      <c r="U7" s="107"/>
      <c r="V7" s="107"/>
      <c r="W7" s="107"/>
      <c r="X7" s="107"/>
      <c r="Y7" s="107"/>
      <c r="Z7" s="107"/>
    </row>
    <row r="8" spans="1:28" s="14" customFormat="1" ht="18.75" x14ac:dyDescent="0.2">
      <c r="A8" s="355"/>
      <c r="B8" s="355"/>
      <c r="C8" s="355"/>
      <c r="D8" s="355"/>
      <c r="E8" s="355"/>
      <c r="F8" s="355"/>
      <c r="G8" s="355"/>
      <c r="H8" s="355"/>
      <c r="I8" s="355"/>
      <c r="J8" s="355"/>
      <c r="K8" s="355"/>
      <c r="L8" s="355"/>
      <c r="M8" s="355"/>
      <c r="N8" s="355"/>
      <c r="O8" s="355"/>
      <c r="P8" s="107"/>
      <c r="Q8" s="107"/>
      <c r="R8" s="107"/>
      <c r="S8" s="107"/>
      <c r="T8" s="107"/>
      <c r="U8" s="107"/>
      <c r="V8" s="107"/>
      <c r="W8" s="107"/>
      <c r="X8" s="107"/>
      <c r="Y8" s="107"/>
      <c r="Z8" s="107"/>
    </row>
    <row r="9" spans="1:28" s="14" customFormat="1" ht="18.75" x14ac:dyDescent="0.2">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107"/>
      <c r="Q9" s="107"/>
      <c r="R9" s="107"/>
      <c r="S9" s="107"/>
      <c r="T9" s="107"/>
      <c r="U9" s="107"/>
      <c r="V9" s="107"/>
      <c r="W9" s="107"/>
      <c r="X9" s="107"/>
      <c r="Y9" s="107"/>
      <c r="Z9" s="107"/>
    </row>
    <row r="10" spans="1:28" s="14" customFormat="1" ht="18.75" x14ac:dyDescent="0.2">
      <c r="A10" s="359" t="s">
        <v>6</v>
      </c>
      <c r="B10" s="359"/>
      <c r="C10" s="359"/>
      <c r="D10" s="359"/>
      <c r="E10" s="359"/>
      <c r="F10" s="359"/>
      <c r="G10" s="359"/>
      <c r="H10" s="359"/>
      <c r="I10" s="359"/>
      <c r="J10" s="359"/>
      <c r="K10" s="359"/>
      <c r="L10" s="359"/>
      <c r="M10" s="359"/>
      <c r="N10" s="359"/>
      <c r="O10" s="359"/>
      <c r="P10" s="107"/>
      <c r="Q10" s="107"/>
      <c r="R10" s="107"/>
      <c r="S10" s="107"/>
      <c r="T10" s="107"/>
      <c r="U10" s="107"/>
      <c r="V10" s="107"/>
      <c r="W10" s="107"/>
      <c r="X10" s="107"/>
      <c r="Y10" s="107"/>
      <c r="Z10" s="107"/>
    </row>
    <row r="11" spans="1:28" s="14" customFormat="1" ht="18.75" x14ac:dyDescent="0.2">
      <c r="A11" s="355"/>
      <c r="B11" s="355"/>
      <c r="C11" s="355"/>
      <c r="D11" s="355"/>
      <c r="E11" s="355"/>
      <c r="F11" s="355"/>
      <c r="G11" s="355"/>
      <c r="H11" s="355"/>
      <c r="I11" s="355"/>
      <c r="J11" s="355"/>
      <c r="K11" s="355"/>
      <c r="L11" s="355"/>
      <c r="M11" s="355"/>
      <c r="N11" s="355"/>
      <c r="O11" s="355"/>
      <c r="P11" s="107"/>
      <c r="Q11" s="107"/>
      <c r="R11" s="107"/>
      <c r="S11" s="107"/>
      <c r="T11" s="107"/>
      <c r="U11" s="107"/>
      <c r="V11" s="107"/>
      <c r="W11" s="107"/>
      <c r="X11" s="107"/>
      <c r="Y11" s="107"/>
      <c r="Z11" s="107"/>
    </row>
    <row r="12" spans="1:28" s="14" customFormat="1" ht="18.75" x14ac:dyDescent="0.2">
      <c r="A12" s="360" t="str">
        <f>'1. паспорт местоположение'!A12:C12</f>
        <v>L_21-09</v>
      </c>
      <c r="B12" s="360"/>
      <c r="C12" s="360"/>
      <c r="D12" s="360"/>
      <c r="E12" s="360"/>
      <c r="F12" s="360"/>
      <c r="G12" s="360"/>
      <c r="H12" s="360"/>
      <c r="I12" s="360"/>
      <c r="J12" s="360"/>
      <c r="K12" s="360"/>
      <c r="L12" s="360"/>
      <c r="M12" s="360"/>
      <c r="N12" s="360"/>
      <c r="O12" s="360"/>
      <c r="P12" s="107"/>
      <c r="Q12" s="107"/>
      <c r="R12" s="107"/>
      <c r="S12" s="107"/>
      <c r="T12" s="107"/>
      <c r="U12" s="107"/>
      <c r="V12" s="107"/>
      <c r="W12" s="107"/>
      <c r="X12" s="107"/>
      <c r="Y12" s="107"/>
      <c r="Z12" s="107"/>
    </row>
    <row r="13" spans="1:28" s="14" customFormat="1" ht="18.75" x14ac:dyDescent="0.2">
      <c r="A13" s="359" t="s">
        <v>5</v>
      </c>
      <c r="B13" s="359"/>
      <c r="C13" s="359"/>
      <c r="D13" s="359"/>
      <c r="E13" s="359"/>
      <c r="F13" s="359"/>
      <c r="G13" s="359"/>
      <c r="H13" s="359"/>
      <c r="I13" s="359"/>
      <c r="J13" s="359"/>
      <c r="K13" s="359"/>
      <c r="L13" s="359"/>
      <c r="M13" s="359"/>
      <c r="N13" s="359"/>
      <c r="O13" s="359"/>
      <c r="P13" s="107"/>
      <c r="Q13" s="107"/>
      <c r="R13" s="107"/>
      <c r="S13" s="107"/>
      <c r="T13" s="107"/>
      <c r="U13" s="107"/>
      <c r="V13" s="107"/>
      <c r="W13" s="107"/>
      <c r="X13" s="107"/>
      <c r="Y13" s="107"/>
      <c r="Z13" s="107"/>
    </row>
    <row r="14" spans="1:28" s="14" customFormat="1" ht="15.75" customHeight="1" x14ac:dyDescent="0.2">
      <c r="A14" s="361"/>
      <c r="B14" s="361"/>
      <c r="C14" s="361"/>
      <c r="D14" s="361"/>
      <c r="E14" s="361"/>
      <c r="F14" s="361"/>
      <c r="G14" s="361"/>
      <c r="H14" s="361"/>
      <c r="I14" s="361"/>
      <c r="J14" s="361"/>
      <c r="K14" s="361"/>
      <c r="L14" s="361"/>
      <c r="M14" s="361"/>
      <c r="N14" s="361"/>
      <c r="O14" s="361"/>
      <c r="P14" s="108"/>
      <c r="Q14" s="108"/>
      <c r="R14" s="108"/>
      <c r="S14" s="108"/>
      <c r="T14" s="108"/>
      <c r="U14" s="108"/>
      <c r="V14" s="108"/>
      <c r="W14" s="108"/>
      <c r="X14" s="108"/>
      <c r="Y14" s="108"/>
      <c r="Z14" s="108"/>
    </row>
    <row r="15" spans="1:28" s="106" customFormat="1" ht="15.75" x14ac:dyDescent="0.2">
      <c r="A15" s="353" t="str">
        <f>'1. паспорт местоположение'!A15:C15</f>
        <v>Строительство сетей электроснабжения дошкольного учереждения в Калининграде п. Васильково</v>
      </c>
      <c r="B15" s="353"/>
      <c r="C15" s="353"/>
      <c r="D15" s="353"/>
      <c r="E15" s="353"/>
      <c r="F15" s="353"/>
      <c r="G15" s="353"/>
      <c r="H15" s="353"/>
      <c r="I15" s="353"/>
      <c r="J15" s="353"/>
      <c r="K15" s="353"/>
      <c r="L15" s="353"/>
      <c r="M15" s="353"/>
      <c r="N15" s="353"/>
      <c r="O15" s="353"/>
      <c r="P15" s="109"/>
      <c r="Q15" s="109"/>
      <c r="R15" s="109"/>
      <c r="S15" s="109"/>
      <c r="T15" s="109"/>
      <c r="U15" s="109"/>
      <c r="V15" s="109"/>
      <c r="W15" s="109"/>
      <c r="X15" s="109"/>
      <c r="Y15" s="109"/>
      <c r="Z15" s="109"/>
    </row>
    <row r="16" spans="1:28" s="106" customFormat="1" ht="15" customHeight="1" x14ac:dyDescent="0.2">
      <c r="A16" s="359" t="s">
        <v>4</v>
      </c>
      <c r="B16" s="359"/>
      <c r="C16" s="359"/>
      <c r="D16" s="359"/>
      <c r="E16" s="359"/>
      <c r="F16" s="359"/>
      <c r="G16" s="359"/>
      <c r="H16" s="359"/>
      <c r="I16" s="359"/>
      <c r="J16" s="359"/>
      <c r="K16" s="359"/>
      <c r="L16" s="359"/>
      <c r="M16" s="359"/>
      <c r="N16" s="359"/>
      <c r="O16" s="359"/>
      <c r="P16" s="110"/>
      <c r="Q16" s="110"/>
      <c r="R16" s="110"/>
      <c r="S16" s="110"/>
      <c r="T16" s="110"/>
      <c r="U16" s="110"/>
      <c r="V16" s="110"/>
      <c r="W16" s="110"/>
      <c r="X16" s="110"/>
      <c r="Y16" s="110"/>
      <c r="Z16" s="110"/>
    </row>
    <row r="17" spans="1:26" s="106" customFormat="1" ht="15" customHeight="1" x14ac:dyDescent="0.2">
      <c r="A17" s="361"/>
      <c r="B17" s="361"/>
      <c r="C17" s="361"/>
      <c r="D17" s="361"/>
      <c r="E17" s="361"/>
      <c r="F17" s="361"/>
      <c r="G17" s="361"/>
      <c r="H17" s="361"/>
      <c r="I17" s="361"/>
      <c r="J17" s="361"/>
      <c r="K17" s="361"/>
      <c r="L17" s="361"/>
      <c r="M17" s="361"/>
      <c r="N17" s="361"/>
      <c r="O17" s="361"/>
      <c r="P17" s="108"/>
      <c r="Q17" s="108"/>
      <c r="R17" s="108"/>
      <c r="S17" s="108"/>
      <c r="T17" s="108"/>
      <c r="U17" s="108"/>
      <c r="V17" s="108"/>
      <c r="W17" s="108"/>
    </row>
    <row r="18" spans="1:26" s="106" customFormat="1" ht="91.5" customHeight="1" x14ac:dyDescent="0.2">
      <c r="A18" s="391" t="s">
        <v>390</v>
      </c>
      <c r="B18" s="391"/>
      <c r="C18" s="391"/>
      <c r="D18" s="391"/>
      <c r="E18" s="391"/>
      <c r="F18" s="391"/>
      <c r="G18" s="391"/>
      <c r="H18" s="391"/>
      <c r="I18" s="391"/>
      <c r="J18" s="391"/>
      <c r="K18" s="391"/>
      <c r="L18" s="391"/>
      <c r="M18" s="391"/>
      <c r="N18" s="391"/>
      <c r="O18" s="391"/>
      <c r="P18" s="111"/>
      <c r="Q18" s="111"/>
      <c r="R18" s="111"/>
      <c r="S18" s="111"/>
      <c r="T18" s="111"/>
      <c r="U18" s="111"/>
      <c r="V18" s="111"/>
      <c r="W18" s="111"/>
      <c r="X18" s="111"/>
      <c r="Y18" s="111"/>
      <c r="Z18" s="111"/>
    </row>
    <row r="19" spans="1:26" s="106"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08"/>
      <c r="Q19" s="108"/>
      <c r="R19" s="108"/>
      <c r="S19" s="108"/>
      <c r="T19" s="108"/>
      <c r="U19" s="108"/>
      <c r="V19" s="108"/>
      <c r="W19" s="108"/>
    </row>
    <row r="20" spans="1:26" s="106" customFormat="1" ht="51" customHeight="1" x14ac:dyDescent="0.2">
      <c r="A20" s="387"/>
      <c r="B20" s="387"/>
      <c r="C20" s="387"/>
      <c r="D20" s="387"/>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2" zoomScale="90" zoomScaleNormal="90" workbookViewId="0">
      <selection activeCell="F49" sqref="F49"/>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7" t="str">
        <f>'1. паспорт местоположение'!A5:C5</f>
        <v>Год раскрытия информации: 2023 год</v>
      </c>
      <c r="B5" s="407"/>
      <c r="C5" s="407"/>
      <c r="D5" s="407"/>
      <c r="E5" s="407"/>
      <c r="F5" s="407"/>
      <c r="G5" s="407"/>
      <c r="H5" s="407"/>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8" t="s">
        <v>7</v>
      </c>
      <c r="B7" s="408"/>
      <c r="C7" s="408"/>
      <c r="D7" s="408"/>
      <c r="E7" s="408"/>
      <c r="F7" s="408"/>
      <c r="G7" s="408"/>
      <c r="H7" s="408"/>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9" t="str">
        <f>'1. паспорт местоположение'!A9:C10</f>
        <v xml:space="preserve">Акционерное общество "Западная энергетическая компания" </v>
      </c>
      <c r="B9" s="409"/>
      <c r="C9" s="409"/>
      <c r="D9" s="409"/>
      <c r="E9" s="409"/>
      <c r="F9" s="409"/>
      <c r="G9" s="409"/>
      <c r="H9" s="40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10" t="s">
        <v>6</v>
      </c>
      <c r="B10" s="410"/>
      <c r="C10" s="410"/>
      <c r="D10" s="410"/>
      <c r="E10" s="410"/>
      <c r="F10" s="410"/>
      <c r="G10" s="410"/>
      <c r="H10" s="410"/>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9" t="str">
        <f>'1. паспорт местоположение'!A12:C12</f>
        <v>L_21-09</v>
      </c>
      <c r="B12" s="409"/>
      <c r="C12" s="409"/>
      <c r="D12" s="409"/>
      <c r="E12" s="409"/>
      <c r="F12" s="409"/>
      <c r="G12" s="409"/>
      <c r="H12" s="40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10" t="s">
        <v>5</v>
      </c>
      <c r="B13" s="410"/>
      <c r="C13" s="410"/>
      <c r="D13" s="410"/>
      <c r="E13" s="410"/>
      <c r="F13" s="410"/>
      <c r="G13" s="410"/>
      <c r="H13" s="410"/>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11" t="str">
        <f>'1. паспорт местоположение'!A15:C15</f>
        <v>Строительство сетей электроснабжения дошкольного учереждения в Калининграде п. Васильково</v>
      </c>
      <c r="B15" s="411"/>
      <c r="C15" s="411"/>
      <c r="D15" s="411"/>
      <c r="E15" s="411"/>
      <c r="F15" s="411"/>
      <c r="G15" s="411"/>
      <c r="H15" s="411"/>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10" t="s">
        <v>4</v>
      </c>
      <c r="B16" s="410"/>
      <c r="C16" s="410"/>
      <c r="D16" s="410"/>
      <c r="E16" s="410"/>
      <c r="F16" s="410"/>
      <c r="G16" s="410"/>
      <c r="H16" s="410"/>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9" t="s">
        <v>391</v>
      </c>
      <c r="B18" s="409"/>
      <c r="C18" s="409"/>
      <c r="D18" s="409"/>
      <c r="E18" s="409"/>
      <c r="F18" s="409"/>
      <c r="G18" s="409"/>
      <c r="H18" s="409"/>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1528130</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4" t="s">
        <v>285</v>
      </c>
      <c r="E28" s="395"/>
      <c r="F28" s="396"/>
      <c r="G28" s="405" t="str">
        <f ca="1">IF(SUM(B89:L89)=0,"не окупается",SUM(B89:L89))</f>
        <v>не окупается</v>
      </c>
      <c r="H28" s="406"/>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1528.13</v>
      </c>
      <c r="C29" s="189"/>
      <c r="D29" s="394" t="s">
        <v>283</v>
      </c>
      <c r="E29" s="395"/>
      <c r="F29" s="396"/>
      <c r="G29" s="405" t="str">
        <f ca="1">IF(SUM(B90:L90)=0,"не окупается",SUM(B90:L90))</f>
        <v>не окупается</v>
      </c>
      <c r="H29" s="406"/>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4" t="s">
        <v>546</v>
      </c>
      <c r="E30" s="395"/>
      <c r="F30" s="396"/>
      <c r="G30" s="397">
        <f ca="1">L87</f>
        <v>-11745449.922356887</v>
      </c>
      <c r="H30" s="398"/>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399"/>
      <c r="E31" s="400"/>
      <c r="F31" s="401"/>
      <c r="G31" s="399"/>
      <c r="H31" s="401"/>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8233098</v>
      </c>
      <c r="C50" s="239">
        <f>C108*(1+C49)</f>
        <v>0</v>
      </c>
      <c r="D50" s="239">
        <f>H108*(1+H49)</f>
        <v>60630.095424711872</v>
      </c>
      <c r="E50" s="239">
        <f t="shared" ref="E50:M50" si="3">I108*(1+E49)</f>
        <v>105652.1166979444</v>
      </c>
      <c r="F50" s="239">
        <f t="shared" si="3"/>
        <v>165926.64927412165</v>
      </c>
      <c r="G50" s="239">
        <f t="shared" si="3"/>
        <v>231633.60238667383</v>
      </c>
      <c r="H50" s="239">
        <f t="shared" si="3"/>
        <v>303150.47712355939</v>
      </c>
      <c r="I50" s="239">
        <f t="shared" si="3"/>
        <v>444357.96936771326</v>
      </c>
      <c r="J50" s="239">
        <f t="shared" si="3"/>
        <v>465242.79392799578</v>
      </c>
      <c r="K50" s="239">
        <f t="shared" si="3"/>
        <v>487109.20524261153</v>
      </c>
      <c r="L50" s="239">
        <f t="shared" si="3"/>
        <v>510003.33788901428</v>
      </c>
      <c r="M50" s="239">
        <f t="shared" si="3"/>
        <v>533973.49476979789</v>
      </c>
      <c r="N50" s="239">
        <f t="shared" ref="N50:AP50" si="4">N108*(1+N49)</f>
        <v>559070.24902397837</v>
      </c>
      <c r="O50" s="239">
        <f t="shared" si="4"/>
        <v>585346.55072810524</v>
      </c>
      <c r="P50" s="239">
        <f t="shared" si="4"/>
        <v>612857.83861232619</v>
      </c>
      <c r="Q50" s="239">
        <f t="shared" si="4"/>
        <v>641662.15702710545</v>
      </c>
      <c r="R50" s="239">
        <f t="shared" si="4"/>
        <v>671820.2784073794</v>
      </c>
      <c r="S50" s="239">
        <f t="shared" si="4"/>
        <v>703395.83149252622</v>
      </c>
      <c r="T50" s="239">
        <f t="shared" si="4"/>
        <v>736455.43557267485</v>
      </c>
      <c r="U50" s="239">
        <f t="shared" si="4"/>
        <v>771068.84104459046</v>
      </c>
      <c r="V50" s="239">
        <f t="shared" si="4"/>
        <v>807309.07657368621</v>
      </c>
      <c r="W50" s="239">
        <f t="shared" si="4"/>
        <v>845252.6031726494</v>
      </c>
      <c r="X50" s="239">
        <f t="shared" si="4"/>
        <v>884979.4755217639</v>
      </c>
      <c r="Y50" s="239">
        <f t="shared" si="4"/>
        <v>926573.51087128674</v>
      </c>
      <c r="Z50" s="239">
        <f t="shared" si="4"/>
        <v>970122.46588223719</v>
      </c>
      <c r="AA50" s="239">
        <f t="shared" si="4"/>
        <v>1015718.2217787022</v>
      </c>
      <c r="AB50" s="239">
        <f t="shared" si="4"/>
        <v>1063456.9782023011</v>
      </c>
      <c r="AC50" s="239">
        <f t="shared" si="4"/>
        <v>1113439.456177809</v>
      </c>
      <c r="AD50" s="239">
        <f t="shared" si="4"/>
        <v>1165771.1106181659</v>
      </c>
      <c r="AE50" s="239">
        <f t="shared" si="4"/>
        <v>1220562.3528172197</v>
      </c>
      <c r="AF50" s="239">
        <f t="shared" si="4"/>
        <v>1277928.7833996289</v>
      </c>
      <c r="AG50" s="239">
        <f t="shared" si="4"/>
        <v>1337991.4362194114</v>
      </c>
      <c r="AH50" s="239">
        <f t="shared" si="4"/>
        <v>1400877.0337217236</v>
      </c>
      <c r="AI50" s="239">
        <f t="shared" si="4"/>
        <v>1466718.2543066447</v>
      </c>
      <c r="AJ50" s="239">
        <f t="shared" si="4"/>
        <v>1535654.0122590568</v>
      </c>
      <c r="AK50" s="239">
        <f t="shared" si="4"/>
        <v>1607829.7508352324</v>
      </c>
      <c r="AL50" s="239">
        <f t="shared" si="4"/>
        <v>1683397.7491244881</v>
      </c>
      <c r="AM50" s="239">
        <f t="shared" si="4"/>
        <v>1762517.4433333389</v>
      </c>
      <c r="AN50" s="239">
        <f t="shared" si="4"/>
        <v>1845355.7631700058</v>
      </c>
      <c r="AO50" s="239">
        <f t="shared" si="4"/>
        <v>1932087.4840389958</v>
      </c>
      <c r="AP50" s="239">
        <f t="shared" si="4"/>
        <v>2022895.5957888286</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8233098</v>
      </c>
      <c r="C59" s="250">
        <f>C50*$B$28</f>
        <v>0</v>
      </c>
      <c r="D59" s="250">
        <f t="shared" ref="D59:AP59" si="10">D50*$B$28</f>
        <v>60630.095424711872</v>
      </c>
      <c r="E59" s="250">
        <f t="shared" si="10"/>
        <v>105652.1166979444</v>
      </c>
      <c r="F59" s="250">
        <f t="shared" si="10"/>
        <v>165926.64927412165</v>
      </c>
      <c r="G59" s="250">
        <f>G50*$B$28</f>
        <v>231633.60238667383</v>
      </c>
      <c r="H59" s="250">
        <f t="shared" si="10"/>
        <v>303150.47712355939</v>
      </c>
      <c r="I59" s="250">
        <f t="shared" si="10"/>
        <v>444357.96936771326</v>
      </c>
      <c r="J59" s="250">
        <f t="shared" si="10"/>
        <v>465242.79392799578</v>
      </c>
      <c r="K59" s="250">
        <f t="shared" si="10"/>
        <v>487109.20524261153</v>
      </c>
      <c r="L59" s="250">
        <f t="shared" si="10"/>
        <v>510003.33788901428</v>
      </c>
      <c r="M59" s="250">
        <f t="shared" si="10"/>
        <v>533973.49476979789</v>
      </c>
      <c r="N59" s="250">
        <f t="shared" si="10"/>
        <v>559070.24902397837</v>
      </c>
      <c r="O59" s="250">
        <f t="shared" si="10"/>
        <v>585346.55072810524</v>
      </c>
      <c r="P59" s="250">
        <f t="shared" si="10"/>
        <v>612857.83861232619</v>
      </c>
      <c r="Q59" s="250">
        <f t="shared" si="10"/>
        <v>641662.15702710545</v>
      </c>
      <c r="R59" s="250">
        <f t="shared" si="10"/>
        <v>671820.2784073794</v>
      </c>
      <c r="S59" s="250">
        <f t="shared" si="10"/>
        <v>703395.83149252622</v>
      </c>
      <c r="T59" s="250">
        <f t="shared" si="10"/>
        <v>736455.43557267485</v>
      </c>
      <c r="U59" s="250">
        <f t="shared" si="10"/>
        <v>771068.84104459046</v>
      </c>
      <c r="V59" s="250">
        <f t="shared" si="10"/>
        <v>807309.07657368621</v>
      </c>
      <c r="W59" s="250">
        <f t="shared" si="10"/>
        <v>845252.6031726494</v>
      </c>
      <c r="X59" s="250">
        <f t="shared" si="10"/>
        <v>884979.4755217639</v>
      </c>
      <c r="Y59" s="250">
        <f t="shared" si="10"/>
        <v>926573.51087128674</v>
      </c>
      <c r="Z59" s="250">
        <f t="shared" si="10"/>
        <v>970122.46588223719</v>
      </c>
      <c r="AA59" s="250">
        <f t="shared" si="10"/>
        <v>1015718.2217787022</v>
      </c>
      <c r="AB59" s="250">
        <f t="shared" si="10"/>
        <v>1063456.9782023011</v>
      </c>
      <c r="AC59" s="250">
        <f t="shared" si="10"/>
        <v>1113439.456177809</v>
      </c>
      <c r="AD59" s="250">
        <f t="shared" si="10"/>
        <v>1165771.1106181659</v>
      </c>
      <c r="AE59" s="250">
        <f t="shared" si="10"/>
        <v>1220562.3528172197</v>
      </c>
      <c r="AF59" s="250">
        <f t="shared" si="10"/>
        <v>1277928.7833996289</v>
      </c>
      <c r="AG59" s="250">
        <f t="shared" si="10"/>
        <v>1337991.4362194114</v>
      </c>
      <c r="AH59" s="250">
        <f t="shared" si="10"/>
        <v>1400877.0337217236</v>
      </c>
      <c r="AI59" s="250">
        <f t="shared" si="10"/>
        <v>1466718.2543066447</v>
      </c>
      <c r="AJ59" s="250">
        <f t="shared" si="10"/>
        <v>1535654.0122590568</v>
      </c>
      <c r="AK59" s="250">
        <f t="shared" si="10"/>
        <v>1607829.7508352324</v>
      </c>
      <c r="AL59" s="250">
        <f t="shared" si="10"/>
        <v>1683397.7491244881</v>
      </c>
      <c r="AM59" s="250">
        <f t="shared" si="10"/>
        <v>1762517.4433333389</v>
      </c>
      <c r="AN59" s="250">
        <f t="shared" si="10"/>
        <v>1845355.7631700058</v>
      </c>
      <c r="AO59" s="250">
        <f t="shared" si="10"/>
        <v>1932087.4840389958</v>
      </c>
      <c r="AP59" s="250">
        <f t="shared" si="10"/>
        <v>2022895.5957888286</v>
      </c>
    </row>
    <row r="60" spans="1:45" x14ac:dyDescent="0.2">
      <c r="A60" s="242" t="s">
        <v>261</v>
      </c>
      <c r="B60" s="243">
        <f t="shared" ref="B60:AP60" si="11">SUM(B61:B65)</f>
        <v>0</v>
      </c>
      <c r="C60" s="243">
        <f t="shared" si="11"/>
        <v>-32498.23133333333</v>
      </c>
      <c r="D60" s="243">
        <f>SUM(D61:D65)</f>
        <v>-31377.602666666662</v>
      </c>
      <c r="E60" s="243">
        <f>SUM(E61:E65)</f>
        <v>-32400.959777082684</v>
      </c>
      <c r="F60" s="243">
        <f t="shared" si="11"/>
        <v>-31381.098441938899</v>
      </c>
      <c r="G60" s="243">
        <f t="shared" si="11"/>
        <v>-30365.973171376696</v>
      </c>
      <c r="H60" s="243">
        <f t="shared" si="11"/>
        <v>-29355.8065604314</v>
      </c>
      <c r="I60" s="243">
        <f t="shared" si="11"/>
        <v>-28350.831666105008</v>
      </c>
      <c r="J60" s="243">
        <f t="shared" si="11"/>
        <v>-27351.292499078605</v>
      </c>
      <c r="K60" s="243">
        <f t="shared" si="11"/>
        <v>-26357.444538535299</v>
      </c>
      <c r="L60" s="243">
        <f t="shared" si="11"/>
        <v>-25369.555271179797</v>
      </c>
      <c r="M60" s="243">
        <f t="shared" si="11"/>
        <v>-24387.904755591913</v>
      </c>
      <c r="N60" s="243">
        <f t="shared" si="11"/>
        <v>-23412.786213104733</v>
      </c>
      <c r="O60" s="243">
        <f t="shared" si="11"/>
        <v>-22444.506646453992</v>
      </c>
      <c r="P60" s="243">
        <f t="shared" si="11"/>
        <v>-21483.387487503995</v>
      </c>
      <c r="Q60" s="243">
        <f t="shared" si="11"/>
        <v>-20529.765275416685</v>
      </c>
      <c r="R60" s="243">
        <f t="shared" si="11"/>
        <v>-19583.992366694605</v>
      </c>
      <c r="S60" s="243">
        <f t="shared" si="11"/>
        <v>-18646.437678595918</v>
      </c>
      <c r="T60" s="243">
        <f t="shared" si="11"/>
        <v>-17717.487467489926</v>
      </c>
      <c r="U60" s="243">
        <f t="shared" si="11"/>
        <v>-16797.546143795287</v>
      </c>
      <c r="V60" s="243">
        <f t="shared" si="11"/>
        <v>-15887.037125220333</v>
      </c>
      <c r="W60" s="243">
        <f t="shared" si="11"/>
        <v>-14986.403730105689</v>
      </c>
      <c r="X60" s="243">
        <f t="shared" si="11"/>
        <v>-14096.11011275399</v>
      </c>
      <c r="Y60" s="243">
        <f t="shared" si="11"/>
        <v>-13216.642242720092</v>
      </c>
      <c r="Z60" s="243">
        <f t="shared" si="11"/>
        <v>-12348.508930127937</v>
      </c>
      <c r="AA60" s="243">
        <f t="shared" si="11"/>
        <v>-11492.242899177283</v>
      </c>
      <c r="AB60" s="243">
        <f t="shared" si="11"/>
        <v>-10648.401912105282</v>
      </c>
      <c r="AC60" s="243">
        <f t="shared" si="11"/>
        <v>-9817.56994597423</v>
      </c>
      <c r="AD60" s="243">
        <f t="shared" si="11"/>
        <v>-9000.3584247683521</v>
      </c>
      <c r="AE60" s="243">
        <f t="shared" si="11"/>
        <v>-8197.4075093991323</v>
      </c>
      <c r="AF60" s="243">
        <f t="shared" si="11"/>
        <v>-7409.3874483408908</v>
      </c>
      <c r="AG60" s="243">
        <f t="shared" si="11"/>
        <v>-7757.6286584129211</v>
      </c>
      <c r="AH60" s="243">
        <f t="shared" si="11"/>
        <v>-8122.2372053583285</v>
      </c>
      <c r="AI60" s="243">
        <f t="shared" si="11"/>
        <v>-8503.9823540101697</v>
      </c>
      <c r="AJ60" s="243">
        <f t="shared" si="11"/>
        <v>-8903.669524648647</v>
      </c>
      <c r="AK60" s="243">
        <f t="shared" si="11"/>
        <v>-9322.1419923071335</v>
      </c>
      <c r="AL60" s="243">
        <f t="shared" si="11"/>
        <v>-9760.2826659455677</v>
      </c>
      <c r="AM60" s="243">
        <f t="shared" si="11"/>
        <v>-10219.015951245008</v>
      </c>
      <c r="AN60" s="243">
        <f t="shared" si="11"/>
        <v>-10699.309700953523</v>
      </c>
      <c r="AO60" s="243">
        <f t="shared" si="11"/>
        <v>-11202.177256898336</v>
      </c>
      <c r="AP60" s="243">
        <f t="shared" si="11"/>
        <v>-11728.679587972558</v>
      </c>
    </row>
    <row r="61" spans="1:45" x14ac:dyDescent="0.2">
      <c r="A61" s="251" t="s">
        <v>260</v>
      </c>
      <c r="B61" s="243"/>
      <c r="C61" s="243">
        <f>-IF(C$47&lt;=$B$30,0,$B$29*(1+C$49)*$B$28)</f>
        <v>0</v>
      </c>
      <c r="D61" s="243">
        <f>-IF(D$47&lt;=$B$30,0,$B$29*(1+D$49)*$B$28)</f>
        <v>0</v>
      </c>
      <c r="E61" s="243">
        <f>-IF(E$47&lt;=$B$30,0,$B$29*(1+E$49)*$B$28)</f>
        <v>-2143.9857770826898</v>
      </c>
      <c r="F61" s="243">
        <f t="shared" ref="F61:AP61" si="12">-IF(F$47&lt;=$B$30,0,$B$29*(1+F$49)*$B$28)</f>
        <v>-2244.753108605576</v>
      </c>
      <c r="G61" s="243">
        <f t="shared" si="12"/>
        <v>-2350.2565047100384</v>
      </c>
      <c r="H61" s="243">
        <f t="shared" si="12"/>
        <v>-2460.71856043141</v>
      </c>
      <c r="I61" s="243">
        <f t="shared" si="12"/>
        <v>-2576.3723327716862</v>
      </c>
      <c r="J61" s="243">
        <f t="shared" si="12"/>
        <v>-2697.4618324119551</v>
      </c>
      <c r="K61" s="243">
        <f t="shared" si="12"/>
        <v>-2824.2425385353167</v>
      </c>
      <c r="L61" s="243">
        <f t="shared" si="12"/>
        <v>-2956.9819378464767</v>
      </c>
      <c r="M61" s="243">
        <f t="shared" si="12"/>
        <v>-3095.9600889252611</v>
      </c>
      <c r="N61" s="243">
        <f t="shared" si="12"/>
        <v>-3241.4702131047475</v>
      </c>
      <c r="O61" s="243">
        <f t="shared" si="12"/>
        <v>-3393.8193131206704</v>
      </c>
      <c r="P61" s="243">
        <f t="shared" si="12"/>
        <v>-3553.3288208373419</v>
      </c>
      <c r="Q61" s="243">
        <f t="shared" si="12"/>
        <v>-3720.3352754166967</v>
      </c>
      <c r="R61" s="243">
        <f t="shared" si="12"/>
        <v>-3895.1910333612809</v>
      </c>
      <c r="S61" s="243">
        <f t="shared" si="12"/>
        <v>-4078.2650119292612</v>
      </c>
      <c r="T61" s="243">
        <f t="shared" si="12"/>
        <v>-4269.9434674899367</v>
      </c>
      <c r="U61" s="243">
        <f t="shared" si="12"/>
        <v>-4470.6308104619629</v>
      </c>
      <c r="V61" s="243">
        <f t="shared" si="12"/>
        <v>-4680.7504585536744</v>
      </c>
      <c r="W61" s="243">
        <f t="shared" si="12"/>
        <v>-4900.7457301056966</v>
      </c>
      <c r="X61" s="243">
        <f t="shared" si="12"/>
        <v>-5131.0807794206648</v>
      </c>
      <c r="Y61" s="243">
        <f t="shared" si="12"/>
        <v>-5372.2415760534359</v>
      </c>
      <c r="Z61" s="243">
        <f t="shared" si="12"/>
        <v>-5624.7369301279468</v>
      </c>
      <c r="AA61" s="243">
        <f t="shared" si="12"/>
        <v>-5889.0995658439597</v>
      </c>
      <c r="AB61" s="243">
        <f t="shared" si="12"/>
        <v>-6165.8872454386246</v>
      </c>
      <c r="AC61" s="243">
        <f t="shared" si="12"/>
        <v>-6455.6839459742387</v>
      </c>
      <c r="AD61" s="243">
        <f t="shared" si="12"/>
        <v>-6759.1010914350272</v>
      </c>
      <c r="AE61" s="243">
        <f t="shared" si="12"/>
        <v>-7076.7788427324731</v>
      </c>
      <c r="AF61" s="243">
        <f t="shared" si="12"/>
        <v>-7409.387448340899</v>
      </c>
      <c r="AG61" s="243">
        <f t="shared" si="12"/>
        <v>-7757.6286584129211</v>
      </c>
      <c r="AH61" s="243">
        <f t="shared" si="12"/>
        <v>-8122.2372053583285</v>
      </c>
      <c r="AI61" s="243">
        <f t="shared" si="12"/>
        <v>-8503.9823540101697</v>
      </c>
      <c r="AJ61" s="243">
        <f t="shared" si="12"/>
        <v>-8903.669524648647</v>
      </c>
      <c r="AK61" s="243">
        <f t="shared" si="12"/>
        <v>-9322.1419923071335</v>
      </c>
      <c r="AL61" s="243">
        <f t="shared" si="12"/>
        <v>-9760.2826659455677</v>
      </c>
      <c r="AM61" s="243">
        <f t="shared" si="12"/>
        <v>-10219.015951245008</v>
      </c>
      <c r="AN61" s="243">
        <f t="shared" si="12"/>
        <v>-10699.309700953523</v>
      </c>
      <c r="AO61" s="243">
        <f t="shared" si="12"/>
        <v>-11202.177256898336</v>
      </c>
      <c r="AP61" s="243">
        <f t="shared" si="12"/>
        <v>-11728.679587972558</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9">
        <f>-($B$25+C67)*0.022</f>
        <v>-32498.23133333333</v>
      </c>
      <c r="D65" s="339">
        <f>-($B$25+D67+C67)*0.022</f>
        <v>-31377.602666666662</v>
      </c>
      <c r="E65" s="340">
        <f>-($B$25+E67+C67+D67)*0.022</f>
        <v>-30256.973999999995</v>
      </c>
      <c r="F65" s="340">
        <f>-($B$25+F67+D67+E67+C67)*0.022</f>
        <v>-29136.345333333324</v>
      </c>
      <c r="G65" s="340">
        <f>-($B$25+G67+E67+F67+D67+C67)*0.022</f>
        <v>-28015.716666666656</v>
      </c>
      <c r="H65" s="340">
        <f>-($B$25+H67+F67+G67+E67+C67+D67)*0.022</f>
        <v>-26895.087999999989</v>
      </c>
      <c r="I65" s="340">
        <f>-($B$25+C67+I67+G67+H67+F67+D67+E67)*0.022</f>
        <v>-25774.459333333321</v>
      </c>
      <c r="J65" s="340">
        <f>-($B$25+D67+J67+H67+I67+G67+E67+F67+C67)*0.022</f>
        <v>-24653.83066666665</v>
      </c>
      <c r="K65" s="340">
        <f>-($B$25+E67+K67+I67+J67+H67+F67+G67+C67+D67)*0.022</f>
        <v>-23533.201999999983</v>
      </c>
      <c r="L65" s="340">
        <f>-($B$25+F67+L67+J67+K67+I67+G67+H67+E67+D67+C67)*0.022</f>
        <v>-22412.573333333319</v>
      </c>
      <c r="M65" s="340">
        <f>-($B$25+G67+M67+K67+L67+J67+H67+I67+F67+E67+C67+D67)*0.022</f>
        <v>-21291.944666666652</v>
      </c>
      <c r="N65" s="340">
        <f>-($B$25+H67+N67+L67+M67+K67+I67+J67+G67+F67+E67+C67+D67)*0.022</f>
        <v>-20171.315999999984</v>
      </c>
      <c r="O65" s="340">
        <f>-($B$25+I67+O67+M67+N67+L67+J67+K67+H67+G67+F67+D67+C67+E67)*0.022</f>
        <v>-19050.687333333321</v>
      </c>
      <c r="P65" s="340">
        <f>-($B$25+J67+P67+N67+O67+M67+K67+L67+I67+H67+G67+E67+F67+C67+D67)*0.022</f>
        <v>-17930.058666666653</v>
      </c>
      <c r="Q65" s="340">
        <f>-($B$25+K67+Q67+O67+P67+N67+L67+M67+J67+I67+H67+F67+G67+D67+C67+E67)*0.022</f>
        <v>-16809.429999999989</v>
      </c>
      <c r="R65" s="340">
        <f>-($B$25+L67+R67+P67+Q67+O67+M67+N67+K67+J67+I67+G67+H67+E67+D67+C67+F67)*0.022</f>
        <v>-15688.801333333324</v>
      </c>
      <c r="S65" s="340">
        <f>-($B$25+M67+S67+Q67+R67+P67+N67+O67+L67+K67+J67+H67+I67+F67+E67+D67+C67+G67)*0.022</f>
        <v>-14568.172666666658</v>
      </c>
      <c r="T65" s="340">
        <f>-($B$25+N67+T67+R67+S67+Q67+O67+P67+M67+L67+K67+I67+J67+G67+F67+E67+D67+C67+H67)*0.022</f>
        <v>-13447.543999999991</v>
      </c>
      <c r="U65" s="340">
        <f>-($B$25+O67+U67+S67+T67+R67+P67+Q67+N67+M67+L67+J67+K67+H67+G67+F67+E67+C67+D67++I67)*0.022</f>
        <v>-12326.915333333325</v>
      </c>
      <c r="V65" s="340">
        <f>-($B$25+P67+V67+T67+U67+S67+Q67+R67+O67+N67+M67+K67+L67+I67+H67+G67+F67+D67+E67+C67+J67)*0.022</f>
        <v>-11206.28666666666</v>
      </c>
      <c r="W65" s="340">
        <f>-($B$25+Q67+W67+U67+V67+T67+R67+S67+P67+O67+N67+L67+M67+J67+I67+H67+G67+E67+F67+D67+C67+K67)*0.022</f>
        <v>-10085.657999999992</v>
      </c>
      <c r="X65" s="340">
        <f>-($B$25+R67+X67+V67+W67+U67+S67+T67+Q67+P67+O67+M67+N67+K67+J67+I67+H67+F67+G67+E67+D67+C67+L67)*0.022</f>
        <v>-8965.0293333333248</v>
      </c>
      <c r="Y65" s="340">
        <f>-($B$25+S67+Y67+W67+X67+V67+T67+U67+R67+Q67+P67+N67+O67+L67+K67+J67+I67+G67+H67+F67+E67+D67+C67+M67)*0.022</f>
        <v>-7844.4006666666573</v>
      </c>
      <c r="Z65" s="340">
        <f>-($B$25+T67+Z67+X67+Y67+W67+U67+V67+S67+R67+Q67+O67+P67+M67+L67+K67+J67+H67+I67+G67+F67+E67+D67+C67+N67)*0.022</f>
        <v>-6723.7719999999908</v>
      </c>
      <c r="AA65" s="340">
        <f>-($B$25+U67+AA67+Y67+Z67+X67+V67+W67+T67+S67+R67+P67+Q67+N67+M67+L67+K67+I67+J67+H67+G67+F67+E67+D67+C67+O67)*0.022</f>
        <v>-5603.1433333333243</v>
      </c>
      <c r="AB65" s="340">
        <f>-($B$25+V67+AB67+Z67+AA67+Y67+W67+X67+U67+T67+S67+Q67+R67+O67+N67+M67+L67+J67+K67+I67+H67+G67+F67+E67+D67+C67+P67)*0.022</f>
        <v>-4482.5146666666578</v>
      </c>
      <c r="AC65" s="340">
        <f>-($B$25+W67+AC67+AA67+AB67+Z67+X67+Y67+V67+U67+T67+R67+S67+P67+O67+N67+M67+K67+L67+J67+I67+H67+G67+F67+E67+D67+C67+Q67)*0.022</f>
        <v>-3361.8859999999913</v>
      </c>
      <c r="AD65" s="340">
        <f>-($B$25+X67+AD67+AB67+AC67+AA67+Y67+Z67+W67+V67+U67+S67+T67+Q67+P67+O67+N67+L67+M67+K67+J67+I67+H67+G67+F67+E67+D67+C67+R67)*0.022</f>
        <v>-2241.2573333333253</v>
      </c>
      <c r="AE65" s="340">
        <f>-($B$25+Y67+AE67+AC67+AD67+AB67+Z67+AA67+X67+W67+V67+T67+U67+R67+Q67+P67+O67+M67+N67+L67+K67+J67+I67+H67+G67+F67+E67+D67+C67+S67)*0.022</f>
        <v>-1120.6286666666585</v>
      </c>
      <c r="AF65" s="340">
        <f>-($B$25+Z67+AF67+AD67+AE67+AC67+AA67+AB67+Y67+X67+W67+U67+V67+S67+R67+Q67+P67+N67+O67+M67+L67+K67+J67+I67+H67+G67+F67+E67+D67+C67+T67)*0.022</f>
        <v>8.0035533756017675E-12</v>
      </c>
      <c r="AG65" s="243"/>
      <c r="AH65" s="243"/>
      <c r="AI65" s="243"/>
      <c r="AJ65" s="243"/>
      <c r="AK65" s="243"/>
      <c r="AL65" s="243"/>
      <c r="AM65" s="243"/>
      <c r="AN65" s="243"/>
      <c r="AO65" s="243"/>
      <c r="AP65" s="243"/>
    </row>
    <row r="66" spans="1:45" ht="28.5" x14ac:dyDescent="0.2">
      <c r="A66" s="252" t="s">
        <v>549</v>
      </c>
      <c r="B66" s="250">
        <f t="shared" ref="B66:AO66" si="13">B59+B60</f>
        <v>8233098</v>
      </c>
      <c r="C66" s="250">
        <f t="shared" si="13"/>
        <v>-32498.23133333333</v>
      </c>
      <c r="D66" s="250">
        <f t="shared" si="13"/>
        <v>29252.492758045209</v>
      </c>
      <c r="E66" s="250">
        <f t="shared" si="13"/>
        <v>73251.156920861715</v>
      </c>
      <c r="F66" s="250">
        <f t="shared" si="13"/>
        <v>134545.55083218275</v>
      </c>
      <c r="G66" s="250">
        <f t="shared" si="13"/>
        <v>201267.62921529711</v>
      </c>
      <c r="H66" s="250">
        <f t="shared" si="13"/>
        <v>273794.67056312802</v>
      </c>
      <c r="I66" s="250">
        <f t="shared" si="13"/>
        <v>416007.13770160824</v>
      </c>
      <c r="J66" s="250">
        <f t="shared" si="13"/>
        <v>437891.50142891717</v>
      </c>
      <c r="K66" s="250">
        <f t="shared" si="13"/>
        <v>460751.76070407621</v>
      </c>
      <c r="L66" s="250">
        <f t="shared" si="13"/>
        <v>484633.78261783445</v>
      </c>
      <c r="M66" s="250">
        <f t="shared" si="13"/>
        <v>509585.59001420595</v>
      </c>
      <c r="N66" s="250">
        <f t="shared" si="13"/>
        <v>535657.46281087364</v>
      </c>
      <c r="O66" s="250">
        <f t="shared" si="13"/>
        <v>562902.04408165126</v>
      </c>
      <c r="P66" s="250">
        <f t="shared" si="13"/>
        <v>591374.45112482214</v>
      </c>
      <c r="Q66" s="250">
        <f t="shared" si="13"/>
        <v>621132.39175168879</v>
      </c>
      <c r="R66" s="250">
        <f t="shared" si="13"/>
        <v>652236.28604068479</v>
      </c>
      <c r="S66" s="250">
        <f t="shared" si="13"/>
        <v>684749.39381393034</v>
      </c>
      <c r="T66" s="250">
        <f t="shared" si="13"/>
        <v>718737.94810518494</v>
      </c>
      <c r="U66" s="250">
        <f t="shared" si="13"/>
        <v>754271.29490079521</v>
      </c>
      <c r="V66" s="250">
        <f t="shared" si="13"/>
        <v>791422.03944846592</v>
      </c>
      <c r="W66" s="250">
        <f t="shared" si="13"/>
        <v>830266.19944254367</v>
      </c>
      <c r="X66" s="250">
        <f t="shared" si="13"/>
        <v>870883.36540900986</v>
      </c>
      <c r="Y66" s="250">
        <f t="shared" si="13"/>
        <v>913356.86862856662</v>
      </c>
      <c r="Z66" s="250">
        <f t="shared" si="13"/>
        <v>957773.95695210923</v>
      </c>
      <c r="AA66" s="250">
        <f t="shared" si="13"/>
        <v>1004225.978879525</v>
      </c>
      <c r="AB66" s="250">
        <f t="shared" si="13"/>
        <v>1052808.5762901958</v>
      </c>
      <c r="AC66" s="250">
        <f t="shared" si="13"/>
        <v>1103621.8862318348</v>
      </c>
      <c r="AD66" s="250">
        <f t="shared" si="13"/>
        <v>1156770.7521933976</v>
      </c>
      <c r="AE66" s="250">
        <f t="shared" si="13"/>
        <v>1212364.9453078206</v>
      </c>
      <c r="AF66" s="250">
        <f t="shared" si="13"/>
        <v>1270519.3959512881</v>
      </c>
      <c r="AG66" s="250">
        <f t="shared" si="13"/>
        <v>1330233.8075609985</v>
      </c>
      <c r="AH66" s="250">
        <f t="shared" si="13"/>
        <v>1392754.7965163654</v>
      </c>
      <c r="AI66" s="250">
        <f t="shared" si="13"/>
        <v>1458214.2719526344</v>
      </c>
      <c r="AJ66" s="250">
        <f t="shared" si="13"/>
        <v>1526750.3427344081</v>
      </c>
      <c r="AK66" s="250">
        <f t="shared" si="13"/>
        <v>1598507.6088429254</v>
      </c>
      <c r="AL66" s="250">
        <f t="shared" si="13"/>
        <v>1673637.4664585425</v>
      </c>
      <c r="AM66" s="250">
        <f t="shared" si="13"/>
        <v>1752298.4273820939</v>
      </c>
      <c r="AN66" s="250">
        <f t="shared" si="13"/>
        <v>1834656.4534690522</v>
      </c>
      <c r="AO66" s="250">
        <f t="shared" si="13"/>
        <v>1920885.3067820976</v>
      </c>
      <c r="AP66" s="250">
        <f>AP59+AP60</f>
        <v>2011166.916200856</v>
      </c>
    </row>
    <row r="67" spans="1:45" x14ac:dyDescent="0.2">
      <c r="A67" s="251" t="s">
        <v>255</v>
      </c>
      <c r="B67" s="253"/>
      <c r="C67" s="334">
        <f>-($B$25)*$B$28/$B$27</f>
        <v>-50937.666666666664</v>
      </c>
      <c r="D67" s="334">
        <f>C67</f>
        <v>-50937.666666666664</v>
      </c>
      <c r="E67" s="334">
        <f t="shared" ref="E67:L67" si="14">D67</f>
        <v>-50937.666666666664</v>
      </c>
      <c r="F67" s="334">
        <f t="shared" si="14"/>
        <v>-50937.666666666664</v>
      </c>
      <c r="G67" s="334">
        <f t="shared" si="14"/>
        <v>-50937.666666666664</v>
      </c>
      <c r="H67" s="334">
        <f t="shared" si="14"/>
        <v>-50937.666666666664</v>
      </c>
      <c r="I67" s="334">
        <f t="shared" si="14"/>
        <v>-50937.666666666664</v>
      </c>
      <c r="J67" s="334">
        <f t="shared" si="14"/>
        <v>-50937.666666666664</v>
      </c>
      <c r="K67" s="334">
        <f t="shared" si="14"/>
        <v>-50937.666666666664</v>
      </c>
      <c r="L67" s="334">
        <f t="shared" si="14"/>
        <v>-50937.666666666664</v>
      </c>
      <c r="M67" s="243">
        <f t="shared" ref="M67:AP67" si="15">L67</f>
        <v>-50937.666666666664</v>
      </c>
      <c r="N67" s="243">
        <f t="shared" si="15"/>
        <v>-50937.666666666664</v>
      </c>
      <c r="O67" s="243">
        <f t="shared" si="15"/>
        <v>-50937.666666666664</v>
      </c>
      <c r="P67" s="243">
        <f t="shared" si="15"/>
        <v>-50937.666666666664</v>
      </c>
      <c r="Q67" s="243">
        <f t="shared" si="15"/>
        <v>-50937.666666666664</v>
      </c>
      <c r="R67" s="243">
        <f t="shared" si="15"/>
        <v>-50937.666666666664</v>
      </c>
      <c r="S67" s="243">
        <f t="shared" si="15"/>
        <v>-50937.666666666664</v>
      </c>
      <c r="T67" s="243">
        <f t="shared" si="15"/>
        <v>-50937.666666666664</v>
      </c>
      <c r="U67" s="243">
        <f t="shared" si="15"/>
        <v>-50937.666666666664</v>
      </c>
      <c r="V67" s="243">
        <f t="shared" si="15"/>
        <v>-50937.666666666664</v>
      </c>
      <c r="W67" s="243">
        <f t="shared" si="15"/>
        <v>-50937.666666666664</v>
      </c>
      <c r="X67" s="243">
        <f t="shared" si="15"/>
        <v>-50937.666666666664</v>
      </c>
      <c r="Y67" s="243">
        <f t="shared" si="15"/>
        <v>-50937.666666666664</v>
      </c>
      <c r="Z67" s="243">
        <f t="shared" si="15"/>
        <v>-50937.666666666664</v>
      </c>
      <c r="AA67" s="243">
        <f t="shared" si="15"/>
        <v>-50937.666666666664</v>
      </c>
      <c r="AB67" s="243">
        <f t="shared" si="15"/>
        <v>-50937.666666666664</v>
      </c>
      <c r="AC67" s="243">
        <f t="shared" si="15"/>
        <v>-50937.666666666664</v>
      </c>
      <c r="AD67" s="243">
        <f t="shared" si="15"/>
        <v>-50937.666666666664</v>
      </c>
      <c r="AE67" s="243">
        <f t="shared" si="15"/>
        <v>-50937.666666666664</v>
      </c>
      <c r="AF67" s="243">
        <f t="shared" si="15"/>
        <v>-50937.666666666664</v>
      </c>
      <c r="AG67" s="243">
        <f t="shared" si="15"/>
        <v>-50937.666666666664</v>
      </c>
      <c r="AH67" s="243">
        <f t="shared" si="15"/>
        <v>-50937.666666666664</v>
      </c>
      <c r="AI67" s="243">
        <f t="shared" si="15"/>
        <v>-50937.666666666664</v>
      </c>
      <c r="AJ67" s="243">
        <f t="shared" si="15"/>
        <v>-50937.666666666664</v>
      </c>
      <c r="AK67" s="243">
        <f t="shared" si="15"/>
        <v>-50937.666666666664</v>
      </c>
      <c r="AL67" s="243">
        <f t="shared" si="15"/>
        <v>-50937.666666666664</v>
      </c>
      <c r="AM67" s="243">
        <f t="shared" si="15"/>
        <v>-50937.666666666664</v>
      </c>
      <c r="AN67" s="243">
        <f t="shared" si="15"/>
        <v>-50937.666666666664</v>
      </c>
      <c r="AO67" s="243">
        <f t="shared" si="15"/>
        <v>-50937.666666666664</v>
      </c>
      <c r="AP67" s="243">
        <f t="shared" si="15"/>
        <v>-50937.666666666664</v>
      </c>
      <c r="AQ67" s="254"/>
      <c r="AR67" s="255"/>
      <c r="AS67" s="255"/>
    </row>
    <row r="68" spans="1:45" ht="28.5" x14ac:dyDescent="0.2">
      <c r="A68" s="252" t="s">
        <v>550</v>
      </c>
      <c r="B68" s="250">
        <f t="shared" ref="B68:J68" si="16">B66+B67</f>
        <v>8233098</v>
      </c>
      <c r="C68" s="250">
        <f>C66+C67</f>
        <v>-83435.897999999986</v>
      </c>
      <c r="D68" s="250">
        <f>D66+D67</f>
        <v>-21685.173908621455</v>
      </c>
      <c r="E68" s="250">
        <f t="shared" si="16"/>
        <v>22313.490254195051</v>
      </c>
      <c r="F68" s="250">
        <f>F66+C67</f>
        <v>83607.884165516094</v>
      </c>
      <c r="G68" s="250">
        <f t="shared" si="16"/>
        <v>150329.96254863046</v>
      </c>
      <c r="H68" s="250">
        <f t="shared" si="16"/>
        <v>222857.00389646136</v>
      </c>
      <c r="I68" s="250">
        <f t="shared" si="16"/>
        <v>365069.47103494155</v>
      </c>
      <c r="J68" s="250">
        <f t="shared" si="16"/>
        <v>386953.83476225048</v>
      </c>
      <c r="K68" s="250">
        <f>K66+K67</f>
        <v>409814.09403740952</v>
      </c>
      <c r="L68" s="250">
        <f>L66+L67</f>
        <v>433696.11595116777</v>
      </c>
      <c r="M68" s="250">
        <f t="shared" ref="M68:AO68" si="17">M66+M67</f>
        <v>458647.92334753927</v>
      </c>
      <c r="N68" s="250">
        <f t="shared" si="17"/>
        <v>484719.79614420695</v>
      </c>
      <c r="O68" s="250">
        <f t="shared" si="17"/>
        <v>511964.37741498457</v>
      </c>
      <c r="P68" s="250">
        <f t="shared" si="17"/>
        <v>540436.78445815551</v>
      </c>
      <c r="Q68" s="250">
        <f t="shared" si="17"/>
        <v>570194.72508502216</v>
      </c>
      <c r="R68" s="250">
        <f t="shared" si="17"/>
        <v>601298.61937401816</v>
      </c>
      <c r="S68" s="250">
        <f t="shared" si="17"/>
        <v>633811.72714726371</v>
      </c>
      <c r="T68" s="250">
        <f t="shared" si="17"/>
        <v>667800.28143851832</v>
      </c>
      <c r="U68" s="250">
        <f t="shared" si="17"/>
        <v>703333.62823412858</v>
      </c>
      <c r="V68" s="250">
        <f t="shared" si="17"/>
        <v>740484.37278179929</v>
      </c>
      <c r="W68" s="250">
        <f t="shared" si="17"/>
        <v>779328.53277587704</v>
      </c>
      <c r="X68" s="250">
        <f t="shared" si="17"/>
        <v>819945.69874234323</v>
      </c>
      <c r="Y68" s="250">
        <f t="shared" si="17"/>
        <v>862419.20196189999</v>
      </c>
      <c r="Z68" s="250">
        <f t="shared" si="17"/>
        <v>906836.29028544261</v>
      </c>
      <c r="AA68" s="250">
        <f t="shared" si="17"/>
        <v>953288.31221285835</v>
      </c>
      <c r="AB68" s="250">
        <f t="shared" si="17"/>
        <v>1001870.9096235292</v>
      </c>
      <c r="AC68" s="250">
        <f t="shared" si="17"/>
        <v>1052684.219565168</v>
      </c>
      <c r="AD68" s="250">
        <f t="shared" si="17"/>
        <v>1105833.0855267309</v>
      </c>
      <c r="AE68" s="250">
        <f t="shared" si="17"/>
        <v>1161427.2786411538</v>
      </c>
      <c r="AF68" s="250">
        <f t="shared" si="17"/>
        <v>1219581.7292846213</v>
      </c>
      <c r="AG68" s="250">
        <f t="shared" si="17"/>
        <v>1279296.1408943317</v>
      </c>
      <c r="AH68" s="250">
        <f t="shared" si="17"/>
        <v>1341817.1298496986</v>
      </c>
      <c r="AI68" s="250">
        <f t="shared" si="17"/>
        <v>1407276.6052859677</v>
      </c>
      <c r="AJ68" s="250">
        <f t="shared" si="17"/>
        <v>1475812.6760677414</v>
      </c>
      <c r="AK68" s="250">
        <f t="shared" si="17"/>
        <v>1547569.9421762587</v>
      </c>
      <c r="AL68" s="250">
        <f t="shared" si="17"/>
        <v>1622699.7997918758</v>
      </c>
      <c r="AM68" s="250">
        <f t="shared" si="17"/>
        <v>1701360.7607154271</v>
      </c>
      <c r="AN68" s="250">
        <f t="shared" si="17"/>
        <v>1783718.7868023855</v>
      </c>
      <c r="AO68" s="250">
        <f t="shared" si="17"/>
        <v>1869947.6401154308</v>
      </c>
      <c r="AP68" s="250">
        <f>AP66+AP67</f>
        <v>1960229.2495341892</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8233098</v>
      </c>
      <c r="C70" s="250">
        <f t="shared" si="19"/>
        <v>-83435.897999999986</v>
      </c>
      <c r="D70" s="250">
        <f t="shared" si="19"/>
        <v>-21685.173908621455</v>
      </c>
      <c r="E70" s="250">
        <f t="shared" si="19"/>
        <v>22313.490254195051</v>
      </c>
      <c r="F70" s="250">
        <f t="shared" si="19"/>
        <v>83607.884165516094</v>
      </c>
      <c r="G70" s="250">
        <f t="shared" si="19"/>
        <v>150329.96254863046</v>
      </c>
      <c r="H70" s="250">
        <f t="shared" si="19"/>
        <v>222857.00389646136</v>
      </c>
      <c r="I70" s="250">
        <f t="shared" si="19"/>
        <v>365069.47103494155</v>
      </c>
      <c r="J70" s="250">
        <f t="shared" si="19"/>
        <v>386953.83476225048</v>
      </c>
      <c r="K70" s="250">
        <f t="shared" si="19"/>
        <v>409814.09403740952</v>
      </c>
      <c r="L70" s="250">
        <f t="shared" si="19"/>
        <v>433696.11595116777</v>
      </c>
      <c r="M70" s="250">
        <f t="shared" si="19"/>
        <v>458647.92334753927</v>
      </c>
      <c r="N70" s="250">
        <f t="shared" si="19"/>
        <v>484719.79614420695</v>
      </c>
      <c r="O70" s="250">
        <f t="shared" si="19"/>
        <v>511964.37741498457</v>
      </c>
      <c r="P70" s="250">
        <f t="shared" si="19"/>
        <v>540436.78445815551</v>
      </c>
      <c r="Q70" s="250">
        <f t="shared" si="19"/>
        <v>570194.72508502216</v>
      </c>
      <c r="R70" s="250">
        <f t="shared" si="19"/>
        <v>601298.61937401816</v>
      </c>
      <c r="S70" s="250">
        <f t="shared" si="19"/>
        <v>633811.72714726371</v>
      </c>
      <c r="T70" s="250">
        <f t="shared" si="19"/>
        <v>667800.28143851832</v>
      </c>
      <c r="U70" s="250">
        <f t="shared" si="19"/>
        <v>703333.62823412858</v>
      </c>
      <c r="V70" s="250">
        <f t="shared" si="19"/>
        <v>740484.37278179929</v>
      </c>
      <c r="W70" s="250">
        <f t="shared" si="19"/>
        <v>779328.53277587704</v>
      </c>
      <c r="X70" s="250">
        <f t="shared" si="19"/>
        <v>819945.69874234323</v>
      </c>
      <c r="Y70" s="250">
        <f t="shared" si="19"/>
        <v>862419.20196189999</v>
      </c>
      <c r="Z70" s="250">
        <f t="shared" si="19"/>
        <v>906836.29028544261</v>
      </c>
      <c r="AA70" s="250">
        <f t="shared" si="19"/>
        <v>953288.31221285835</v>
      </c>
      <c r="AB70" s="250">
        <f t="shared" si="19"/>
        <v>1001870.9096235292</v>
      </c>
      <c r="AC70" s="250">
        <f t="shared" si="19"/>
        <v>1052684.219565168</v>
      </c>
      <c r="AD70" s="250">
        <f t="shared" si="19"/>
        <v>1105833.0855267309</v>
      </c>
      <c r="AE70" s="250">
        <f t="shared" si="19"/>
        <v>1161427.2786411538</v>
      </c>
      <c r="AF70" s="250">
        <f t="shared" si="19"/>
        <v>1219581.7292846213</v>
      </c>
      <c r="AG70" s="250">
        <f t="shared" si="19"/>
        <v>1279296.1408943317</v>
      </c>
      <c r="AH70" s="250">
        <f t="shared" si="19"/>
        <v>1341817.1298496986</v>
      </c>
      <c r="AI70" s="250">
        <f t="shared" si="19"/>
        <v>1407276.6052859677</v>
      </c>
      <c r="AJ70" s="250">
        <f t="shared" si="19"/>
        <v>1475812.6760677414</v>
      </c>
      <c r="AK70" s="250">
        <f t="shared" si="19"/>
        <v>1547569.9421762587</v>
      </c>
      <c r="AL70" s="250">
        <f t="shared" si="19"/>
        <v>1622699.7997918758</v>
      </c>
      <c r="AM70" s="250">
        <f t="shared" si="19"/>
        <v>1701360.7607154271</v>
      </c>
      <c r="AN70" s="250">
        <f t="shared" si="19"/>
        <v>1783718.7868023855</v>
      </c>
      <c r="AO70" s="250">
        <f t="shared" si="19"/>
        <v>1869947.6401154308</v>
      </c>
      <c r="AP70" s="250">
        <f>AP68+AP69</f>
        <v>1960229.2495341892</v>
      </c>
    </row>
    <row r="71" spans="1:45" x14ac:dyDescent="0.2">
      <c r="A71" s="251" t="s">
        <v>253</v>
      </c>
      <c r="B71" s="243">
        <f t="shared" ref="B71:AP71" si="20">-B70*$B$36</f>
        <v>-1646619.6</v>
      </c>
      <c r="C71" s="243">
        <f t="shared" si="20"/>
        <v>16687.179599999999</v>
      </c>
      <c r="D71" s="243">
        <f t="shared" si="20"/>
        <v>4337.034781724291</v>
      </c>
      <c r="E71" s="243">
        <f t="shared" si="20"/>
        <v>-4462.6980508390106</v>
      </c>
      <c r="F71" s="243">
        <f t="shared" si="20"/>
        <v>-16721.57683310322</v>
      </c>
      <c r="G71" s="243">
        <f t="shared" si="20"/>
        <v>-30065.992509726093</v>
      </c>
      <c r="H71" s="243">
        <f t="shared" si="20"/>
        <v>-44571.400779292278</v>
      </c>
      <c r="I71" s="243">
        <f t="shared" si="20"/>
        <v>-73013.89420698832</v>
      </c>
      <c r="J71" s="243">
        <f t="shared" si="20"/>
        <v>-77390.766952450096</v>
      </c>
      <c r="K71" s="243">
        <f t="shared" si="20"/>
        <v>-81962.818807481905</v>
      </c>
      <c r="L71" s="243">
        <f t="shared" si="20"/>
        <v>-86739.223190233562</v>
      </c>
      <c r="M71" s="243">
        <f t="shared" si="20"/>
        <v>-91729.584669507865</v>
      </c>
      <c r="N71" s="243">
        <f t="shared" si="20"/>
        <v>-96943.959228841399</v>
      </c>
      <c r="O71" s="243">
        <f t="shared" si="20"/>
        <v>-102392.87548299693</v>
      </c>
      <c r="P71" s="243">
        <f t="shared" si="20"/>
        <v>-108087.35689163111</v>
      </c>
      <c r="Q71" s="243">
        <f t="shared" si="20"/>
        <v>-114038.94501700444</v>
      </c>
      <c r="R71" s="243">
        <f t="shared" si="20"/>
        <v>-120259.72387480363</v>
      </c>
      <c r="S71" s="243">
        <f t="shared" si="20"/>
        <v>-126762.34542945275</v>
      </c>
      <c r="T71" s="243">
        <f t="shared" si="20"/>
        <v>-133560.05628770366</v>
      </c>
      <c r="U71" s="243">
        <f t="shared" si="20"/>
        <v>-140666.72564682571</v>
      </c>
      <c r="V71" s="243">
        <f t="shared" si="20"/>
        <v>-148096.87455635986</v>
      </c>
      <c r="W71" s="243">
        <f t="shared" si="20"/>
        <v>-155865.70655517542</v>
      </c>
      <c r="X71" s="243">
        <f t="shared" si="20"/>
        <v>-163989.13974846865</v>
      </c>
      <c r="Y71" s="243">
        <f t="shared" si="20"/>
        <v>-172483.84039238002</v>
      </c>
      <c r="Z71" s="243">
        <f t="shared" si="20"/>
        <v>-181367.25805708853</v>
      </c>
      <c r="AA71" s="243">
        <f t="shared" si="20"/>
        <v>-190657.66244257169</v>
      </c>
      <c r="AB71" s="243">
        <f t="shared" si="20"/>
        <v>-200374.18192470586</v>
      </c>
      <c r="AC71" s="243">
        <f t="shared" si="20"/>
        <v>-210536.8439130336</v>
      </c>
      <c r="AD71" s="243">
        <f t="shared" si="20"/>
        <v>-221166.61710534617</v>
      </c>
      <c r="AE71" s="243">
        <f t="shared" si="20"/>
        <v>-232285.45572823077</v>
      </c>
      <c r="AF71" s="243">
        <f t="shared" si="20"/>
        <v>-243916.34585692428</v>
      </c>
      <c r="AG71" s="243">
        <f t="shared" si="20"/>
        <v>-255859.22817886635</v>
      </c>
      <c r="AH71" s="243">
        <f t="shared" si="20"/>
        <v>-268363.42596993974</v>
      </c>
      <c r="AI71" s="243">
        <f t="shared" si="20"/>
        <v>-281455.32105719356</v>
      </c>
      <c r="AJ71" s="243">
        <f t="shared" si="20"/>
        <v>-295162.53521354828</v>
      </c>
      <c r="AK71" s="243">
        <f t="shared" si="20"/>
        <v>-309513.98843525175</v>
      </c>
      <c r="AL71" s="243">
        <f t="shared" si="20"/>
        <v>-324539.9599583752</v>
      </c>
      <c r="AM71" s="243">
        <f t="shared" si="20"/>
        <v>-340272.15214308543</v>
      </c>
      <c r="AN71" s="243">
        <f t="shared" si="20"/>
        <v>-356743.75736047712</v>
      </c>
      <c r="AO71" s="243">
        <f t="shared" si="20"/>
        <v>-373989.5280230862</v>
      </c>
      <c r="AP71" s="243">
        <f t="shared" si="20"/>
        <v>-392045.84990683786</v>
      </c>
    </row>
    <row r="72" spans="1:45" ht="15" thickBot="1" x14ac:dyDescent="0.25">
      <c r="A72" s="256" t="s">
        <v>257</v>
      </c>
      <c r="B72" s="257">
        <f t="shared" ref="B72:AO72" si="21">B70+B71</f>
        <v>6586478.4000000004</v>
      </c>
      <c r="C72" s="257">
        <f t="shared" si="21"/>
        <v>-66748.718399999983</v>
      </c>
      <c r="D72" s="257">
        <f t="shared" si="21"/>
        <v>-17348.139126897164</v>
      </c>
      <c r="E72" s="257">
        <f t="shared" si="21"/>
        <v>17850.792203356039</v>
      </c>
      <c r="F72" s="257">
        <f t="shared" si="21"/>
        <v>66886.307332412878</v>
      </c>
      <c r="G72" s="257">
        <f t="shared" si="21"/>
        <v>120263.97003890437</v>
      </c>
      <c r="H72" s="257">
        <f t="shared" si="21"/>
        <v>178285.60311716908</v>
      </c>
      <c r="I72" s="257">
        <f t="shared" si="21"/>
        <v>292055.57682795322</v>
      </c>
      <c r="J72" s="257">
        <f t="shared" si="21"/>
        <v>309563.06780980038</v>
      </c>
      <c r="K72" s="257">
        <f t="shared" si="21"/>
        <v>327851.27522992762</v>
      </c>
      <c r="L72" s="257">
        <f t="shared" si="21"/>
        <v>346956.89276093419</v>
      </c>
      <c r="M72" s="257">
        <f t="shared" si="21"/>
        <v>366918.3386780314</v>
      </c>
      <c r="N72" s="257">
        <f t="shared" si="21"/>
        <v>387775.83691536554</v>
      </c>
      <c r="O72" s="257">
        <f t="shared" si="21"/>
        <v>409571.50193198764</v>
      </c>
      <c r="P72" s="257">
        <f t="shared" si="21"/>
        <v>432349.42756652442</v>
      </c>
      <c r="Q72" s="257">
        <f t="shared" si="21"/>
        <v>456155.78006801772</v>
      </c>
      <c r="R72" s="257">
        <f t="shared" si="21"/>
        <v>481038.89549921453</v>
      </c>
      <c r="S72" s="257">
        <f t="shared" si="21"/>
        <v>507049.38171781099</v>
      </c>
      <c r="T72" s="257">
        <f t="shared" si="21"/>
        <v>534240.22515081463</v>
      </c>
      <c r="U72" s="257">
        <f t="shared" si="21"/>
        <v>562666.90258730284</v>
      </c>
      <c r="V72" s="257">
        <f t="shared" si="21"/>
        <v>592387.49822543946</v>
      </c>
      <c r="W72" s="257">
        <f t="shared" si="21"/>
        <v>623462.82622070168</v>
      </c>
      <c r="X72" s="257">
        <f t="shared" si="21"/>
        <v>655956.55899387458</v>
      </c>
      <c r="Y72" s="257">
        <f t="shared" si="21"/>
        <v>689935.36156951997</v>
      </c>
      <c r="Z72" s="257">
        <f t="shared" si="21"/>
        <v>725469.03222835413</v>
      </c>
      <c r="AA72" s="257">
        <f t="shared" si="21"/>
        <v>762630.64977028663</v>
      </c>
      <c r="AB72" s="257">
        <f t="shared" si="21"/>
        <v>801496.72769882332</v>
      </c>
      <c r="AC72" s="257">
        <f t="shared" si="21"/>
        <v>842147.37565213442</v>
      </c>
      <c r="AD72" s="257">
        <f t="shared" si="21"/>
        <v>884666.46842138469</v>
      </c>
      <c r="AE72" s="257">
        <f t="shared" si="21"/>
        <v>929141.82291292306</v>
      </c>
      <c r="AF72" s="257">
        <f t="shared" si="21"/>
        <v>975665.383427697</v>
      </c>
      <c r="AG72" s="257">
        <f t="shared" si="21"/>
        <v>1023436.9127154654</v>
      </c>
      <c r="AH72" s="257">
        <f t="shared" si="21"/>
        <v>1073453.7038797589</v>
      </c>
      <c r="AI72" s="257">
        <f t="shared" si="21"/>
        <v>1125821.2842287743</v>
      </c>
      <c r="AJ72" s="257">
        <f t="shared" si="21"/>
        <v>1180650.1408541931</v>
      </c>
      <c r="AK72" s="257">
        <f t="shared" si="21"/>
        <v>1238055.953741007</v>
      </c>
      <c r="AL72" s="257">
        <f t="shared" si="21"/>
        <v>1298159.8398335006</v>
      </c>
      <c r="AM72" s="257">
        <f t="shared" si="21"/>
        <v>1361088.6085723417</v>
      </c>
      <c r="AN72" s="257">
        <f t="shared" si="21"/>
        <v>1426975.0294419085</v>
      </c>
      <c r="AO72" s="257">
        <f t="shared" si="21"/>
        <v>1495958.1120923446</v>
      </c>
      <c r="AP72" s="257">
        <f>AP70+AP71</f>
        <v>1568183.3996273514</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8233098</v>
      </c>
      <c r="C75" s="250">
        <f t="shared" si="24"/>
        <v>-83435.897999999986</v>
      </c>
      <c r="D75" s="250">
        <f>D68</f>
        <v>-21685.173908621455</v>
      </c>
      <c r="E75" s="250">
        <f t="shared" si="24"/>
        <v>22313.490254195051</v>
      </c>
      <c r="F75" s="250">
        <f t="shared" si="24"/>
        <v>83607.884165516094</v>
      </c>
      <c r="G75" s="250">
        <f t="shared" si="24"/>
        <v>150329.96254863046</v>
      </c>
      <c r="H75" s="250">
        <f t="shared" si="24"/>
        <v>222857.00389646136</v>
      </c>
      <c r="I75" s="250">
        <f t="shared" si="24"/>
        <v>365069.47103494155</v>
      </c>
      <c r="J75" s="250">
        <f t="shared" si="24"/>
        <v>386953.83476225048</v>
      </c>
      <c r="K75" s="250">
        <f t="shared" si="24"/>
        <v>409814.09403740952</v>
      </c>
      <c r="L75" s="250">
        <f t="shared" si="24"/>
        <v>433696.11595116777</v>
      </c>
      <c r="M75" s="250">
        <f t="shared" si="24"/>
        <v>458647.92334753927</v>
      </c>
      <c r="N75" s="250">
        <f t="shared" si="24"/>
        <v>484719.79614420695</v>
      </c>
      <c r="O75" s="250">
        <f t="shared" si="24"/>
        <v>511964.37741498457</v>
      </c>
      <c r="P75" s="250">
        <f t="shared" si="24"/>
        <v>540436.78445815551</v>
      </c>
      <c r="Q75" s="250">
        <f t="shared" si="24"/>
        <v>570194.72508502216</v>
      </c>
      <c r="R75" s="250">
        <f t="shared" si="24"/>
        <v>601298.61937401816</v>
      </c>
      <c r="S75" s="250">
        <f t="shared" si="24"/>
        <v>633811.72714726371</v>
      </c>
      <c r="T75" s="250">
        <f t="shared" si="24"/>
        <v>667800.28143851832</v>
      </c>
      <c r="U75" s="250">
        <f t="shared" si="24"/>
        <v>703333.62823412858</v>
      </c>
      <c r="V75" s="250">
        <f t="shared" si="24"/>
        <v>740484.37278179929</v>
      </c>
      <c r="W75" s="250">
        <f t="shared" si="24"/>
        <v>779328.53277587704</v>
      </c>
      <c r="X75" s="250">
        <f t="shared" si="24"/>
        <v>819945.69874234323</v>
      </c>
      <c r="Y75" s="250">
        <f t="shared" si="24"/>
        <v>862419.20196189999</v>
      </c>
      <c r="Z75" s="250">
        <f t="shared" si="24"/>
        <v>906836.29028544261</v>
      </c>
      <c r="AA75" s="250">
        <f t="shared" si="24"/>
        <v>953288.31221285835</v>
      </c>
      <c r="AB75" s="250">
        <f t="shared" si="24"/>
        <v>1001870.9096235292</v>
      </c>
      <c r="AC75" s="250">
        <f t="shared" si="24"/>
        <v>1052684.219565168</v>
      </c>
      <c r="AD75" s="250">
        <f t="shared" si="24"/>
        <v>1105833.0855267309</v>
      </c>
      <c r="AE75" s="250">
        <f t="shared" si="24"/>
        <v>1161427.2786411538</v>
      </c>
      <c r="AF75" s="250">
        <f t="shared" si="24"/>
        <v>1219581.7292846213</v>
      </c>
      <c r="AG75" s="250">
        <f t="shared" si="24"/>
        <v>1279296.1408943317</v>
      </c>
      <c r="AH75" s="250">
        <f t="shared" si="24"/>
        <v>1341817.1298496986</v>
      </c>
      <c r="AI75" s="250">
        <f t="shared" si="24"/>
        <v>1407276.6052859677</v>
      </c>
      <c r="AJ75" s="250">
        <f t="shared" si="24"/>
        <v>1475812.6760677414</v>
      </c>
      <c r="AK75" s="250">
        <f t="shared" si="24"/>
        <v>1547569.9421762587</v>
      </c>
      <c r="AL75" s="250">
        <f t="shared" si="24"/>
        <v>1622699.7997918758</v>
      </c>
      <c r="AM75" s="250">
        <f t="shared" si="24"/>
        <v>1701360.7607154271</v>
      </c>
      <c r="AN75" s="250">
        <f t="shared" si="24"/>
        <v>1783718.7868023855</v>
      </c>
      <c r="AO75" s="250">
        <f t="shared" si="24"/>
        <v>1869947.6401154308</v>
      </c>
      <c r="AP75" s="250">
        <f>AP68</f>
        <v>1960229.2495341892</v>
      </c>
    </row>
    <row r="76" spans="1:45" x14ac:dyDescent="0.2">
      <c r="A76" s="251" t="s">
        <v>255</v>
      </c>
      <c r="B76" s="243">
        <f t="shared" ref="B76:AO76" si="25">-B67</f>
        <v>0</v>
      </c>
      <c r="C76" s="243">
        <f>-C67</f>
        <v>50937.666666666664</v>
      </c>
      <c r="D76" s="243">
        <f t="shared" si="25"/>
        <v>50937.666666666664</v>
      </c>
      <c r="E76" s="243">
        <f t="shared" si="25"/>
        <v>50937.666666666664</v>
      </c>
      <c r="F76" s="243">
        <f>-C67</f>
        <v>50937.666666666664</v>
      </c>
      <c r="G76" s="243">
        <f t="shared" si="25"/>
        <v>50937.666666666664</v>
      </c>
      <c r="H76" s="243">
        <f t="shared" si="25"/>
        <v>50937.666666666664</v>
      </c>
      <c r="I76" s="243">
        <f t="shared" si="25"/>
        <v>50937.666666666664</v>
      </c>
      <c r="J76" s="243">
        <f t="shared" si="25"/>
        <v>50937.666666666664</v>
      </c>
      <c r="K76" s="243">
        <f t="shared" si="25"/>
        <v>50937.666666666664</v>
      </c>
      <c r="L76" s="243">
        <f>-L67</f>
        <v>50937.666666666664</v>
      </c>
      <c r="M76" s="243">
        <f>-M67</f>
        <v>50937.666666666664</v>
      </c>
      <c r="N76" s="243">
        <f t="shared" si="25"/>
        <v>50937.666666666664</v>
      </c>
      <c r="O76" s="243">
        <f t="shared" si="25"/>
        <v>50937.666666666664</v>
      </c>
      <c r="P76" s="243">
        <f t="shared" si="25"/>
        <v>50937.666666666664</v>
      </c>
      <c r="Q76" s="243">
        <f t="shared" si="25"/>
        <v>50937.666666666664</v>
      </c>
      <c r="R76" s="243">
        <f t="shared" si="25"/>
        <v>50937.666666666664</v>
      </c>
      <c r="S76" s="243">
        <f t="shared" si="25"/>
        <v>50937.666666666664</v>
      </c>
      <c r="T76" s="243">
        <f t="shared" si="25"/>
        <v>50937.666666666664</v>
      </c>
      <c r="U76" s="243">
        <f t="shared" si="25"/>
        <v>50937.666666666664</v>
      </c>
      <c r="V76" s="243">
        <f t="shared" si="25"/>
        <v>50937.666666666664</v>
      </c>
      <c r="W76" s="243">
        <f t="shared" si="25"/>
        <v>50937.666666666664</v>
      </c>
      <c r="X76" s="243">
        <f t="shared" si="25"/>
        <v>50937.666666666664</v>
      </c>
      <c r="Y76" s="243">
        <f t="shared" si="25"/>
        <v>50937.666666666664</v>
      </c>
      <c r="Z76" s="243">
        <f t="shared" si="25"/>
        <v>50937.666666666664</v>
      </c>
      <c r="AA76" s="243">
        <f t="shared" si="25"/>
        <v>50937.666666666664</v>
      </c>
      <c r="AB76" s="243">
        <f t="shared" si="25"/>
        <v>50937.666666666664</v>
      </c>
      <c r="AC76" s="243">
        <f t="shared" si="25"/>
        <v>50937.666666666664</v>
      </c>
      <c r="AD76" s="243">
        <f t="shared" si="25"/>
        <v>50937.666666666664</v>
      </c>
      <c r="AE76" s="243">
        <f t="shared" si="25"/>
        <v>50937.666666666664</v>
      </c>
      <c r="AF76" s="243">
        <f t="shared" si="25"/>
        <v>50937.666666666664</v>
      </c>
      <c r="AG76" s="243">
        <f t="shared" si="25"/>
        <v>50937.666666666664</v>
      </c>
      <c r="AH76" s="243">
        <f t="shared" si="25"/>
        <v>50937.666666666664</v>
      </c>
      <c r="AI76" s="243">
        <f t="shared" si="25"/>
        <v>50937.666666666664</v>
      </c>
      <c r="AJ76" s="243">
        <f t="shared" si="25"/>
        <v>50937.666666666664</v>
      </c>
      <c r="AK76" s="243">
        <f t="shared" si="25"/>
        <v>50937.666666666664</v>
      </c>
      <c r="AL76" s="243">
        <f t="shared" si="25"/>
        <v>50937.666666666664</v>
      </c>
      <c r="AM76" s="243">
        <f t="shared" si="25"/>
        <v>50937.666666666664</v>
      </c>
      <c r="AN76" s="243">
        <f t="shared" si="25"/>
        <v>50937.666666666664</v>
      </c>
      <c r="AO76" s="243">
        <f t="shared" si="25"/>
        <v>50937.666666666664</v>
      </c>
      <c r="AP76" s="243">
        <f>-AP67</f>
        <v>50937.666666666664</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-1646619.6</v>
      </c>
      <c r="C78" s="243">
        <f>IF(SUM($B$71:C71)+SUM($A$78:B78)&gt;0,0,SUM($B$71:C71)-SUM($A$78:B78))</f>
        <v>16687.179599999916</v>
      </c>
      <c r="D78" s="243">
        <f>IF(SUM($B$71:D71)+SUM($A$78:C78)&gt;0,0,SUM($B$71:D71)-SUM($A$78:C78))</f>
        <v>4337.0347817242146</v>
      </c>
      <c r="E78" s="243">
        <f>IF(SUM($B$71:E71)+SUM($A$78:D78)&gt;0,0,SUM($B$71:E71)-SUM($A$78:D78))</f>
        <v>-4462.6980508388951</v>
      </c>
      <c r="F78" s="243">
        <f>IF(SUM($B$71:F71)+SUM($A$78:E78)&gt;0,0,SUM($B$71:F71)-SUM($A$78:E78))</f>
        <v>-16721.576833103318</v>
      </c>
      <c r="G78" s="243">
        <f>IF(SUM($B$71:G71)+SUM($A$78:F78)&gt;0,0,SUM($B$71:G71)-SUM($A$78:F78))</f>
        <v>-30065.992509726202</v>
      </c>
      <c r="H78" s="243">
        <f>IF(SUM($B$71:H71)+SUM($A$78:G78)&gt;0,0,SUM($B$71:H71)-SUM($A$78:G78))</f>
        <v>-44571.40077929222</v>
      </c>
      <c r="I78" s="243">
        <f>IF(SUM($B$71:I71)+SUM($A$78:H78)&gt;0,0,SUM($B$71:I71)-SUM($A$78:H78))</f>
        <v>-73013.894206988392</v>
      </c>
      <c r="J78" s="243">
        <f>IF(SUM($B$71:J71)+SUM($A$78:I78)&gt;0,0,SUM($B$71:J71)-SUM($A$78:I78))</f>
        <v>-77390.766952450154</v>
      </c>
      <c r="K78" s="243">
        <f>IF(SUM($B$71:K71)+SUM($A$78:J78)&gt;0,0,SUM($B$71:K71)-SUM($A$78:J78))</f>
        <v>-81962.818807481788</v>
      </c>
      <c r="L78" s="243">
        <f>IF(SUM($B$71:L71)+SUM($A$78:K78)&gt;0,0,SUM($B$71:L71)-SUM($A$78:K78))</f>
        <v>-86739.223190233577</v>
      </c>
      <c r="M78" s="243">
        <f>IF(SUM($B$71:M71)+SUM($A$78:L78)&gt;0,0,SUM($B$71:M71)-SUM($A$78:L78))</f>
        <v>-91729.58466950804</v>
      </c>
      <c r="N78" s="243">
        <f>IF(SUM($B$71:N71)+SUM($A$78:M78)&gt;0,0,SUM($B$71:N71)-SUM($A$78:M78))</f>
        <v>-96943.959228841588</v>
      </c>
      <c r="O78" s="243">
        <f>IF(SUM($B$71:O71)+SUM($A$78:N78)&gt;0,0,SUM($B$71:O71)-SUM($A$78:N78))</f>
        <v>-102392.87548299693</v>
      </c>
      <c r="P78" s="243">
        <f>IF(SUM($B$71:P71)+SUM($A$78:O78)&gt;0,0,SUM($B$71:P71)-SUM($A$78:O78))</f>
        <v>-108087.35689163115</v>
      </c>
      <c r="Q78" s="243">
        <f>IF(SUM($B$71:Q71)+SUM($A$78:P78)&gt;0,0,SUM($B$71:Q71)-SUM($A$78:P78))</f>
        <v>-114038.94501700439</v>
      </c>
      <c r="R78" s="243">
        <f>IF(SUM($B$71:R71)+SUM($A$78:Q78)&gt;0,0,SUM($B$71:R71)-SUM($A$78:Q78))</f>
        <v>-120259.72387480363</v>
      </c>
      <c r="S78" s="243">
        <f>IF(SUM($B$71:S71)+SUM($A$78:R78)&gt;0,0,SUM($B$71:S71)-SUM($A$78:R78))</f>
        <v>-126762.3454294526</v>
      </c>
      <c r="T78" s="243">
        <f>IF(SUM($B$71:T71)+SUM($A$78:S78)&gt;0,0,SUM($B$71:T71)-SUM($A$78:S78))</f>
        <v>-133560.05628770357</v>
      </c>
      <c r="U78" s="243">
        <f>IF(SUM($B$71:U71)+SUM($A$78:T78)&gt;0,0,SUM($B$71:U71)-SUM($A$78:T78))</f>
        <v>-140666.72564682551</v>
      </c>
      <c r="V78" s="243">
        <f>IF(SUM($B$71:V71)+SUM($A$78:U78)&gt;0,0,SUM($B$71:V71)-SUM($A$78:U78))</f>
        <v>-148096.87455635983</v>
      </c>
      <c r="W78" s="243">
        <f>IF(SUM($B$71:W71)+SUM($A$78:V78)&gt;0,0,SUM($B$71:W71)-SUM($A$78:V78))</f>
        <v>-155865.70655517559</v>
      </c>
      <c r="X78" s="243">
        <f>IF(SUM($B$71:X71)+SUM($A$78:W78)&gt;0,0,SUM($B$71:X71)-SUM($A$78:W78))</f>
        <v>-163989.13974846853</v>
      </c>
      <c r="Y78" s="243">
        <f>IF(SUM($B$71:Y71)+SUM($A$78:X78)&gt;0,0,SUM($B$71:Y71)-SUM($A$78:X78))</f>
        <v>-172483.84039238002</v>
      </c>
      <c r="Z78" s="243">
        <f>IF(SUM($B$71:Z71)+SUM($A$78:Y78)&gt;0,0,SUM($B$71:Z71)-SUM($A$78:Y78))</f>
        <v>-181367.25805708859</v>
      </c>
      <c r="AA78" s="243">
        <f>IF(SUM($B$71:AA71)+SUM($A$78:Z78)&gt;0,0,SUM($B$71:AA71)-SUM($A$78:Z78))</f>
        <v>-190657.66244257148</v>
      </c>
      <c r="AB78" s="243">
        <f>IF(SUM($B$71:AB71)+SUM($A$78:AA78)&gt;0,0,SUM($B$71:AB71)-SUM($A$78:AA78))</f>
        <v>-200374.18192470539</v>
      </c>
      <c r="AC78" s="243">
        <f>IF(SUM($B$71:AC71)+SUM($A$78:AB78)&gt;0,0,SUM($B$71:AC71)-SUM($A$78:AB78))</f>
        <v>-210536.8439130336</v>
      </c>
      <c r="AD78" s="243">
        <f>IF(SUM($B$71:AD71)+SUM($A$78:AC78)&gt;0,0,SUM($B$71:AD71)-SUM($A$78:AC78))</f>
        <v>-221166.61710534617</v>
      </c>
      <c r="AE78" s="243">
        <f>IF(SUM($B$71:AE71)+SUM($A$78:AD78)&gt;0,0,SUM($B$71:AE71)-SUM($A$78:AD78))</f>
        <v>-232285.455728231</v>
      </c>
      <c r="AF78" s="243">
        <f>IF(SUM($B$71:AF71)+SUM($A$78:AE78)&gt;0,0,SUM($B$71:AF71)-SUM($A$78:AE78))</f>
        <v>-243916.34585692454</v>
      </c>
      <c r="AG78" s="243">
        <f>IF(SUM($B$71:AG71)+SUM($A$78:AF78)&gt;0,0,SUM($B$71:AG71)-SUM($A$78:AF78))</f>
        <v>-255859.22817886621</v>
      </c>
      <c r="AH78" s="243">
        <f>IF(SUM($B$71:AH71)+SUM($A$78:AG78)&gt;0,0,SUM($B$71:AH71)-SUM($A$78:AG78))</f>
        <v>-268363.42596993968</v>
      </c>
      <c r="AI78" s="243">
        <f>IF(SUM($B$71:AI71)+SUM($A$78:AH78)&gt;0,0,SUM($B$71:AI71)-SUM($A$78:AH78))</f>
        <v>-281455.32105719391</v>
      </c>
      <c r="AJ78" s="243">
        <f>IF(SUM($B$71:AJ71)+SUM($A$78:AI78)&gt;0,0,SUM($B$71:AJ71)-SUM($A$78:AI78))</f>
        <v>-295162.53521354869</v>
      </c>
      <c r="AK78" s="243">
        <f>IF(SUM($B$71:AK71)+SUM($A$78:AJ78)&gt;0,0,SUM($B$71:AK71)-SUM($A$78:AJ78))</f>
        <v>-309513.98843525164</v>
      </c>
      <c r="AL78" s="243">
        <f>IF(SUM($B$71:AL71)+SUM($A$78:AK78)&gt;0,0,SUM($B$71:AL71)-SUM($A$78:AK78))</f>
        <v>-324539.95995837543</v>
      </c>
      <c r="AM78" s="243">
        <f>IF(SUM($B$71:AM71)+SUM($A$78:AL78)&gt;0,0,SUM($B$71:AM71)-SUM($A$78:AL78))</f>
        <v>-340272.15214308538</v>
      </c>
      <c r="AN78" s="243">
        <f>IF(SUM($B$71:AN71)+SUM($A$78:AM78)&gt;0,0,SUM($B$71:AN71)-SUM($A$78:AM78))</f>
        <v>-356743.757360477</v>
      </c>
      <c r="AO78" s="243">
        <f>IF(SUM($B$71:AO71)+SUM($A$78:AN78)&gt;0,0,SUM($B$71:AO71)-SUM($A$78:AN78))</f>
        <v>-373989.52802308649</v>
      </c>
      <c r="AP78" s="243">
        <f>IF(SUM($B$71:AP71)+SUM($A$78:AO78)&gt;0,0,SUM($B$71:AP71)-SUM($A$78:AO78))</f>
        <v>-392045.8499068385</v>
      </c>
    </row>
    <row r="79" spans="1:45" x14ac:dyDescent="0.2">
      <c r="A79" s="251" t="s">
        <v>252</v>
      </c>
      <c r="B79" s="243">
        <f ca="1">IF(((SUM($B$59:B59)+SUM($B$61:B64))+SUM($B$81:B81))&lt;0,((SUM($B$59:B59)+SUM($B$61:B64))+SUM($B$81:B81))*0.2-SUM($A$79:A79),IF(SUM(A$79:$B79)&lt;0,0-SUM(A$79:$B79),0))</f>
        <v>-2390660.4</v>
      </c>
      <c r="C79" s="243">
        <f ca="1">IF(((SUM($B$59:C59)+SUM($B$61:C64))+SUM($B$81:C81))&lt;0,((SUM($B$59:C59)+SUM($B$61:C64))+SUM($B$81:C81))*0.18-SUM($A$79:B79),IF(SUM($B$79:B79)&lt;0,0-SUM($B$79:B79),0))</f>
        <v>239066.04000000004</v>
      </c>
      <c r="D79" s="243">
        <f ca="1">IF(((SUM($B$59:D59)+SUM($B$61:D64))+SUM($B$81:D81))&lt;0,((SUM($B$59:D59)+SUM($B$61:D64))+SUM($B$81:D81))*0.2-SUM($A$79:C79),IF(SUM($B$79:C79)&lt;0,0-SUM($B$79:C79),0))</f>
        <v>-200010.80970044527</v>
      </c>
      <c r="E79" s="243">
        <f ca="1">IF(((SUM($B$59:E59)+SUM($B$61:E64))+SUM($B$81:E81))&lt;0,((SUM($B$59:E59)+SUM($B$61:E64))+SUM($B$81:E81))*0.2-SUM($A$79:D79),IF(SUM($B$79:D79)&lt;0,0-SUM($B$79:D79),0))</f>
        <v>63336.132534939796</v>
      </c>
      <c r="F79" s="243">
        <f ca="1">IF(((SUM($B$59:F59)+SUM($B$61:F64))+SUM($B$81:F81))&lt;0,((SUM($B$59:F59)+SUM($B$61:F64))+SUM($B$81:F81))*0.2-SUM($A$79:E79),IF(SUM($B$79:E79)&lt;0,0-SUM($B$79:E79),0))</f>
        <v>101940.47104112245</v>
      </c>
      <c r="G79" s="243">
        <f ca="1">IF(((SUM($B$59:G59)+SUM($B$61:G64))+SUM($B$81:G81))&lt;0,((SUM($B$59:G59)+SUM($B$61:G64))+SUM($B$81:G81))*0.18-SUM($A$79:F79),IF(SUM($B$79:F79)&lt;0,0-SUM($B$79:F79),0))</f>
        <v>348263.1936775439</v>
      </c>
      <c r="H79" s="243">
        <f ca="1">IF(((SUM($B$59:H59)+SUM($B$61:H64))+SUM($B$81:H81))&lt;0,((SUM($B$59:H59)+SUM($B$61:H64))+SUM($B$81:H81))*0.18-SUM($A$79:G79),IF(SUM($B$79:G79)&lt;0,0-SUM($B$79:G79),0))</f>
        <v>170872.67017676472</v>
      </c>
      <c r="I79" s="243">
        <f ca="1">IF(((SUM($B$59:I59)+SUM($B$61:I64))+SUM($B$81:I81))&lt;0,((SUM($B$59:I59)+SUM($B$61:I64))+SUM($B$81:I81))*0.18-SUM($A$79:H79),IF(SUM($B$79:H79)&lt;0,0-SUM($B$79:H79),0))</f>
        <v>252507.17269761302</v>
      </c>
      <c r="J79" s="243">
        <f ca="1">IF(((SUM($B$59:J59)+SUM($B$61:J64))+SUM($B$81:J81))&lt;0,((SUM($B$59:J59)+SUM($B$61:J64))+SUM($B$81:J81))*0.18-SUM($A$79:I79),IF(SUM($B$79:I79)&lt;0,0-SUM($B$79:I79),0))</f>
        <v>264375.00981440092</v>
      </c>
      <c r="K79" s="243">
        <f ca="1">IF(((SUM($B$59:K59)+SUM($B$61:K64))+SUM($B$81:K81))&lt;0,((SUM($B$59:K59)+SUM($B$61:K64))+SUM($B$81:K81))*0.18-SUM($A$79:J79),IF(SUM($B$79:J79)&lt;0,0-SUM($B$79:J79),0))</f>
        <v>276800.63527567754</v>
      </c>
      <c r="L79" s="243">
        <f ca="1">IF(((SUM($B$59:L59)+SUM($B$61:L64))+SUM($B$81:L81))&lt;0,((SUM($B$59:L59)+SUM($B$61:L64))+SUM($B$81:L81))*0.18-SUM($A$79:K79),IF(SUM($B$79:K79)&lt;0,0-SUM($B$79:K79),0))</f>
        <v>289810.26513363502</v>
      </c>
      <c r="M79" s="243">
        <f ca="1">IF(((SUM($B$59:M59)+SUM($B$61:M64))+SUM($B$81:M81))&lt;0,((SUM($B$59:M59)+SUM($B$61:M64))+SUM($B$81:M81))*0.18-SUM($A$79:L79),IF(SUM($B$79:L79)&lt;0,0-SUM($B$79:L79),0))</f>
        <v>303431.34759491577</v>
      </c>
      <c r="N79" s="243">
        <f ca="1">IF(((SUM($B$59:N59)+SUM($B$61:N64))+SUM($B$81:N81))&lt;0,((SUM($B$59:N59)+SUM($B$61:N64))+SUM($B$81:N81))*0.18-SUM($A$79:M79),IF(SUM($B$79:M79)&lt;0,0-SUM($B$79:M79),0))</f>
        <v>280268.271753832</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-1833756</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-1833756</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-15990582</v>
      </c>
      <c r="C83" s="250">
        <f t="shared" ref="C83:V83" ca="1" si="29">SUM(C75:C82)</f>
        <v>65014.413333333447</v>
      </c>
      <c r="D83" s="250">
        <f t="shared" ca="1" si="29"/>
        <v>-207972.60850222665</v>
      </c>
      <c r="E83" s="250">
        <f t="shared" ca="1" si="29"/>
        <v>162366.84934136493</v>
      </c>
      <c r="F83" s="250">
        <f t="shared" ca="1" si="29"/>
        <v>365257.44853894605</v>
      </c>
      <c r="G83" s="250">
        <f t="shared" ca="1" si="29"/>
        <v>789822.02507801238</v>
      </c>
      <c r="H83" s="250">
        <f t="shared" ca="1" si="29"/>
        <v>805599.66651794047</v>
      </c>
      <c r="I83" s="250">
        <f t="shared" ca="1" si="29"/>
        <v>1259923.0869092271</v>
      </c>
      <c r="J83" s="250">
        <f t="shared" ca="1" si="29"/>
        <v>1334405.7734339607</v>
      </c>
      <c r="K83" s="250">
        <f t="shared" ca="1" si="29"/>
        <v>1411925.3076120233</v>
      </c>
      <c r="L83" s="250">
        <f t="shared" ca="1" si="29"/>
        <v>1492624.4212831226</v>
      </c>
      <c r="M83" s="250">
        <f t="shared" ca="1" si="29"/>
        <v>1576652.5546834287</v>
      </c>
      <c r="N83" s="250">
        <f t="shared" ca="1" si="29"/>
        <v>1626741.8225621718</v>
      </c>
      <c r="O83" s="250">
        <f t="shared" ca="1" si="29"/>
        <v>1422704.916069665</v>
      </c>
      <c r="P83" s="250">
        <f t="shared" ca="1" si="29"/>
        <v>1502055.3168849391</v>
      </c>
      <c r="Q83" s="250">
        <f t="shared" ca="1" si="29"/>
        <v>1584671.3479251978</v>
      </c>
      <c r="R83" s="250">
        <f t="shared" ca="1" si="29"/>
        <v>1670706.4938110155</v>
      </c>
      <c r="S83" s="250">
        <f t="shared" ca="1" si="29"/>
        <v>1760321.4529401329</v>
      </c>
      <c r="T83" s="250">
        <f t="shared" ca="1" si="29"/>
        <v>1853684.4765349855</v>
      </c>
      <c r="U83" s="250">
        <f t="shared" ca="1" si="29"/>
        <v>1950971.723625463</v>
      </c>
      <c r="V83" s="250">
        <f t="shared" ca="1" si="29"/>
        <v>2052367.6327158595</v>
      </c>
      <c r="W83" s="250">
        <f ca="1">SUM(W75:W82)</f>
        <v>2158065.3109201714</v>
      </c>
      <c r="X83" s="250">
        <f ca="1">SUM(X75:X82)</f>
        <v>2268266.9413867532</v>
      </c>
      <c r="Y83" s="250">
        <f ca="1">SUM(Y75:Y82)</f>
        <v>2383184.2098719305</v>
      </c>
      <c r="Z83" s="250">
        <f ca="1">SUM(Z75:Z82)</f>
        <v>2503038.7513625771</v>
      </c>
      <c r="AA83" s="250">
        <f t="shared" ref="AA83:AP83" ca="1" si="30">SUM(AA75:AA82)</f>
        <v>2628062.6176899513</v>
      </c>
      <c r="AB83" s="250">
        <f t="shared" ca="1" si="30"/>
        <v>2758498.7671213793</v>
      </c>
      <c r="AC83" s="250">
        <f t="shared" ca="1" si="30"/>
        <v>2894601.5769627499</v>
      </c>
      <c r="AD83" s="250">
        <f t="shared" ca="1" si="30"/>
        <v>3036637.3802533317</v>
      </c>
      <c r="AE83" s="250">
        <f t="shared" ca="1" si="30"/>
        <v>3184885.027685239</v>
      </c>
      <c r="AF83" s="250">
        <f t="shared" ca="1" si="30"/>
        <v>3339636.4759331117</v>
      </c>
      <c r="AG83" s="250">
        <f t="shared" ca="1" si="30"/>
        <v>3491328.4969686344</v>
      </c>
      <c r="AH83" s="250">
        <f t="shared" ca="1" si="30"/>
        <v>3650150.0429928266</v>
      </c>
      <c r="AI83" s="250">
        <f t="shared" ca="1" si="30"/>
        <v>3816436.2016801555</v>
      </c>
      <c r="AJ83" s="250">
        <f t="shared" ca="1" si="30"/>
        <v>3990537.8098257892</v>
      </c>
      <c r="AK83" s="250">
        <f t="shared" ca="1" si="30"/>
        <v>4172822.1935542673</v>
      </c>
      <c r="AL83" s="250">
        <f t="shared" ca="1" si="30"/>
        <v>4363673.9433179852</v>
      </c>
      <c r="AM83" s="250">
        <f t="shared" ca="1" si="30"/>
        <v>4563495.7253205972</v>
      </c>
      <c r="AN83" s="250">
        <f t="shared" ca="1" si="30"/>
        <v>4772709.1310773324</v>
      </c>
      <c r="AO83" s="250">
        <f t="shared" ca="1" si="30"/>
        <v>4991755.5669046296</v>
      </c>
      <c r="AP83" s="250">
        <f t="shared" ca="1" si="30"/>
        <v>5221097.185215815</v>
      </c>
    </row>
    <row r="84" spans="1:44" ht="14.25" x14ac:dyDescent="0.2">
      <c r="A84" s="252" t="s">
        <v>551</v>
      </c>
      <c r="B84" s="250">
        <f ca="1">SUM($B$83:B83)</f>
        <v>-15990582</v>
      </c>
      <c r="C84" s="250">
        <f ca="1">SUM($B$83:C83)</f>
        <v>-15925567.586666666</v>
      </c>
      <c r="D84" s="250">
        <f ca="1">SUM($B$83:D83)</f>
        <v>-16133540.195168892</v>
      </c>
      <c r="E84" s="250">
        <f ca="1">SUM($B$83:E83)</f>
        <v>-15971173.345827527</v>
      </c>
      <c r="F84" s="250">
        <f ca="1">SUM($B$83:F83)</f>
        <v>-15605915.897288581</v>
      </c>
      <c r="G84" s="250">
        <f ca="1">SUM($B$83:G83)</f>
        <v>-14816093.87221057</v>
      </c>
      <c r="H84" s="250">
        <f ca="1">SUM($B$83:H83)</f>
        <v>-14010494.205692628</v>
      </c>
      <c r="I84" s="250">
        <f ca="1">SUM($B$83:I83)</f>
        <v>-12750571.118783401</v>
      </c>
      <c r="J84" s="250">
        <f ca="1">SUM($B$83:J83)</f>
        <v>-11416165.34534944</v>
      </c>
      <c r="K84" s="250">
        <f ca="1">SUM($B$83:K83)</f>
        <v>-10004240.037737418</v>
      </c>
      <c r="L84" s="250">
        <f ca="1">SUM($B$83:L83)</f>
        <v>-8511615.6164542958</v>
      </c>
      <c r="M84" s="250">
        <f ca="1">SUM($B$83:M83)</f>
        <v>-6934963.0617708676</v>
      </c>
      <c r="N84" s="250">
        <f ca="1">SUM($B$83:N83)</f>
        <v>-5308221.2392086955</v>
      </c>
      <c r="O84" s="250">
        <f ca="1">SUM($B$83:O83)</f>
        <v>-3885516.3231390305</v>
      </c>
      <c r="P84" s="250">
        <f ca="1">SUM($B$83:P83)</f>
        <v>-2383461.0062540914</v>
      </c>
      <c r="Q84" s="250">
        <f ca="1">SUM($B$83:Q83)</f>
        <v>-798789.65832889359</v>
      </c>
      <c r="R84" s="250">
        <f ca="1">SUM($B$83:R83)</f>
        <v>871916.83548212191</v>
      </c>
      <c r="S84" s="250">
        <f ca="1">SUM($B$83:S83)</f>
        <v>2632238.2884222548</v>
      </c>
      <c r="T84" s="250">
        <f ca="1">SUM($B$83:T83)</f>
        <v>4485922.7649572399</v>
      </c>
      <c r="U84" s="250">
        <f ca="1">SUM($B$83:U83)</f>
        <v>6436894.4885827024</v>
      </c>
      <c r="V84" s="250">
        <f ca="1">SUM($B$83:V83)</f>
        <v>8489262.1212985627</v>
      </c>
      <c r="W84" s="250">
        <f ca="1">SUM($B$83:W83)</f>
        <v>10647327.432218734</v>
      </c>
      <c r="X84" s="250">
        <f ca="1">SUM($B$83:X83)</f>
        <v>12915594.373605488</v>
      </c>
      <c r="Y84" s="250">
        <f ca="1">SUM($B$83:Y83)</f>
        <v>15298778.583477419</v>
      </c>
      <c r="Z84" s="250">
        <f ca="1">SUM($B$83:Z83)</f>
        <v>17801817.334839996</v>
      </c>
      <c r="AA84" s="250">
        <f ca="1">SUM($B$83:AA83)</f>
        <v>20429879.952529948</v>
      </c>
      <c r="AB84" s="250">
        <f ca="1">SUM($B$83:AB83)</f>
        <v>23188378.719651327</v>
      </c>
      <c r="AC84" s="250">
        <f ca="1">SUM($B$83:AC83)</f>
        <v>26082980.296614077</v>
      </c>
      <c r="AD84" s="250">
        <f ca="1">SUM($B$83:AD83)</f>
        <v>29119617.676867411</v>
      </c>
      <c r="AE84" s="250">
        <f ca="1">SUM($B$83:AE83)</f>
        <v>32304502.70455265</v>
      </c>
      <c r="AF84" s="250">
        <f ca="1">SUM($B$83:AF83)</f>
        <v>35644139.180485763</v>
      </c>
      <c r="AG84" s="250">
        <f ca="1">SUM($B$83:AG83)</f>
        <v>39135467.677454397</v>
      </c>
      <c r="AH84" s="250">
        <f ca="1">SUM($B$83:AH83)</f>
        <v>42785617.720447227</v>
      </c>
      <c r="AI84" s="250">
        <f ca="1">SUM($B$83:AI83)</f>
        <v>46602053.922127381</v>
      </c>
      <c r="AJ84" s="250">
        <f ca="1">SUM($B$83:AJ83)</f>
        <v>50592591.731953174</v>
      </c>
      <c r="AK84" s="250">
        <f ca="1">SUM($B$83:AK83)</f>
        <v>54765413.925507441</v>
      </c>
      <c r="AL84" s="250">
        <f ca="1">SUM($B$83:AL83)</f>
        <v>59129087.868825428</v>
      </c>
      <c r="AM84" s="250">
        <f ca="1">SUM($B$83:AM83)</f>
        <v>63692583.594146028</v>
      </c>
      <c r="AN84" s="250">
        <f ca="1">SUM($B$83:AN83)</f>
        <v>68465292.725223362</v>
      </c>
      <c r="AO84" s="250">
        <f ca="1">SUM($B$83:AO83)</f>
        <v>73457048.292127997</v>
      </c>
      <c r="AP84" s="250">
        <f ca="1">SUM($B$83:AP83)</f>
        <v>78678145.477343813</v>
      </c>
    </row>
    <row r="85" spans="1:44" x14ac:dyDescent="0.2">
      <c r="A85" s="251" t="s">
        <v>434</v>
      </c>
      <c r="B85" s="335">
        <f>1/POWER((1+$B$44),B73)</f>
        <v>0.95402649883562884</v>
      </c>
      <c r="C85" s="335">
        <f t="shared" ref="C85:AP85" si="31">1/POWER((1+$B$44),C73)</f>
        <v>0.86832301705254278</v>
      </c>
      <c r="D85" s="335">
        <f t="shared" si="31"/>
        <v>0.79031857381682236</v>
      </c>
      <c r="E85" s="335">
        <f t="shared" si="31"/>
        <v>0.71932153801476506</v>
      </c>
      <c r="F85" s="335">
        <f t="shared" si="31"/>
        <v>0.65470241013449082</v>
      </c>
      <c r="G85" s="335">
        <f t="shared" si="31"/>
        <v>0.59588824077044755</v>
      </c>
      <c r="H85" s="335">
        <f t="shared" si="31"/>
        <v>0.54235755053285484</v>
      </c>
      <c r="I85" s="335">
        <f t="shared" si="31"/>
        <v>0.49363570631915432</v>
      </c>
      <c r="J85" s="335">
        <f t="shared" si="31"/>
        <v>0.44929071295090039</v>
      </c>
      <c r="K85" s="335">
        <f t="shared" si="31"/>
        <v>0.40892938286238317</v>
      </c>
      <c r="L85" s="335">
        <f t="shared" si="31"/>
        <v>0.37219384987929666</v>
      </c>
      <c r="M85" s="335">
        <f t="shared" si="31"/>
        <v>0.3387583961766602</v>
      </c>
      <c r="N85" s="335">
        <f t="shared" si="31"/>
        <v>0.30832656428202437</v>
      </c>
      <c r="O85" s="335">
        <f t="shared" si="31"/>
        <v>0.28062852851736092</v>
      </c>
      <c r="P85" s="335">
        <f t="shared" si="31"/>
        <v>0.25541870257336935</v>
      </c>
      <c r="Q85" s="335">
        <f t="shared" si="31"/>
        <v>0.23247356200361272</v>
      </c>
      <c r="R85" s="335">
        <f t="shared" si="31"/>
        <v>0.21158966233149432</v>
      </c>
      <c r="S85" s="335">
        <f t="shared" si="31"/>
        <v>0.19258183519750091</v>
      </c>
      <c r="T85" s="335">
        <f t="shared" si="31"/>
        <v>0.17528154655274497</v>
      </c>
      <c r="U85" s="335">
        <f t="shared" si="31"/>
        <v>0.15953540234162647</v>
      </c>
      <c r="V85" s="335">
        <f t="shared" si="31"/>
        <v>0.14520378842416171</v>
      </c>
      <c r="W85" s="335">
        <f t="shared" si="31"/>
        <v>0.13215963267876735</v>
      </c>
      <c r="X85" s="335">
        <f t="shared" si="31"/>
        <v>0.12028727830960895</v>
      </c>
      <c r="Y85" s="335">
        <f t="shared" si="31"/>
        <v>0.10948145836862559</v>
      </c>
      <c r="Z85" s="335">
        <f t="shared" si="31"/>
        <v>9.9646362399768443E-2</v>
      </c>
      <c r="AA85" s="335">
        <f t="shared" si="31"/>
        <v>9.0694786929797461E-2</v>
      </c>
      <c r="AB85" s="335">
        <f t="shared" si="31"/>
        <v>8.2547362273411681E-2</v>
      </c>
      <c r="AC85" s="335">
        <f t="shared" si="31"/>
        <v>7.5131848797134526E-2</v>
      </c>
      <c r="AD85" s="335">
        <f t="shared" si="31"/>
        <v>6.8382496402234039E-2</v>
      </c>
      <c r="AE85" s="335">
        <f t="shared" si="31"/>
        <v>6.2239461547496142E-2</v>
      </c>
      <c r="AF85" s="335">
        <f t="shared" si="31"/>
        <v>5.6648276642847148E-2</v>
      </c>
      <c r="AG85" s="335">
        <f t="shared" si="31"/>
        <v>5.1559367109171889E-2</v>
      </c>
      <c r="AH85" s="335">
        <f t="shared" si="31"/>
        <v>4.6927611822309881E-2</v>
      </c>
      <c r="AI85" s="335">
        <f t="shared" si="31"/>
        <v>4.2711943043879028E-2</v>
      </c>
      <c r="AJ85" s="335">
        <f t="shared" si="31"/>
        <v>3.88749822916893E-2</v>
      </c>
      <c r="AK85" s="335">
        <f t="shared" si="31"/>
        <v>3.5382708921169827E-2</v>
      </c>
      <c r="AL85" s="335">
        <f t="shared" si="31"/>
        <v>3.2204158479266255E-2</v>
      </c>
      <c r="AM85" s="335">
        <f t="shared" si="31"/>
        <v>2.9311148156244884E-2</v>
      </c>
      <c r="AN85" s="335">
        <f t="shared" si="31"/>
        <v>2.6678026901105743E-2</v>
      </c>
      <c r="AO85" s="335">
        <f t="shared" si="31"/>
        <v>2.4281447984987482E-2</v>
      </c>
      <c r="AP85" s="335">
        <f t="shared" si="31"/>
        <v>2.2100161995983875E-2</v>
      </c>
    </row>
    <row r="86" spans="1:44" ht="28.5" x14ac:dyDescent="0.2">
      <c r="A86" s="249" t="s">
        <v>552</v>
      </c>
      <c r="B86" s="250">
        <f ca="1">B83*B85</f>
        <v>-15255438.959804028</v>
      </c>
      <c r="C86" s="250">
        <f ca="1">C83*C85</f>
        <v>56453.511537501166</v>
      </c>
      <c r="D86" s="250">
        <f t="shared" ref="D86:AO86" ca="1" si="32">D83*D85</f>
        <v>-164364.61534444412</v>
      </c>
      <c r="E86" s="250">
        <f t="shared" ca="1" si="32"/>
        <v>116793.97179084226</v>
      </c>
      <c r="F86" s="250">
        <f t="shared" ca="1" si="32"/>
        <v>239134.93187802273</v>
      </c>
      <c r="G86" s="250">
        <f t="shared" ca="1" si="32"/>
        <v>470645.65704548912</v>
      </c>
      <c r="H86" s="250">
        <f t="shared" ca="1" si="32"/>
        <v>436923.06184275489</v>
      </c>
      <c r="I86" s="250">
        <f t="shared" ca="1" si="32"/>
        <v>621943.02291424561</v>
      </c>
      <c r="J86" s="250">
        <f t="shared" ca="1" si="32"/>
        <v>599536.12131194188</v>
      </c>
      <c r="K86" s="250">
        <f t="shared" ca="1" si="32"/>
        <v>577377.74468956527</v>
      </c>
      <c r="L86" s="250">
        <f t="shared" ca="1" si="32"/>
        <v>555545.62978122255</v>
      </c>
      <c r="M86" s="250">
        <f t="shared" ca="1" si="32"/>
        <v>534104.29075239238</v>
      </c>
      <c r="N86" s="250">
        <f t="shared" ca="1" si="32"/>
        <v>501567.71712447295</v>
      </c>
      <c r="O86" s="250">
        <f t="shared" ca="1" si="32"/>
        <v>399251.58711104555</v>
      </c>
      <c r="P86" s="250">
        <f t="shared" ca="1" si="32"/>
        <v>383653.02023218229</v>
      </c>
      <c r="Q86" s="250">
        <f t="shared" ca="1" si="32"/>
        <v>368394.19285723701</v>
      </c>
      <c r="R86" s="250">
        <f t="shared" ca="1" si="32"/>
        <v>353504.22288050759</v>
      </c>
      <c r="S86" s="250">
        <f t="shared" ca="1" si="32"/>
        <v>339005.93594474206</v>
      </c>
      <c r="T86" s="250">
        <f t="shared" ca="1" si="32"/>
        <v>324916.68186786777</v>
      </c>
      <c r="U86" s="250">
        <f t="shared" ca="1" si="32"/>
        <v>311249.05888572469</v>
      </c>
      <c r="V86" s="250">
        <f t="shared" ca="1" si="32"/>
        <v>298011.55550947128</v>
      </c>
      <c r="W86" s="250">
        <f t="shared" ca="1" si="32"/>
        <v>285209.11878799973</v>
      </c>
      <c r="X86" s="250">
        <f t="shared" ca="1" si="32"/>
        <v>272843.65685907385</v>
      </c>
      <c r="Y86" s="250">
        <f t="shared" ca="1" si="32"/>
        <v>260914.48285785964</v>
      </c>
      <c r="Z86" s="250">
        <f t="shared" ca="1" si="32"/>
        <v>249418.70651893926</v>
      </c>
      <c r="AA86" s="250">
        <f t="shared" ca="1" si="32"/>
        <v>238351.57914955591</v>
      </c>
      <c r="AB86" s="250">
        <f t="shared" ca="1" si="32"/>
        <v>227706.79706032798</v>
      </c>
      <c r="AC86" s="250">
        <f t="shared" ca="1" si="32"/>
        <v>217476.76800831247</v>
      </c>
      <c r="AD86" s="250">
        <f t="shared" ca="1" si="32"/>
        <v>207652.84473006285</v>
      </c>
      <c r="AE86" s="250">
        <f t="shared" ca="1" si="32"/>
        <v>198225.52921381162</v>
      </c>
      <c r="AF86" s="250">
        <f t="shared" ca="1" si="32"/>
        <v>189184.65097520206</v>
      </c>
      <c r="AG86" s="250">
        <f t="shared" ca="1" si="32"/>
        <v>180010.68767391914</v>
      </c>
      <c r="AH86" s="250">
        <f t="shared" ca="1" si="32"/>
        <v>171292.8243107551</v>
      </c>
      <c r="AI86" s="250">
        <f t="shared" ca="1" si="32"/>
        <v>163007.40567676083</v>
      </c>
      <c r="AJ86" s="250">
        <f t="shared" ca="1" si="32"/>
        <v>155132.08669129416</v>
      </c>
      <c r="AK86" s="250">
        <f t="shared" ca="1" si="32"/>
        <v>147645.75305432803</v>
      </c>
      <c r="AL86" s="250">
        <f t="shared" ca="1" si="32"/>
        <v>140528.44722245712</v>
      </c>
      <c r="AM86" s="250">
        <f t="shared" ca="1" si="32"/>
        <v>133761.29931526224</v>
      </c>
      <c r="AN86" s="250">
        <f t="shared" ca="1" si="32"/>
        <v>127326.46259003409</v>
      </c>
      <c r="AO86" s="250">
        <f t="shared" ca="1" si="32"/>
        <v>121207.05315156646</v>
      </c>
      <c r="AP86" s="250">
        <f ca="1">AP83*AP85</f>
        <v>115387.09359004494</v>
      </c>
    </row>
    <row r="87" spans="1:44" ht="14.25" x14ac:dyDescent="0.2">
      <c r="A87" s="249" t="s">
        <v>553</v>
      </c>
      <c r="B87" s="250">
        <f ca="1">SUM($B$86:B86)</f>
        <v>-15255438.959804028</v>
      </c>
      <c r="C87" s="250">
        <f ca="1">SUM($B$86:C86)</f>
        <v>-15198985.448266527</v>
      </c>
      <c r="D87" s="250">
        <f ca="1">SUM($B$86:D86)</f>
        <v>-15363350.063610971</v>
      </c>
      <c r="E87" s="250">
        <f ca="1">SUM($B$86:E86)</f>
        <v>-15246556.091820128</v>
      </c>
      <c r="F87" s="250">
        <f ca="1">SUM($B$86:F86)</f>
        <v>-15007421.159942105</v>
      </c>
      <c r="G87" s="250">
        <f ca="1">SUM($B$86:G86)</f>
        <v>-14536775.502896616</v>
      </c>
      <c r="H87" s="250">
        <f ca="1">SUM($B$86:H86)</f>
        <v>-14099852.441053862</v>
      </c>
      <c r="I87" s="250">
        <f ca="1">SUM($B$86:I86)</f>
        <v>-13477909.418139616</v>
      </c>
      <c r="J87" s="250">
        <f ca="1">SUM($B$86:J86)</f>
        <v>-12878373.296827674</v>
      </c>
      <c r="K87" s="250">
        <f ca="1">SUM($B$86:K86)</f>
        <v>-12300995.552138109</v>
      </c>
      <c r="L87" s="250">
        <f ca="1">SUM($B$86:L86)</f>
        <v>-11745449.922356887</v>
      </c>
      <c r="M87" s="250">
        <f ca="1">SUM($B$86:M86)</f>
        <v>-11211345.631604495</v>
      </c>
      <c r="N87" s="250">
        <f ca="1">SUM($B$86:N86)</f>
        <v>-10709777.914480021</v>
      </c>
      <c r="O87" s="250">
        <f ca="1">SUM($B$86:O86)</f>
        <v>-10310526.327368977</v>
      </c>
      <c r="P87" s="250">
        <f ca="1">SUM($B$86:P86)</f>
        <v>-9926873.3071367946</v>
      </c>
      <c r="Q87" s="250">
        <f ca="1">SUM($B$86:Q86)</f>
        <v>-9558479.114279557</v>
      </c>
      <c r="R87" s="250">
        <f ca="1">SUM($B$86:R86)</f>
        <v>-9204974.8913990501</v>
      </c>
      <c r="S87" s="250">
        <f ca="1">SUM($B$86:S86)</f>
        <v>-8865968.9554543085</v>
      </c>
      <c r="T87" s="250">
        <f ca="1">SUM($B$86:T86)</f>
        <v>-8541052.2735864408</v>
      </c>
      <c r="U87" s="250">
        <f ca="1">SUM($B$86:U86)</f>
        <v>-8229803.2147007165</v>
      </c>
      <c r="V87" s="250">
        <f ca="1">SUM($B$86:V86)</f>
        <v>-7931791.6591912452</v>
      </c>
      <c r="W87" s="250">
        <f ca="1">SUM($B$86:W86)</f>
        <v>-7646582.540403245</v>
      </c>
      <c r="X87" s="250">
        <f ca="1">SUM($B$86:X86)</f>
        <v>-7373738.8835441712</v>
      </c>
      <c r="Y87" s="250">
        <f ca="1">SUM($B$86:Y86)</f>
        <v>-7112824.4006863115</v>
      </c>
      <c r="Z87" s="250">
        <f ca="1">SUM($B$86:Z86)</f>
        <v>-6863405.6941673718</v>
      </c>
      <c r="AA87" s="250">
        <f ca="1">SUM($B$86:AA86)</f>
        <v>-6625054.1150178155</v>
      </c>
      <c r="AB87" s="250">
        <f ca="1">SUM($B$86:AB86)</f>
        <v>-6397347.3179574879</v>
      </c>
      <c r="AC87" s="250">
        <f ca="1">SUM($B$86:AC86)</f>
        <v>-6179870.5499491757</v>
      </c>
      <c r="AD87" s="250">
        <f ca="1">SUM($B$86:AD86)</f>
        <v>-5972217.7052191133</v>
      </c>
      <c r="AE87" s="250">
        <f ca="1">SUM($B$86:AE86)</f>
        <v>-5773992.176005302</v>
      </c>
      <c r="AF87" s="250">
        <f ca="1">SUM($B$86:AF86)</f>
        <v>-5584807.5250300998</v>
      </c>
      <c r="AG87" s="250">
        <f ca="1">SUM($B$86:AG86)</f>
        <v>-5404796.8373561809</v>
      </c>
      <c r="AH87" s="250">
        <f ca="1">SUM($B$86:AH86)</f>
        <v>-5233504.0130454255</v>
      </c>
      <c r="AI87" s="250">
        <f ca="1">SUM($B$86:AI86)</f>
        <v>-5070496.6073686648</v>
      </c>
      <c r="AJ87" s="250">
        <f ca="1">SUM($B$86:AJ86)</f>
        <v>-4915364.520677371</v>
      </c>
      <c r="AK87" s="250">
        <f ca="1">SUM($B$86:AK86)</f>
        <v>-4767718.7676230427</v>
      </c>
      <c r="AL87" s="250">
        <f ca="1">SUM($B$86:AL86)</f>
        <v>-4627190.3204005854</v>
      </c>
      <c r="AM87" s="250">
        <f ca="1">SUM($B$86:AM86)</f>
        <v>-4493429.0210853228</v>
      </c>
      <c r="AN87" s="250">
        <f ca="1">SUM($B$86:AN86)</f>
        <v>-4366102.5584952887</v>
      </c>
      <c r="AO87" s="250">
        <f ca="1">SUM($B$86:AO86)</f>
        <v>-4244895.5053437222</v>
      </c>
      <c r="AP87" s="250">
        <f ca="1">SUM($B$86:AP86)</f>
        <v>-4129508.4117536773</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4.8794175590616273E-3</v>
      </c>
      <c r="S88" s="259">
        <f ca="1">IF((ISERR(IRR($B$83:S83))),0,IF(IRR($B$83:S83)&lt;0,0,IRR($B$83:S83)))</f>
        <v>1.3435787101217622E-2</v>
      </c>
      <c r="T88" s="259">
        <f ca="1">IF((ISERR(IRR($B$83:T83))),0,IF(IRR($B$83:T83)&lt;0,0,IRR($B$83:T83)))</f>
        <v>2.0940338284605398E-2</v>
      </c>
      <c r="U88" s="259">
        <f ca="1">IF((ISERR(IRR($B$83:U83))),0,IF(IRR($B$83:U83)&lt;0,0,IRR($B$83:U83)))</f>
        <v>2.7548737164168946E-2</v>
      </c>
      <c r="V88" s="259">
        <f ca="1">IF((ISERR(IRR($B$83:V83))),0,IF(IRR($B$83:V83)&lt;0,0,IRR($B$83:V83)))</f>
        <v>3.3391017150939728E-2</v>
      </c>
      <c r="W88" s="259">
        <f ca="1">IF((ISERR(IRR($B$83:W83))),0,IF(IRR($B$83:W83)&lt;0,0,IRR($B$83:W83)))</f>
        <v>3.8575747580873232E-2</v>
      </c>
      <c r="X88" s="259">
        <f ca="1">IF((ISERR(IRR($B$83:X83))),0,IF(IRR($B$83:X83)&lt;0,0,IRR($B$83:X83)))</f>
        <v>4.3193739697449551E-2</v>
      </c>
      <c r="Y88" s="259">
        <f ca="1">IF((ISERR(IRR($B$83:Y83))),0,IF(IRR($B$83:Y83)&lt;0,0,IRR($B$83:Y83)))</f>
        <v>4.7321185344520122E-2</v>
      </c>
      <c r="Z88" s="259">
        <f ca="1">IF((ISERR(IRR($B$83:Z83))),0,IF(IRR($B$83:Z83)&lt;0,0,IRR($B$83:Z83)))</f>
        <v>5.102225247491754E-2</v>
      </c>
      <c r="AA88" s="259">
        <f ca="1">IF((ISERR(IRR($B$83:AA83))),0,IF(IRR($B$83:AA83)&lt;0,0,IRR($B$83:AA83)))</f>
        <v>5.435120645254754E-2</v>
      </c>
      <c r="AB88" s="259">
        <f ca="1">IF((ISERR(IRR($B$83:AB83))),0,IF(IRR($B$83:AB83)&lt;0,0,IRR($B$83:AB83)))</f>
        <v>5.7354134940386325E-2</v>
      </c>
      <c r="AC88" s="259">
        <f ca="1">IF((ISERR(IRR($B$83:AC83))),0,IF(IRR($B$83:AC83)&lt;0,0,IRR($B$83:AC83)))</f>
        <v>6.0070348633390447E-2</v>
      </c>
      <c r="AD88" s="259">
        <f ca="1">IF((ISERR(IRR($B$83:AD83))),0,IF(IRR($B$83:AD83)&lt;0,0,IRR($B$83:AD83)))</f>
        <v>6.2533519872388865E-2</v>
      </c>
      <c r="AE88" s="259">
        <f ca="1">IF((ISERR(IRR($B$83:AE83))),0,IF(IRR($B$83:AE83)&lt;0,0,IRR($B$83:AE83)))</f>
        <v>6.4772610383578177E-2</v>
      </c>
      <c r="AF88" s="259">
        <f ca="1">IF((ISERR(IRR($B$83:AF83))),0,IF(IRR($B$83:AF83)&lt;0,0,IRR($B$83:AF83)))</f>
        <v>6.6812629627173825E-2</v>
      </c>
      <c r="AG88" s="259">
        <f ca="1">IF((ISERR(IRR($B$83:AG83))),0,IF(IRR($B$83:AG83)&lt;0,0,IRR($B$83:AG83)))</f>
        <v>6.8670189200448872E-2</v>
      </c>
      <c r="AH88" s="259">
        <f ca="1">IF((ISERR(IRR($B$83:AH83))),0,IF(IRR($B$83:AH83)&lt;0,0,IRR($B$83:AH83)))</f>
        <v>7.0365745190396289E-2</v>
      </c>
      <c r="AI88" s="259">
        <f ca="1">IF((ISERR(IRR($B$83:AI83))),0,IF(IRR($B$83:AI83)&lt;0,0,IRR($B$83:AI83)))</f>
        <v>7.191694530545778E-2</v>
      </c>
      <c r="AJ88" s="259">
        <f ca="1">IF((ISERR(IRR($B$83:AJ83))),0,IF(IRR($B$83:AJ83)&lt;0,0,IRR($B$83:AJ83)))</f>
        <v>7.3339088123593354E-2</v>
      </c>
      <c r="AK88" s="259">
        <f ca="1">IF((ISERR(IRR($B$83:AK83))),0,IF(IRR($B$83:AK83)&lt;0,0,IRR($B$83:AK83)))</f>
        <v>7.4645494906609766E-2</v>
      </c>
      <c r="AL88" s="259">
        <f ca="1">IF((ISERR(IRR($B$83:AL83))),0,IF(IRR($B$83:AL83)&lt;0,0,IRR($B$83:AL83)))</f>
        <v>7.5847813025583966E-2</v>
      </c>
      <c r="AM88" s="259">
        <f ca="1">IF((ISERR(IRR($B$83:AM83))),0,IF(IRR($B$83:AM83)&lt;0,0,IRR($B$83:AM83)))</f>
        <v>7.6956265361272314E-2</v>
      </c>
      <c r="AN88" s="259">
        <f ca="1">IF((ISERR(IRR($B$83:AN83))),0,IF(IRR($B$83:AN83)&lt;0,0,IRR($B$83:AN83)))</f>
        <v>7.7979856645354451E-2</v>
      </c>
      <c r="AO88" s="259">
        <f ca="1">IF((ISERR(IRR($B$83:AO83))),0,IF(IRR($B$83:AO83)&lt;0,0,IRR($B$83:AO83)))</f>
        <v>7.8926545205402654E-2</v>
      </c>
      <c r="AP88" s="259">
        <f ca="1">IF((ISERR(IRR($B$83:AP83))),0,IF(IRR($B$83:AP83)&lt;0,0,IRR($B$83:AP83)))</f>
        <v>7.9803386708777957E-2</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0</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16.478114894080999</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0</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2" t="s">
        <v>562</v>
      </c>
      <c r="B97" s="402"/>
      <c r="C97" s="402"/>
      <c r="D97" s="402"/>
      <c r="E97" s="402"/>
      <c r="F97" s="402"/>
      <c r="G97" s="402"/>
      <c r="H97" s="402"/>
      <c r="I97" s="402"/>
      <c r="J97" s="402"/>
      <c r="K97" s="402"/>
      <c r="L97" s="402"/>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x14ac:dyDescent="0.2">
      <c r="C98" s="267"/>
    </row>
    <row r="99" spans="1:71" s="273" customFormat="1" ht="16.5" hidden="1" thickTop="1" x14ac:dyDescent="0.2">
      <c r="A99" s="268" t="s">
        <v>563</v>
      </c>
      <c r="B99" s="269">
        <f>B81*B85</f>
        <v>-1749451.8163988274</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-1749451.8163988274</v>
      </c>
      <c r="AR99" s="272"/>
      <c r="AS99" s="272"/>
    </row>
    <row r="100" spans="1:71" s="276" customFormat="1" hidden="1" x14ac:dyDescent="0.2">
      <c r="A100" s="274">
        <f>AQ99</f>
        <v>-1749451.8163988274</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-4129508.4117536773</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0.78557321074645148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-11.745449922356887</v>
      </c>
      <c r="B105" s="283">
        <f ca="1">L88</f>
        <v>0</v>
      </c>
      <c r="C105" s="284" t="str">
        <f ca="1">G28</f>
        <v>не окупается</v>
      </c>
      <c r="D105" s="284" t="str">
        <f ca="1">G29</f>
        <v>не окупается</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37651.875030000003</v>
      </c>
      <c r="I108" s="290">
        <f t="shared" si="38"/>
        <v>75303.750060000006</v>
      </c>
      <c r="J108" s="290">
        <f t="shared" si="38"/>
        <v>112955.62509</v>
      </c>
      <c r="K108" s="290">
        <f t="shared" si="38"/>
        <v>150607.50012000001</v>
      </c>
      <c r="L108" s="290">
        <f t="shared" si="38"/>
        <v>188259.37515000004</v>
      </c>
      <c r="M108" s="290">
        <f t="shared" si="38"/>
        <v>263563.12521000003</v>
      </c>
      <c r="N108" s="290">
        <f t="shared" si="38"/>
        <v>263563.12521000003</v>
      </c>
      <c r="O108" s="290">
        <f t="shared" si="38"/>
        <v>263563.12521000003</v>
      </c>
      <c r="P108" s="290">
        <f t="shared" si="38"/>
        <v>263563.12521000003</v>
      </c>
      <c r="Q108" s="290">
        <f t="shared" si="38"/>
        <v>263563.12521000003</v>
      </c>
      <c r="R108" s="290">
        <f t="shared" si="38"/>
        <v>263563.12521000003</v>
      </c>
      <c r="S108" s="290">
        <f t="shared" si="38"/>
        <v>263563.12521000003</v>
      </c>
      <c r="T108" s="290">
        <f t="shared" si="38"/>
        <v>263563.12521000003</v>
      </c>
      <c r="U108" s="290">
        <f t="shared" si="38"/>
        <v>263563.12521000003</v>
      </c>
      <c r="V108" s="290">
        <f t="shared" si="38"/>
        <v>263563.12521000003</v>
      </c>
      <c r="W108" s="290">
        <f t="shared" si="38"/>
        <v>263563.12521000003</v>
      </c>
      <c r="X108" s="290">
        <f t="shared" si="38"/>
        <v>263563.12521000003</v>
      </c>
      <c r="Y108" s="290">
        <f t="shared" si="38"/>
        <v>263563.12521000003</v>
      </c>
      <c r="Z108" s="290">
        <f t="shared" si="38"/>
        <v>263563.12521000003</v>
      </c>
      <c r="AA108" s="290">
        <f t="shared" si="38"/>
        <v>263563.12521000003</v>
      </c>
      <c r="AB108" s="290">
        <f t="shared" si="38"/>
        <v>263563.12521000003</v>
      </c>
      <c r="AC108" s="290">
        <f t="shared" si="38"/>
        <v>263563.12521000003</v>
      </c>
      <c r="AD108" s="290">
        <f t="shared" si="38"/>
        <v>263563.12521000003</v>
      </c>
      <c r="AE108" s="290">
        <f t="shared" si="38"/>
        <v>263563.12521000003</v>
      </c>
      <c r="AF108" s="290">
        <f t="shared" si="38"/>
        <v>263563.12521000003</v>
      </c>
      <c r="AG108" s="290">
        <f t="shared" si="38"/>
        <v>263563.12521000003</v>
      </c>
      <c r="AH108" s="290">
        <f t="shared" si="38"/>
        <v>263563.12521000003</v>
      </c>
      <c r="AI108" s="290">
        <f t="shared" si="38"/>
        <v>263563.12521000003</v>
      </c>
      <c r="AJ108" s="290">
        <f t="shared" si="38"/>
        <v>263563.12521000003</v>
      </c>
      <c r="AK108" s="290">
        <f t="shared" si="38"/>
        <v>263563.12521000003</v>
      </c>
      <c r="AL108" s="290">
        <f t="shared" si="38"/>
        <v>263563.12521000003</v>
      </c>
      <c r="AM108" s="290">
        <f t="shared" si="38"/>
        <v>263563.12521000003</v>
      </c>
      <c r="AN108" s="290">
        <f t="shared" si="38"/>
        <v>263563.12521000003</v>
      </c>
      <c r="AO108" s="290">
        <f t="shared" si="38"/>
        <v>263563.12521000003</v>
      </c>
      <c r="AP108" s="290">
        <f t="shared" si="38"/>
        <v>263563.12521000003</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1.1550000000000001E-2</v>
      </c>
      <c r="I109" s="288">
        <f t="shared" si="39"/>
        <v>2.3100000000000002E-2</v>
      </c>
      <c r="J109" s="288">
        <f t="shared" si="39"/>
        <v>3.465E-2</v>
      </c>
      <c r="K109" s="288">
        <f t="shared" si="39"/>
        <v>4.6200000000000005E-2</v>
      </c>
      <c r="L109" s="288">
        <f t="shared" si="39"/>
        <v>5.775000000000001E-2</v>
      </c>
      <c r="M109" s="288">
        <f t="shared" si="39"/>
        <v>8.0850000000000005E-2</v>
      </c>
      <c r="N109" s="288">
        <f t="shared" si="39"/>
        <v>8.0850000000000005E-2</v>
      </c>
      <c r="O109" s="288">
        <f t="shared" si="39"/>
        <v>8.0850000000000005E-2</v>
      </c>
      <c r="P109" s="288">
        <f t="shared" si="39"/>
        <v>8.0850000000000005E-2</v>
      </c>
      <c r="Q109" s="288">
        <f t="shared" si="39"/>
        <v>8.0850000000000005E-2</v>
      </c>
      <c r="R109" s="288">
        <f t="shared" si="39"/>
        <v>8.0850000000000005E-2</v>
      </c>
      <c r="S109" s="288">
        <f t="shared" si="39"/>
        <v>8.0850000000000005E-2</v>
      </c>
      <c r="T109" s="288">
        <f t="shared" si="39"/>
        <v>8.0850000000000005E-2</v>
      </c>
      <c r="U109" s="288">
        <f t="shared" si="39"/>
        <v>8.0850000000000005E-2</v>
      </c>
      <c r="V109" s="288">
        <f t="shared" si="39"/>
        <v>8.0850000000000005E-2</v>
      </c>
      <c r="W109" s="288">
        <f t="shared" si="39"/>
        <v>8.0850000000000005E-2</v>
      </c>
      <c r="X109" s="288">
        <f t="shared" si="39"/>
        <v>8.0850000000000005E-2</v>
      </c>
      <c r="Y109" s="288">
        <f t="shared" si="39"/>
        <v>8.0850000000000005E-2</v>
      </c>
      <c r="Z109" s="288">
        <f t="shared" si="39"/>
        <v>8.0850000000000005E-2</v>
      </c>
      <c r="AA109" s="288">
        <f t="shared" si="39"/>
        <v>8.0850000000000005E-2</v>
      </c>
      <c r="AB109" s="288">
        <f t="shared" si="39"/>
        <v>8.0850000000000005E-2</v>
      </c>
      <c r="AC109" s="288">
        <f t="shared" si="39"/>
        <v>8.0850000000000005E-2</v>
      </c>
      <c r="AD109" s="288">
        <f t="shared" si="39"/>
        <v>8.0850000000000005E-2</v>
      </c>
      <c r="AE109" s="288">
        <f t="shared" si="39"/>
        <v>8.0850000000000005E-2</v>
      </c>
      <c r="AF109" s="288">
        <f t="shared" si="39"/>
        <v>8.0850000000000005E-2</v>
      </c>
      <c r="AG109" s="288">
        <f t="shared" si="39"/>
        <v>8.0850000000000005E-2</v>
      </c>
      <c r="AH109" s="288">
        <f t="shared" si="39"/>
        <v>8.0850000000000005E-2</v>
      </c>
      <c r="AI109" s="288">
        <f t="shared" si="39"/>
        <v>8.0850000000000005E-2</v>
      </c>
      <c r="AJ109" s="288">
        <f t="shared" si="39"/>
        <v>8.0850000000000005E-2</v>
      </c>
      <c r="AK109" s="288">
        <f t="shared" si="39"/>
        <v>8.0850000000000005E-2</v>
      </c>
      <c r="AL109" s="288">
        <f t="shared" si="39"/>
        <v>8.0850000000000005E-2</v>
      </c>
      <c r="AM109" s="288">
        <f t="shared" si="39"/>
        <v>8.0850000000000005E-2</v>
      </c>
      <c r="AN109" s="288">
        <f t="shared" si="39"/>
        <v>8.0850000000000005E-2</v>
      </c>
      <c r="AO109" s="288">
        <f t="shared" si="39"/>
        <v>8.0850000000000005E-2</v>
      </c>
      <c r="AP109" s="288">
        <f t="shared" si="39"/>
        <v>8.0850000000000005E-2</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3" t="s">
        <v>576</v>
      </c>
      <c r="C116" s="404"/>
      <c r="D116" s="403" t="s">
        <v>577</v>
      </c>
      <c r="E116" s="404"/>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344">
        <v>0.24838709677419354</v>
      </c>
      <c r="H118" s="286" t="s">
        <v>579</v>
      </c>
      <c r="I118" s="286">
        <f>$B$110*G118</f>
        <v>0.23100000000000001</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0.24838709677419354</v>
      </c>
      <c r="H120" s="286" t="s">
        <v>579</v>
      </c>
      <c r="I120" s="291">
        <f>I118</f>
        <v>0.23100000000000001</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2">
        <f>'6.2. Паспорт фин осв ввод'!F27</f>
        <v>0</v>
      </c>
      <c r="C122" s="191"/>
      <c r="D122" s="392" t="s">
        <v>284</v>
      </c>
      <c r="E122" s="301" t="s">
        <v>584</v>
      </c>
      <c r="F122" s="302">
        <v>35</v>
      </c>
      <c r="G122" s="393"/>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92"/>
      <c r="E123" s="301" t="s">
        <v>585</v>
      </c>
      <c r="F123" s="302">
        <v>30</v>
      </c>
      <c r="G123" s="393"/>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92"/>
      <c r="E124" s="301" t="s">
        <v>588</v>
      </c>
      <c r="F124" s="302">
        <v>30</v>
      </c>
      <c r="G124" s="393"/>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92"/>
      <c r="E125" s="301" t="s">
        <v>589</v>
      </c>
      <c r="F125" s="302">
        <v>30</v>
      </c>
      <c r="G125" s="393"/>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1833756</v>
      </c>
      <c r="C126" s="307">
        <f>'6.2. Паспорт фин осв ввод'!D24*1000000</f>
        <v>1833756</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621</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622</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hidden="1"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hidden="1"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hidden="1"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hidden="1"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hidden="1"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hidden="1"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hidden="1"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hidden="1"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hidden="1"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K53" sqref="K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8" t="str">
        <f>'1. паспорт местоположение'!A5:C5</f>
        <v>Год раскрытия информации: 2023 год</v>
      </c>
      <c r="B5" s="348"/>
      <c r="C5" s="348"/>
      <c r="D5" s="348"/>
      <c r="E5" s="348"/>
      <c r="F5" s="348"/>
      <c r="G5" s="348"/>
      <c r="H5" s="348"/>
      <c r="I5" s="348"/>
      <c r="J5" s="348"/>
      <c r="K5" s="348"/>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5" t="s">
        <v>7</v>
      </c>
      <c r="B7" s="355"/>
      <c r="C7" s="355"/>
      <c r="D7" s="355"/>
      <c r="E7" s="355"/>
      <c r="F7" s="355"/>
      <c r="G7" s="355"/>
      <c r="H7" s="355"/>
      <c r="I7" s="355"/>
      <c r="J7" s="355"/>
      <c r="K7" s="355"/>
    </row>
    <row r="8" spans="1:43" ht="18.75" x14ac:dyDescent="0.25">
      <c r="A8" s="355"/>
      <c r="B8" s="355"/>
      <c r="C8" s="355"/>
      <c r="D8" s="355"/>
      <c r="E8" s="355"/>
      <c r="F8" s="355"/>
      <c r="G8" s="355"/>
      <c r="H8" s="355"/>
      <c r="I8" s="355"/>
      <c r="J8" s="355"/>
      <c r="K8" s="355"/>
    </row>
    <row r="9" spans="1:43"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row>
    <row r="10" spans="1:43" x14ac:dyDescent="0.25">
      <c r="A10" s="359" t="s">
        <v>6</v>
      </c>
      <c r="B10" s="359"/>
      <c r="C10" s="359"/>
      <c r="D10" s="359"/>
      <c r="E10" s="359"/>
      <c r="F10" s="359"/>
      <c r="G10" s="359"/>
      <c r="H10" s="359"/>
      <c r="I10" s="359"/>
      <c r="J10" s="359"/>
      <c r="K10" s="359"/>
    </row>
    <row r="11" spans="1:43" ht="18.75" x14ac:dyDescent="0.25">
      <c r="A11" s="355"/>
      <c r="B11" s="355"/>
      <c r="C11" s="355"/>
      <c r="D11" s="355"/>
      <c r="E11" s="355"/>
      <c r="F11" s="355"/>
      <c r="G11" s="355"/>
      <c r="H11" s="355"/>
      <c r="I11" s="355"/>
      <c r="J11" s="355"/>
      <c r="K11" s="355"/>
    </row>
    <row r="12" spans="1:43" x14ac:dyDescent="0.25">
      <c r="A12" s="360" t="str">
        <f>'1. паспорт местоположение'!A12:C12</f>
        <v>L_21-09</v>
      </c>
      <c r="B12" s="360"/>
      <c r="C12" s="360"/>
      <c r="D12" s="360"/>
      <c r="E12" s="360"/>
      <c r="F12" s="360"/>
      <c r="G12" s="360"/>
      <c r="H12" s="360"/>
      <c r="I12" s="360"/>
      <c r="J12" s="360"/>
      <c r="K12" s="360"/>
    </row>
    <row r="13" spans="1:43" x14ac:dyDescent="0.25">
      <c r="A13" s="359" t="s">
        <v>5</v>
      </c>
      <c r="B13" s="359"/>
      <c r="C13" s="359"/>
      <c r="D13" s="359"/>
      <c r="E13" s="359"/>
      <c r="F13" s="359"/>
      <c r="G13" s="359"/>
      <c r="H13" s="359"/>
      <c r="I13" s="359"/>
      <c r="J13" s="359"/>
      <c r="K13" s="359"/>
    </row>
    <row r="14" spans="1:43" ht="18.75" x14ac:dyDescent="0.25">
      <c r="A14" s="361"/>
      <c r="B14" s="361"/>
      <c r="C14" s="361"/>
      <c r="D14" s="361"/>
      <c r="E14" s="361"/>
      <c r="F14" s="361"/>
      <c r="G14" s="361"/>
      <c r="H14" s="361"/>
      <c r="I14" s="361"/>
      <c r="J14" s="361"/>
      <c r="K14" s="361"/>
    </row>
    <row r="15" spans="1:43" x14ac:dyDescent="0.25">
      <c r="A15" s="353" t="str">
        <f>'1. паспорт местоположение'!A15:C15</f>
        <v>Строительство сетей электроснабжения дошкольного учереждения в Калининграде п. Васильково</v>
      </c>
      <c r="B15" s="353"/>
      <c r="C15" s="353"/>
      <c r="D15" s="353"/>
      <c r="E15" s="353"/>
      <c r="F15" s="353"/>
      <c r="G15" s="353"/>
      <c r="H15" s="353"/>
      <c r="I15" s="353"/>
      <c r="J15" s="353"/>
      <c r="K15" s="353"/>
    </row>
    <row r="16" spans="1:43" x14ac:dyDescent="0.25">
      <c r="A16" s="349" t="s">
        <v>4</v>
      </c>
      <c r="B16" s="349"/>
      <c r="C16" s="349"/>
      <c r="D16" s="349"/>
      <c r="E16" s="349"/>
      <c r="F16" s="349"/>
      <c r="G16" s="349"/>
      <c r="H16" s="349"/>
      <c r="I16" s="349"/>
      <c r="J16" s="349"/>
      <c r="K16" s="349"/>
    </row>
    <row r="17" spans="1:11" ht="15.75" customHeight="1" x14ac:dyDescent="0.25"/>
    <row r="18" spans="1:11" x14ac:dyDescent="0.25">
      <c r="K18" s="24"/>
    </row>
    <row r="19" spans="1:11" ht="15.75" customHeight="1" x14ac:dyDescent="0.25">
      <c r="A19" s="417" t="s">
        <v>392</v>
      </c>
      <c r="B19" s="417"/>
      <c r="C19" s="417"/>
      <c r="D19" s="417"/>
      <c r="E19" s="417"/>
      <c r="F19" s="417"/>
      <c r="G19" s="417"/>
      <c r="H19" s="417"/>
      <c r="I19" s="417"/>
      <c r="J19" s="417"/>
      <c r="K19" s="417"/>
    </row>
    <row r="20" spans="1:11" x14ac:dyDescent="0.25">
      <c r="A20" s="35"/>
      <c r="B20" s="35"/>
    </row>
    <row r="21" spans="1:11" ht="28.5" customHeight="1" x14ac:dyDescent="0.25">
      <c r="A21" s="412" t="s">
        <v>199</v>
      </c>
      <c r="B21" s="412" t="s">
        <v>483</v>
      </c>
      <c r="C21" s="412" t="s">
        <v>351</v>
      </c>
      <c r="D21" s="412"/>
      <c r="E21" s="412"/>
      <c r="F21" s="412"/>
      <c r="G21" s="412"/>
      <c r="H21" s="412"/>
      <c r="I21" s="412" t="s">
        <v>198</v>
      </c>
      <c r="J21" s="413" t="s">
        <v>352</v>
      </c>
      <c r="K21" s="412" t="s">
        <v>197</v>
      </c>
    </row>
    <row r="22" spans="1:11" ht="58.5" customHeight="1" x14ac:dyDescent="0.25">
      <c r="A22" s="412"/>
      <c r="B22" s="412"/>
      <c r="C22" s="416" t="s">
        <v>534</v>
      </c>
      <c r="D22" s="416"/>
      <c r="E22" s="416" t="s">
        <v>9</v>
      </c>
      <c r="F22" s="416"/>
      <c r="G22" s="416" t="s">
        <v>535</v>
      </c>
      <c r="H22" s="416"/>
      <c r="I22" s="412"/>
      <c r="J22" s="414"/>
      <c r="K22" s="412"/>
    </row>
    <row r="23" spans="1:11" ht="31.5" x14ac:dyDescent="0.25">
      <c r="A23" s="412"/>
      <c r="B23" s="412"/>
      <c r="C23" s="156" t="s">
        <v>196</v>
      </c>
      <c r="D23" s="156" t="s">
        <v>195</v>
      </c>
      <c r="E23" s="156" t="s">
        <v>196</v>
      </c>
      <c r="F23" s="156" t="s">
        <v>195</v>
      </c>
      <c r="G23" s="156" t="s">
        <v>196</v>
      </c>
      <c r="H23" s="156" t="s">
        <v>195</v>
      </c>
      <c r="I23" s="412"/>
      <c r="J23" s="415"/>
      <c r="K23" s="412"/>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44088</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44271</v>
      </c>
      <c r="H35" s="162">
        <v>44285</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78.75"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44271</v>
      </c>
      <c r="H40" s="162">
        <v>44285</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44285</v>
      </c>
      <c r="H43" s="162">
        <v>44470</v>
      </c>
      <c r="I43" s="174"/>
      <c r="J43" s="153"/>
      <c r="K43" s="153"/>
    </row>
    <row r="44" spans="1:11" x14ac:dyDescent="0.25">
      <c r="A44" s="156" t="s">
        <v>516</v>
      </c>
      <c r="B44" s="165" t="s">
        <v>189</v>
      </c>
      <c r="C44" s="185" t="s">
        <v>537</v>
      </c>
      <c r="D44" s="185" t="s">
        <v>537</v>
      </c>
      <c r="E44" s="173">
        <v>43084</v>
      </c>
      <c r="F44" s="173">
        <v>43266</v>
      </c>
      <c r="G44" s="162">
        <v>44285</v>
      </c>
      <c r="H44" s="162">
        <v>44470</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86">
        <v>44317</v>
      </c>
      <c r="H47" s="186">
        <v>44531</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86">
        <v>44317</v>
      </c>
      <c r="H49" s="186">
        <v>44531</v>
      </c>
      <c r="I49" s="174"/>
      <c r="J49" s="153"/>
      <c r="K49" s="153"/>
    </row>
    <row r="50" spans="1:11" ht="78.75" x14ac:dyDescent="0.25">
      <c r="A50" s="163" t="s">
        <v>523</v>
      </c>
      <c r="B50" s="165" t="s">
        <v>522</v>
      </c>
      <c r="C50" s="162" t="s">
        <v>537</v>
      </c>
      <c r="D50" s="162" t="s">
        <v>537</v>
      </c>
      <c r="E50" s="173">
        <v>43343</v>
      </c>
      <c r="F50" s="173">
        <v>43343</v>
      </c>
      <c r="G50" s="186">
        <v>44531</v>
      </c>
      <c r="H50" s="162">
        <v>44561</v>
      </c>
      <c r="I50" s="174"/>
      <c r="J50" s="153"/>
      <c r="K50" s="153"/>
    </row>
    <row r="51" spans="1:11" ht="63" x14ac:dyDescent="0.25">
      <c r="A51" s="156" t="s">
        <v>525</v>
      </c>
      <c r="B51" s="165" t="s">
        <v>524</v>
      </c>
      <c r="C51" s="162" t="s">
        <v>537</v>
      </c>
      <c r="D51" s="162" t="s">
        <v>537</v>
      </c>
      <c r="E51" s="173">
        <v>43343</v>
      </c>
      <c r="F51" s="173">
        <v>43343</v>
      </c>
      <c r="G51" s="186">
        <v>44531</v>
      </c>
      <c r="H51" s="162">
        <v>44561</v>
      </c>
      <c r="I51" s="174"/>
      <c r="J51" s="153"/>
      <c r="K51" s="153"/>
    </row>
    <row r="52" spans="1:11" ht="63" x14ac:dyDescent="0.25">
      <c r="A52" s="156" t="s">
        <v>526</v>
      </c>
      <c r="B52" s="165" t="s">
        <v>185</v>
      </c>
      <c r="C52" s="162" t="s">
        <v>537</v>
      </c>
      <c r="D52" s="162" t="s">
        <v>537</v>
      </c>
      <c r="E52" s="173"/>
      <c r="F52" s="173"/>
      <c r="G52" s="162"/>
      <c r="H52" s="162">
        <v>44682</v>
      </c>
      <c r="I52" s="174"/>
      <c r="J52" s="153"/>
      <c r="K52" s="153"/>
    </row>
    <row r="53" spans="1:11" ht="31.5" x14ac:dyDescent="0.25">
      <c r="A53" s="156" t="s">
        <v>528</v>
      </c>
      <c r="B53" s="165" t="s">
        <v>527</v>
      </c>
      <c r="C53" s="187" t="s">
        <v>537</v>
      </c>
      <c r="D53" s="187" t="s">
        <v>537</v>
      </c>
      <c r="E53" s="173">
        <v>43343</v>
      </c>
      <c r="F53" s="173">
        <v>43343</v>
      </c>
      <c r="G53" s="186">
        <v>44531</v>
      </c>
      <c r="H53" s="162">
        <v>44561</v>
      </c>
      <c r="I53" s="174"/>
      <c r="J53" s="153"/>
      <c r="K53" s="153"/>
    </row>
    <row r="54" spans="1:11" ht="31.5" x14ac:dyDescent="0.25">
      <c r="A54" s="156" t="s">
        <v>532</v>
      </c>
      <c r="B54" s="165" t="s">
        <v>184</v>
      </c>
      <c r="C54" s="187" t="s">
        <v>537</v>
      </c>
      <c r="D54" s="187" t="s">
        <v>537</v>
      </c>
      <c r="E54" s="173">
        <v>43353</v>
      </c>
      <c r="F54" s="173">
        <v>43353</v>
      </c>
      <c r="G54" s="186">
        <v>44531</v>
      </c>
      <c r="H54" s="162">
        <v>44561</v>
      </c>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2023-03-26T14:44:49Z</dcterms:modified>
</cp:coreProperties>
</file>