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23\L 21-23 паспорт_карта\"/>
    </mc:Choice>
  </mc:AlternateContent>
  <xr:revisionPtr revIDLastSave="0" documentId="13_ncr:1_{D7A0D5D7-ED08-4D7C-B078-0D42960BF81B}" xr6:coauthVersionLast="47" xr6:coauthVersionMax="47" xr10:uidLastSave="{00000000-0000-0000-0000-000000000000}"/>
  <bookViews>
    <workbookView xWindow="330" yWindow="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24" i="6" l="1"/>
  <c r="F25" i="29"/>
  <c r="F26" i="29"/>
  <c r="F27" i="29"/>
  <c r="F28" i="29"/>
  <c r="F29" i="29"/>
  <c r="F31" i="29"/>
  <c r="F32" i="29"/>
  <c r="F33" i="29"/>
  <c r="F34" i="29"/>
  <c r="F35" i="29"/>
  <c r="F36" i="29"/>
  <c r="F37" i="29"/>
  <c r="F38" i="29"/>
  <c r="F39" i="29"/>
  <c r="F40" i="29"/>
  <c r="F41" i="29"/>
  <c r="F42" i="29"/>
  <c r="F43" i="29"/>
  <c r="F44" i="29"/>
  <c r="F45" i="29"/>
  <c r="F46" i="29"/>
  <c r="F47" i="29"/>
  <c r="F48" i="29"/>
  <c r="F49" i="29"/>
  <c r="F50" i="29"/>
  <c r="F51" i="29"/>
  <c r="F53" i="29"/>
  <c r="F54" i="29"/>
  <c r="F55" i="29"/>
  <c r="F56" i="29"/>
  <c r="F57" i="29"/>
  <c r="F59" i="29"/>
  <c r="F60" i="29"/>
  <c r="F61" i="29"/>
  <c r="F62" i="29"/>
  <c r="F63" i="29"/>
  <c r="F64" i="29"/>
  <c r="F24" i="29"/>
  <c r="AG24" i="29"/>
  <c r="AG30" i="29"/>
  <c r="B27" i="26"/>
  <c r="AG33" i="29"/>
  <c r="R52" i="29" l="1"/>
  <c r="F30" i="29"/>
  <c r="R58" i="29" l="1"/>
  <c r="F58" i="29" s="1"/>
  <c r="F52" i="29"/>
  <c r="AG31" i="29"/>
  <c r="AG34" i="29" l="1"/>
  <c r="AG32" i="29"/>
  <c r="C81" i="32"/>
  <c r="AG25" i="29"/>
  <c r="AG26" i="29"/>
  <c r="AG28" i="29"/>
  <c r="AG29" i="29"/>
  <c r="AG35" i="29"/>
  <c r="AG36" i="29"/>
  <c r="AG37" i="29"/>
  <c r="AG38" i="29"/>
  <c r="AG39" i="29"/>
  <c r="AG40" i="29"/>
  <c r="AG41" i="29"/>
  <c r="AG42" i="29"/>
  <c r="AG43" i="29"/>
  <c r="AG44" i="29"/>
  <c r="AG45" i="29"/>
  <c r="AG46" i="29"/>
  <c r="AG47" i="29"/>
  <c r="AG48" i="29"/>
  <c r="AG49" i="29"/>
  <c r="AG50" i="29"/>
  <c r="AG51" i="29"/>
  <c r="AG53" i="29"/>
  <c r="AG54" i="29"/>
  <c r="AG55" i="29"/>
  <c r="AG56" i="29"/>
  <c r="AG57" i="29"/>
  <c r="AG59" i="29"/>
  <c r="AG60" i="29"/>
  <c r="AG61" i="29"/>
  <c r="AG62" i="29"/>
  <c r="AG63" i="29"/>
  <c r="AG64" i="29"/>
  <c r="A5" i="32"/>
  <c r="C49" i="32"/>
  <c r="B81" i="32" l="1"/>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AG27" i="29" l="1"/>
  <c r="B24" i="32" l="1"/>
  <c r="C50" i="7"/>
  <c r="C67" i="32" l="1"/>
  <c r="D67" i="32" s="1"/>
  <c r="E67" i="32" s="1"/>
  <c r="F67" i="32" s="1"/>
  <c r="G67" i="32" s="1"/>
  <c r="AG52" i="29"/>
  <c r="B28" i="32"/>
  <c r="H60" i="32" s="1"/>
  <c r="B49" i="32"/>
  <c r="B58" i="32" s="1"/>
  <c r="B34" i="32"/>
  <c r="J61" i="32" s="1"/>
  <c r="D65" i="32" l="1"/>
  <c r="D59" i="32" s="1"/>
  <c r="D66" i="32" s="1"/>
  <c r="H67" i="32"/>
  <c r="G65" i="32"/>
  <c r="G59" i="32" s="1"/>
  <c r="G66" i="32" s="1"/>
  <c r="E65" i="32"/>
  <c r="E59" i="32" s="1"/>
  <c r="E66" i="32" s="1"/>
  <c r="C65" i="32"/>
  <c r="C59" i="32" s="1"/>
  <c r="C66" i="32" s="1"/>
  <c r="F65" i="32"/>
  <c r="F59" i="32" s="1"/>
  <c r="F66" i="32" s="1"/>
  <c r="AG58" i="29"/>
  <c r="R61" i="32"/>
  <c r="C68" i="32"/>
  <c r="C51" i="7"/>
  <c r="B79" i="32"/>
  <c r="C79" i="32" s="1"/>
  <c r="B66" i="32"/>
  <c r="B68" i="32" s="1"/>
  <c r="B80" i="32"/>
  <c r="N60" i="32"/>
  <c r="I67" i="32" l="1"/>
  <c r="H65" i="32"/>
  <c r="H59" i="32" s="1"/>
  <c r="H66" i="32" s="1"/>
  <c r="C76" i="32"/>
  <c r="D81" i="32"/>
  <c r="E68" i="32" s="1"/>
  <c r="T60" i="32"/>
  <c r="B70" i="32"/>
  <c r="B71" i="32" s="1"/>
  <c r="B75" i="32"/>
  <c r="C70" i="32"/>
  <c r="C71" i="32" s="1"/>
  <c r="C72" i="32" s="1"/>
  <c r="C75" i="32"/>
  <c r="Z61" i="32"/>
  <c r="D76" i="32"/>
  <c r="D68" i="32"/>
  <c r="B25" i="26"/>
  <c r="J67" i="32" l="1"/>
  <c r="I65" i="32"/>
  <c r="I59" i="32" s="1"/>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60" i="32"/>
  <c r="E75" i="32"/>
  <c r="E70" i="32"/>
  <c r="E71" i="32" s="1"/>
  <c r="E72" i="32" s="1"/>
  <c r="D75" i="32"/>
  <c r="D70" i="32"/>
  <c r="D71" i="32" s="1"/>
  <c r="D72" i="32" s="1"/>
  <c r="B72" i="32"/>
  <c r="B78" i="32"/>
  <c r="B83" i="32" s="1"/>
  <c r="Z79" i="32" l="1"/>
  <c r="AA79" i="32" s="1"/>
  <c r="AB79" i="32" s="1"/>
  <c r="AC79" i="32" s="1"/>
  <c r="AD79" i="32" s="1"/>
  <c r="AE79" i="32" s="1"/>
  <c r="K67" i="32"/>
  <c r="J65" i="32"/>
  <c r="J59" i="32" s="1"/>
  <c r="J66" i="32" s="1"/>
  <c r="F76" i="32"/>
  <c r="C78" i="32"/>
  <c r="C83" i="32" s="1"/>
  <c r="C86" i="32" s="1"/>
  <c r="B86" i="32"/>
  <c r="B88" i="32"/>
  <c r="B84" i="32"/>
  <c r="B89" i="32" s="1"/>
  <c r="F75" i="32"/>
  <c r="F70" i="32"/>
  <c r="F71" i="32" s="1"/>
  <c r="L67" i="32" l="1"/>
  <c r="K65" i="32"/>
  <c r="K59" i="32" s="1"/>
  <c r="K66" i="32" s="1"/>
  <c r="G76" i="32"/>
  <c r="D78" i="32"/>
  <c r="D83" i="32" s="1"/>
  <c r="D86" i="32" s="1"/>
  <c r="D87" i="32" s="1"/>
  <c r="G68" i="32"/>
  <c r="G75" i="32" s="1"/>
  <c r="C88" i="32"/>
  <c r="C84" i="32"/>
  <c r="C89" i="32" s="1"/>
  <c r="H76" i="32"/>
  <c r="H68" i="32"/>
  <c r="F72" i="32"/>
  <c r="C87" i="32"/>
  <c r="B87" i="32"/>
  <c r="B90" i="32" s="1"/>
  <c r="E78" i="32" l="1"/>
  <c r="E83" i="32" s="1"/>
  <c r="E86" i="32" s="1"/>
  <c r="E84" i="32"/>
  <c r="M67" i="32"/>
  <c r="L65" i="32"/>
  <c r="L59" i="32" s="1"/>
  <c r="L66" i="32" s="1"/>
  <c r="D84" i="32"/>
  <c r="D89" i="32" s="1"/>
  <c r="D88" i="32"/>
  <c r="G70" i="32"/>
  <c r="G71" i="32" s="1"/>
  <c r="G72" i="32" s="1"/>
  <c r="H75" i="32"/>
  <c r="H70" i="32"/>
  <c r="H71" i="32" s="1"/>
  <c r="C90" i="32"/>
  <c r="I76" i="32"/>
  <c r="I68" i="32"/>
  <c r="E88" i="32"/>
  <c r="D90" i="32"/>
  <c r="D26" i="5"/>
  <c r="F78" i="32" l="1"/>
  <c r="F83" i="32" s="1"/>
  <c r="F88" i="32" s="1"/>
  <c r="N67" i="32"/>
  <c r="M65" i="32"/>
  <c r="M59" i="32" s="1"/>
  <c r="M66" i="32" s="1"/>
  <c r="E89" i="32"/>
  <c r="G78" i="32"/>
  <c r="G83" i="32" s="1"/>
  <c r="G84" i="32" s="1"/>
  <c r="F86" i="32"/>
  <c r="F87" i="32" s="1"/>
  <c r="F84" i="32"/>
  <c r="F89" i="32" s="1"/>
  <c r="I75" i="32"/>
  <c r="I70" i="32"/>
  <c r="I71" i="32" s="1"/>
  <c r="E87" i="32"/>
  <c r="E90" i="32" s="1"/>
  <c r="J68" i="32"/>
  <c r="J76" i="32"/>
  <c r="H72" i="32"/>
  <c r="O67" i="32" l="1"/>
  <c r="N65" i="32"/>
  <c r="N59" i="32" s="1"/>
  <c r="N66" i="32" s="1"/>
  <c r="G88" i="32"/>
  <c r="G86" i="32"/>
  <c r="G87" i="32" s="1"/>
  <c r="G90" i="32" s="1"/>
  <c r="H78" i="32"/>
  <c r="H83" i="32" s="1"/>
  <c r="H84" i="32" s="1"/>
  <c r="H89" i="32" s="1"/>
  <c r="G89" i="32"/>
  <c r="K68" i="32"/>
  <c r="K76" i="32"/>
  <c r="I72" i="32"/>
  <c r="J75" i="32"/>
  <c r="J70" i="32"/>
  <c r="J71" i="32" s="1"/>
  <c r="J72" i="32" s="1"/>
  <c r="F90" i="32"/>
  <c r="P67" i="32" l="1"/>
  <c r="O65" i="32"/>
  <c r="O59" i="32" s="1"/>
  <c r="O66" i="32" s="1"/>
  <c r="H88" i="32"/>
  <c r="H86" i="32"/>
  <c r="H87" i="32" s="1"/>
  <c r="H90" i="32" s="1"/>
  <c r="I78" i="32"/>
  <c r="I83" i="32" s="1"/>
  <c r="I88" i="32" s="1"/>
  <c r="K75" i="32"/>
  <c r="K70" i="32"/>
  <c r="K71" i="32" s="1"/>
  <c r="L68" i="32"/>
  <c r="L76" i="32"/>
  <c r="G26" i="5"/>
  <c r="Q67" i="32" l="1"/>
  <c r="P65" i="32"/>
  <c r="P59" i="32" s="1"/>
  <c r="P66" i="32" s="1"/>
  <c r="J78" i="32"/>
  <c r="J83" i="32" s="1"/>
  <c r="J84" i="32" s="1"/>
  <c r="I86" i="32"/>
  <c r="I87" i="32" s="1"/>
  <c r="I90" i="32" s="1"/>
  <c r="I84" i="32"/>
  <c r="I89" i="32" s="1"/>
  <c r="M68" i="32"/>
  <c r="M76" i="32"/>
  <c r="L75" i="32"/>
  <c r="L70" i="32"/>
  <c r="L71" i="32" s="1"/>
  <c r="K72" i="32"/>
  <c r="R67" i="32" l="1"/>
  <c r="Q65" i="32"/>
  <c r="Q59" i="32" s="1"/>
  <c r="Q66" i="32" s="1"/>
  <c r="J88" i="32"/>
  <c r="J89" i="32"/>
  <c r="J86" i="32"/>
  <c r="J87" i="32" s="1"/>
  <c r="J90" i="32" s="1"/>
  <c r="K78" i="32"/>
  <c r="K83" i="32" s="1"/>
  <c r="K86" i="32" s="1"/>
  <c r="L72" i="32"/>
  <c r="N68" i="32"/>
  <c r="N76" i="32"/>
  <c r="M70" i="32"/>
  <c r="M71" i="32" s="1"/>
  <c r="M75" i="32"/>
  <c r="S67" i="32" l="1"/>
  <c r="R65" i="32"/>
  <c r="R59" i="32" s="1"/>
  <c r="R66" i="32" s="1"/>
  <c r="K87" i="32"/>
  <c r="K90" i="32" s="1"/>
  <c r="L78" i="32"/>
  <c r="L83" i="32" s="1"/>
  <c r="L84" i="32" s="1"/>
  <c r="K88" i="32"/>
  <c r="K84" i="32"/>
  <c r="K89" i="32" s="1"/>
  <c r="O76" i="32"/>
  <c r="O68" i="32"/>
  <c r="M72" i="32"/>
  <c r="N75" i="32"/>
  <c r="N70" i="32"/>
  <c r="N71" i="32" s="1"/>
  <c r="N72" i="32" s="1"/>
  <c r="T67" i="32" l="1"/>
  <c r="S65" i="32"/>
  <c r="S59" i="32" s="1"/>
  <c r="S66" i="32" s="1"/>
  <c r="L88" i="32"/>
  <c r="L89" i="32"/>
  <c r="L86" i="32"/>
  <c r="L87" i="32" s="1"/>
  <c r="M78" i="32"/>
  <c r="M83" i="32" s="1"/>
  <c r="M86" i="32" s="1"/>
  <c r="P76" i="32"/>
  <c r="P68" i="32"/>
  <c r="O75" i="32"/>
  <c r="O70" i="32"/>
  <c r="O71" i="32" s="1"/>
  <c r="O72" i="32" s="1"/>
  <c r="U67" i="32" l="1"/>
  <c r="T65" i="32"/>
  <c r="T59" i="32" s="1"/>
  <c r="T66" i="32" s="1"/>
  <c r="L90" i="32"/>
  <c r="G29" i="32"/>
  <c r="M87" i="32"/>
  <c r="M90" i="32" s="1"/>
  <c r="N78" i="32"/>
  <c r="N83" i="32" s="1"/>
  <c r="N86" i="32" s="1"/>
  <c r="N87" i="32" s="1"/>
  <c r="M88" i="32"/>
  <c r="M84" i="32"/>
  <c r="M89" i="32" s="1"/>
  <c r="P70" i="32"/>
  <c r="P71" i="32" s="1"/>
  <c r="P75" i="32"/>
  <c r="Q76" i="32"/>
  <c r="Q68" i="32"/>
  <c r="V67" i="32" l="1"/>
  <c r="U65" i="32"/>
  <c r="U59" i="32" s="1"/>
  <c r="U66" i="32" s="1"/>
  <c r="N90" i="32"/>
  <c r="N84" i="32"/>
  <c r="N89" i="32" s="1"/>
  <c r="N88" i="32"/>
  <c r="O78" i="32"/>
  <c r="O83" i="32" s="1"/>
  <c r="O88" i="32" s="1"/>
  <c r="P72" i="32"/>
  <c r="Q70" i="32"/>
  <c r="Q71" i="32" s="1"/>
  <c r="Q75" i="32"/>
  <c r="R76" i="32"/>
  <c r="R68" i="32"/>
  <c r="W67" i="32" l="1"/>
  <c r="V65" i="32"/>
  <c r="V59" i="32" s="1"/>
  <c r="V66" i="32" s="1"/>
  <c r="O86" i="32"/>
  <c r="O87" i="32" s="1"/>
  <c r="O90" i="32" s="1"/>
  <c r="O84" i="32"/>
  <c r="O89" i="32" s="1"/>
  <c r="P78" i="32"/>
  <c r="P83" i="32" s="1"/>
  <c r="P86" i="32" s="1"/>
  <c r="S68" i="32"/>
  <c r="S76" i="32"/>
  <c r="R70" i="32"/>
  <c r="R71" i="32" s="1"/>
  <c r="R75" i="32"/>
  <c r="Q72" i="32"/>
  <c r="X67" i="32" l="1"/>
  <c r="W65" i="32"/>
  <c r="W59" i="32" s="1"/>
  <c r="W66" i="32" s="1"/>
  <c r="Q78" i="32"/>
  <c r="Q83" i="32" s="1"/>
  <c r="Q86" i="32" s="1"/>
  <c r="Q87" i="32" s="1"/>
  <c r="P87" i="32"/>
  <c r="P90" i="32" s="1"/>
  <c r="P84" i="32"/>
  <c r="P89" i="32" s="1"/>
  <c r="P88" i="32"/>
  <c r="T76" i="32"/>
  <c r="T68" i="32"/>
  <c r="R72" i="32"/>
  <c r="S75" i="32"/>
  <c r="S70" i="32"/>
  <c r="S71" i="32" s="1"/>
  <c r="Q84" i="32" l="1"/>
  <c r="Q89" i="32" s="1"/>
  <c r="Y67" i="32"/>
  <c r="X65" i="32"/>
  <c r="X59" i="32" s="1"/>
  <c r="X66" i="32" s="1"/>
  <c r="R78" i="32"/>
  <c r="R83" i="32" s="1"/>
  <c r="R84" i="32" s="1"/>
  <c r="Q88" i="32"/>
  <c r="Q90" i="32"/>
  <c r="U76" i="32"/>
  <c r="U68" i="32"/>
  <c r="T75" i="32"/>
  <c r="T70" i="32"/>
  <c r="T71" i="32" s="1"/>
  <c r="S72" i="32"/>
  <c r="R89" i="32" l="1"/>
  <c r="Z67" i="32"/>
  <c r="Y65" i="32"/>
  <c r="Y59" i="32" s="1"/>
  <c r="Y66" i="32" s="1"/>
  <c r="R88" i="32"/>
  <c r="R86" i="32"/>
  <c r="R87" i="32" s="1"/>
  <c r="R90" i="32" s="1"/>
  <c r="S78" i="32"/>
  <c r="S83" i="32" s="1"/>
  <c r="S86" i="32" s="1"/>
  <c r="T72" i="32"/>
  <c r="V68" i="32"/>
  <c r="V76" i="32"/>
  <c r="U75" i="32"/>
  <c r="U70" i="32"/>
  <c r="U71" i="32" s="1"/>
  <c r="U72" i="32" s="1"/>
  <c r="AA67" i="32" l="1"/>
  <c r="Z65" i="32"/>
  <c r="Z59" i="32" s="1"/>
  <c r="Z66" i="32" s="1"/>
  <c r="T78" i="32"/>
  <c r="U78" i="32" s="1"/>
  <c r="U83" i="32" s="1"/>
  <c r="U86" i="32" s="1"/>
  <c r="S87" i="32"/>
  <c r="S90" i="32" s="1"/>
  <c r="S84" i="32"/>
  <c r="S89" i="32" s="1"/>
  <c r="S88" i="32"/>
  <c r="W68" i="32"/>
  <c r="W76" i="32"/>
  <c r="V75" i="32"/>
  <c r="V70" i="32"/>
  <c r="V71" i="32" s="1"/>
  <c r="T83" i="32" l="1"/>
  <c r="U84" i="32" s="1"/>
  <c r="AB67" i="32"/>
  <c r="AA65" i="32"/>
  <c r="AA59" i="32" s="1"/>
  <c r="AA66" i="32" s="1"/>
  <c r="W75" i="32"/>
  <c r="W70" i="32"/>
  <c r="V72" i="32"/>
  <c r="V78" i="32"/>
  <c r="V83" i="32" s="1"/>
  <c r="V86" i="32" s="1"/>
  <c r="X76" i="32"/>
  <c r="X68" i="32"/>
  <c r="T88" i="32" l="1"/>
  <c r="U88" i="32"/>
  <c r="T84" i="32"/>
  <c r="T89" i="32" s="1"/>
  <c r="T86" i="32"/>
  <c r="V87" i="32" s="1"/>
  <c r="AC67" i="32"/>
  <c r="AB65" i="32"/>
  <c r="AB59" i="32" s="1"/>
  <c r="AB66" i="32" s="1"/>
  <c r="V88" i="32"/>
  <c r="V84" i="32"/>
  <c r="V89" i="32" s="1"/>
  <c r="X75" i="32"/>
  <c r="X70" i="32"/>
  <c r="X71" i="32" s="1"/>
  <c r="X72" i="32" s="1"/>
  <c r="Y68" i="32"/>
  <c r="Y76" i="32"/>
  <c r="W71" i="32"/>
  <c r="W72" i="32" s="1"/>
  <c r="U89" i="32" l="1"/>
  <c r="U87" i="32"/>
  <c r="V90" i="32" s="1"/>
  <c r="T87" i="32"/>
  <c r="T90" i="32" s="1"/>
  <c r="AD67" i="32"/>
  <c r="AC65" i="32"/>
  <c r="AC59" i="32" s="1"/>
  <c r="AC66" i="32" s="1"/>
  <c r="Y75" i="32"/>
  <c r="Y70" i="32"/>
  <c r="Y71" i="32" s="1"/>
  <c r="Z68" i="32"/>
  <c r="Z76" i="32"/>
  <c r="W78" i="32"/>
  <c r="W83" i="32" s="1"/>
  <c r="U90" i="32" l="1"/>
  <c r="AE67" i="32"/>
  <c r="AE65" i="32" s="1"/>
  <c r="AE59" i="32" s="1"/>
  <c r="AE66" i="32" s="1"/>
  <c r="AD65" i="32"/>
  <c r="AD59" i="32" s="1"/>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C22" i="6" s="1"/>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<sst xmlns="http://schemas.openxmlformats.org/spreadsheetml/2006/main" count="1429" uniqueCount="590">
  <si>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</si>
  <si>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</si>
  <si>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</si>
  <si>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</si>
  <si>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</si>
  <si>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</si>
  <si>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</si>
  <si>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</si>
  <si>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</si>
  <si>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</si>
  <si>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</si>
  <si>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</si>
  <si>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</si>
  <si>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</si>
  <si>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</si>
  <si>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</si>
  <si>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</si>
  <si>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</si>
  <si>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</si>
  <si>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</si>
  <si>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</si>
  <si>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</si>
  <si>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</si>
  <si>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</si>
  <si>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</si>
  <si>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</si>
  <si>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</si>
  <si>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</si>
  <si>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</si>
  <si>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</si>
  <si>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</si>
  <si>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</si>
  <si>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</si>
  <si>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</si>
  <si>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</si>
  <si>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</si>
  <si>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</si>
  <si>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</si>
  <si>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</si>
  <si>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</si>
  <si>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</si>
  <si>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</si>
  <si>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</si>
  <si>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</si>
  <si>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</si>
  <si>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</si>
  <si>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</si>
  <si>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</si>
  <si>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</si>
  <si>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</si>
  <si>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</si>
  <si>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</si>
  <si>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</si>
  <si>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</si>
  <si>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</si>
  <si>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</si>
  <si>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</si>
  <si>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</si>
  <si>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</si>
  <si>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</si>
  <si>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</si>
  <si>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</si>
  <si>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</si>
  <si>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</si>
  <si>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</si>
  <si>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</si>
  <si>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</si>
  <si>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</si>
  <si>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</si>
  <si>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</si>
  <si>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</si>
  <si>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</si>
  <si>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</si>
  <si>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</si>
  <si>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</si>
  <si>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</si>
  <si>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</si>
  <si>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</si>
  <si>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</si>
  <si>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</si>
  <si>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</si>
  <si>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</si>
  <si>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</si>
  <si>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</si>
  <si>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</si>
  <si>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</si>
  <si>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</si>
  <si>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</si>
  <si>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</si>
  <si>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</si>
  <si>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</si>
  <si>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</si>
  <si>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</si>
  <si>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</si>
  <si>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</si>
  <si>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</si>
  <si>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</si>
  <si>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</si>
  <si>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</si>
  <si>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</si>
  <si>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</si>
  <si>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</si>
  <si>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</si>
  <si>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</si>
  <si>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</si>
  <si>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</si>
  <si>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</si>
  <si>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</si>
  <si>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</si>
  <si>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</si>
  <si>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</si>
  <si>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</si>
  <si>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</si>
  <si>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</si>
  <si>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</si>
  <si>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</si>
  <si>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</si>
  <si>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</si>
  <si>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</si>
  <si>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</si>
  <si>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</si>
  <si>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</si>
  <si>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</si>
  <si>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</si>
  <si>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</si>
  <si>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</si>
  <si>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</si>
  <si>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</si>
  <si>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</si>
  <si>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</si>
  <si>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</si>
  <si>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</si>
  <si>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</si>
  <si>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</si>
  <si>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</si>
  <si>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</si>
  <si>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</si>
  <si>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</si>
  <si>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</si>
  <si>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</si>
  <si>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</si>
  <si>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</si>
  <si>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</si>
  <si>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</si>
  <si>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</si>
  <si>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</si>
  <si>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</si>
  <si>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</si>
  <si>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</si>
  <si>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</si>
  <si>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</si>
  <si>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</si>
  <si>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</si>
  <si>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</si>
  <si>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</si>
  <si>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</si>
  <si>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</si>
  <si>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</si>
  <si>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</si>
  <si>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</si>
  <si>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</si>
  <si>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</si>
  <si>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</si>
  <si>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</si>
  <si>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</si>
  <si>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</si>
  <si>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</si>
  <si>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</si>
  <si>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</si>
  <si>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</si>
  <si>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</si>
  <si>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</si>
  <si>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</si>
  <si>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</si>
  <si>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</si>
  <si>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</si>
  <si>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</si>
  <si>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</si>
  <si>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</si>
  <si>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</si>
  <si>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</si>
  <si>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</si>
  <si>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</si>
  <si>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</si>
  <si>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</si>
  <si>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</si>
  <si>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</si>
  <si>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</si>
  <si>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</si>
  <si>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</si>
  <si>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</si>
  <si>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</si>
  <si>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</si>
  <si>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</si>
  <si>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</si>
  <si>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</si>
  <si>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</si>
  <si>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</si>
  <si>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</si>
  <si>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</si>
  <si>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</si>
  <si>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</si>
  <si>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</si>
  <si>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</si>
  <si>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</si>
  <si>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</si>
  <si>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</si>
  <si>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</si>
  <si>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</si>
  <si>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</si>
  <si>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</si>
  <si>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</si>
  <si>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</si>
  <si>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</si>
  <si>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</si>
  <si>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</si>
  <si>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</si>
  <si>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</si>
  <si>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</si>
  <si>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</si>
  <si>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</si>
  <si>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</si>
  <si>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</si>
  <si>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</si>
  <si>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</si>
  <si>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</si>
  <si>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</si>
  <si>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</si>
  <si>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</si>
  <si>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</si>
  <si>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</si>
  <si>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</si>
  <si>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</si>
  <si>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</si>
  <si>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</si>
  <si>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</si>
  <si>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</si>
  <si>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</si>
  <si>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</si>
  <si>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</si>
  <si>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</si>
  <si>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</si>
  <si>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</si>
  <si>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</si>
  <si>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</si>
  <si>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</si>
  <si>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</si>
  <si>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</si>
  <si>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</si>
  <si>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</si>
  <si>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</si>
  <si>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</si>
  <si>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</si>
  <si>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</si>
  <si>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</si>
  <si>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</si>
  <si>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</si>
  <si>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</si>
  <si>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</si>
  <si>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</si>
  <si>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</si>
  <si>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</si>
  <si>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</si>
  <si>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</si>
  <si>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</si>
  <si>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</si>
  <si>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</si>
  <si>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</si>
  <si>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</si>
  <si>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</si>
  <si>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</si>
  <si>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</si>
  <si>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</si>
  <si>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</si>
  <si>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</si>
  <si>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</si>
  <si>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</si>
  <si>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</si>
  <si>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</si>
  <si>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</si>
  <si>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</si>
  <si>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</si>
  <si>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</si>
  <si>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</si>
  <si>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</si>
  <si>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</si>
  <si>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</si>
  <si>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</si>
  <si>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</si>
  <si>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</si>
  <si>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</si>
  <si>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</si>
  <si>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</si>
  <si>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</si>
  <si>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</si>
  <si>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</si>
  <si>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</si>
  <si>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</si>
  <si>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</si>
  <si>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</si>
  <si>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</si>
  <si>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</si>
  <si>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</si>
  <si>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</si>
  <si>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</si>
  <si>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</si>
  <si>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</si>
  <si>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</si>
  <si>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</si>
  <si>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</si>
  <si>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</si>
  <si>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</si>
  <si>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</si>
  <si>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</si>
  <si>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</si>
  <si>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</si>
  <si>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</si>
  <si>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</si>
  <si>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</si>
  <si>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</si>
  <si>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</si>
  <si>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</si>
  <si>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</si>
  <si>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</si>
  <si>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</si>
  <si>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</si>
  <si>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</si>
  <si>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</si>
  <si>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</si>
  <si>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</si>
  <si>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</si>
  <si>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</si>
  <si>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</si>
  <si>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</si>
  <si>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</si>
  <si>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</si>
  <si>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</si>
  <si>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</si>
  <si>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</si>
  <si>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</si>
  <si>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</si>
  <si>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</si>
  <si>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</si>
  <si>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</si>
  <si>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</si>
  <si>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</si>
  <si>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</si>
  <si>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</si>
  <si>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</si>
  <si>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</si>
  <si>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</si>
  <si>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</si>
  <si>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</si>
  <si>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</si>
  <si>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</si>
  <si>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</si>
  <si>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</si>
  <si>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</si>
  <si>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</si>
  <si>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</si>
  <si>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</si>
  <si>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</si>
  <si>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</si>
  <si>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</si>
  <si>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</si>
  <si>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</si>
  <si>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</si>
  <si>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</si>
  <si>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</si>
  <si>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</si>
  <si>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</si>
  <si>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</si>
  <si>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</si>
  <si>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</si>
  <si>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</si>
  <si>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</si>
  <si>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</si>
  <si>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</si>
  <si>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</si>
  <si>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</si>
  <si>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</si>
  <si>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</si>
  <si>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</si>
  <si>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</si>
  <si>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</si>
  <si>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</si>
  <si>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</si>
  <si>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</si>
  <si>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</si>
  <si>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</si>
  <si>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</si>
  <si>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</si>
  <si>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</si>
  <si>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</si>
  <si>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</si>
  <si>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</si>
  <si>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</si>
  <si>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</si>
  <si>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</si>
  <si>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</si>
  <si>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</si>
  <si>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</si>
  <si>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</si>
  <si>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</si>
  <si>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</si>
  <si>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</si>
  <si>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</si>
  <si>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</si>
  <si>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</si>
  <si>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</si>
  <si>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</si>
  <si>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</si>
  <si>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</si>
  <si>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</si>
  <si>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</si>
  <si>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</si>
  <si>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</si>
  <si>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</si>
  <si>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</si>
  <si>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</si>
  <si>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</si>
  <si>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</si>
  <si>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</si>
  <si>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</si>
  <si>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</si>
  <si>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</si>
  <si>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</si>
  <si>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</si>
  <si>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</si>
  <si>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</si>
  <si>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</si>
  <si>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</si>
  <si>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</si>
  <si>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</si>
  <si>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</si>
  <si>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</si>
  <si>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</si>
  <si>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</si>
  <si>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</si>
  <si>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</si>
  <si>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</si>
  <si>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</si>
  <si>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</si>
  <si>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</si>
  <si>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</si>
  <si>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</si>
  <si>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</si>
  <si>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</si>
  <si>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</si>
  <si>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</si>
  <si>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</si>
  <si>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</si>
  <si>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</si>
  <si>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</si>
  <si>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</si>
  <si>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</si>
  <si>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</si>
  <si>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</si>
  <si>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</si>
  <si>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</si>
  <si>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</si>
  <si>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</si>
  <si>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</si>
  <si>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</si>
  <si>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</si>
  <si>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</si>
  <si>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</si>
  <si>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</si>
  <si>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</si>
  <si>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</si>
  <si>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</si>
  <si>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</si>
  <si>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</si>
  <si>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</si>
  <si>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</si>
  <si>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</si>
  <si>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</si>
  <si>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</si>
  <si>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</si>
  <si>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</si>
  <si>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</si>
  <si>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</si>
  <si>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</si>
  <si>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</si>
  <si>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</si>
  <si>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</si>
  <si>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</si>
  <si>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</si>
  <si>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</si>
  <si>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</si>
  <si>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</si>
  <si>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</si>
  <si>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</si>
  <si>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</si>
  <si>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</si>
  <si>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</si>
  <si>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</si>
  <si>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</si>
  <si>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</si>
  <si>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</si>
  <si>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</si>
  <si>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</si>
  <si>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</si>
  <si>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</si>
  <si>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</si>
  <si>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</si>
  <si>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</si>
  <si>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</si>
  <si>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</si>
  <si>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</si>
  <si>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</si>
  <si>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</si>
  <si>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</si>
  <si>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</si>
  <si>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</si>
  <si>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</si>
  <si>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</si>
  <si>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</si>
  <si>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</si>
  <si>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</si>
  <si>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</si>
  <si>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</si>
  <si>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</si>
  <si>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</si>
  <si>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</si>
  <si>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</si>
  <si>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</si>
  <si>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</si>
  <si>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</si>
  <si>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</si>
  <si>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</si>
  <si>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</si>
  <si>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</si>
  <si>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</si>
  <si>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</si>
  <si>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</si>
  <si>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</si>
  <si>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</si>
  <si>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</si>
  <si>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</si>
  <si>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</si>
  <si>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</si>
  <si>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</si>
  <si>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</si>
  <si>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</si>
  <si>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</si>
  <si>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</si>
  <si>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</si>
  <si>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</si>
  <si>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</si>
  <si>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</si>
  <si>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</si>
  <si>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</si>
  <si>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</si>
  <si>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</si>
  <si>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</si>
  <si>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</si>
  <si>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Факт 2018</t>
  </si>
  <si>
    <t xml:space="preserve">План </t>
  </si>
  <si>
    <t xml:space="preserve">Акционерное общество "Западная энергетическая компания" </t>
  </si>
  <si>
    <t>Установка приборов учета, класс напряжения 0,4-6-15 кВ</t>
  </si>
  <si>
    <t>не относится</t>
  </si>
  <si>
    <t>Описание состава объектов инвестиционной деятельности их количества и характеристик в отношении каждого такого объекта</t>
  </si>
  <si>
    <t>Сметная стоимость проекта в прогнозных ценах  года строительства с НДС, млн. руб.</t>
  </si>
  <si>
    <t xml:space="preserve"> Городской округ "Город Калининград"</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</si>
  <si>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</si>
  <si>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</si>
  <si>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</si>
  <si>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</si>
  <si>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</si>
  <si>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</si>
  <si>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</si>
  <si>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</si>
  <si>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</si>
  <si>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</si>
  <si>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</si>
  <si>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</si>
  <si>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</si>
  <si>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</si>
  <si>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</si>
  <si>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 по состоянию на 01.01.2022</t>
  </si>
  <si>
    <t>L 21-23</t>
  </si>
  <si>
    <t xml:space="preserve">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</si>
  <si>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ПО</t>
  </si>
  <si>
    <t>Програмное обеспечение АИСКУЭ для выхода на ОРЭМ</t>
  </si>
  <si>
    <t xml:space="preserve">Обеспечение возможности формировать баланс электроэнергии. 
</t>
  </si>
  <si>
    <t>1,4 млн.руб</t>
  </si>
  <si>
    <t>З</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</si>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</sst>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39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3" fontId="72" fillId="0" borderId="33" xfId="67" applyNumberFormat="1" applyFont="1" applyBorder="1" applyAlignment="1">
      <alignment vertical="center"/>
    </xf>
    <xf numFmtId="49" fontId="6" fillId="0" borderId="4" xfId="1" applyNumberFormat="1" applyFont="1" applyBorder="1" applyAlignment="1">
      <alignment horizontal="center" vertical="center"/>
    </xf>
    <xf numFmtId="14" fontId="36" fillId="0" borderId="25" xfId="2" applyNumberFormat="1" applyFont="1" applyBorder="1" applyAlignment="1">
      <alignment horizontal="justify"/>
    </xf>
    <xf numFmtId="0" fontId="74" fillId="0" borderId="25" xfId="128" applyFill="1" applyBorder="1" applyAlignment="1">
      <alignment horizontal="justify"/>
    </xf>
    <xf numFmtId="2" fontId="2" fillId="0" borderId="1" xfId="1" applyNumberFormat="1" applyBorder="1" applyAlignment="1">
      <alignment horizontal="left" vertical="center"/>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3"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37" xfId="0" applyFont="1" applyBorder="1" applyAlignment="1">
      <alignment vertical="center"/>
    </xf>
    <xf numFmtId="3" fontId="71" fillId="0" borderId="35" xfId="0" applyNumberFormat="1" applyFont="1" applyBorder="1" applyAlignment="1">
      <alignment vertical="center"/>
    </xf>
    <xf numFmtId="4" fontId="41" fillId="0" borderId="45"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5"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5" xfId="0" applyFont="1" applyBorder="1" applyAlignment="1">
      <alignment horizontal="center" vertical="center"/>
    </xf>
    <xf numFmtId="0" fontId="82" fillId="0" borderId="5" xfId="0" applyFont="1" applyBorder="1" applyAlignment="1">
      <alignment horizontal="center" vertical="center"/>
    </xf>
    <xf numFmtId="0" fontId="71" fillId="0" borderId="46"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47"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48" xfId="0" applyFont="1" applyBorder="1" applyAlignment="1">
      <alignment vertical="center"/>
    </xf>
    <xf numFmtId="10" fontId="71" fillId="0" borderId="36" xfId="0" applyNumberFormat="1" applyFont="1" applyBorder="1" applyAlignment="1">
      <alignment vertical="center"/>
    </xf>
    <xf numFmtId="10" fontId="71" fillId="0" borderId="49" xfId="0" applyNumberFormat="1" applyFont="1" applyBorder="1" applyAlignment="1">
      <alignment vertical="center"/>
    </xf>
    <xf numFmtId="10" fontId="71" fillId="0" borderId="49" xfId="67" applyNumberFormat="1" applyFont="1" applyBorder="1" applyAlignment="1">
      <alignment vertical="center"/>
    </xf>
    <xf numFmtId="10" fontId="41" fillId="0" borderId="49" xfId="0" applyNumberFormat="1" applyFont="1" applyBorder="1" applyAlignment="1">
      <alignment vertical="center"/>
    </xf>
    <xf numFmtId="0" fontId="71" fillId="0" borderId="50"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1" xfId="0" applyNumberFormat="1" applyFont="1" applyBorder="1" applyAlignment="1">
      <alignment horizontal="center" vertical="center"/>
    </xf>
    <xf numFmtId="0" fontId="71" fillId="0" borderId="52" xfId="0" applyFont="1" applyBorder="1" applyAlignment="1">
      <alignment vertical="center"/>
    </xf>
    <xf numFmtId="10" fontId="71" fillId="0" borderId="45" xfId="67" applyNumberFormat="1" applyFont="1" applyBorder="1" applyAlignment="1">
      <alignment vertical="center"/>
    </xf>
    <xf numFmtId="10" fontId="71" fillId="0" borderId="45"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9" xfId="0" applyFont="1" applyBorder="1" applyAlignment="1">
      <alignment vertical="center"/>
    </xf>
    <xf numFmtId="3" fontId="71" fillId="0" borderId="45" xfId="0" applyNumberFormat="1" applyFont="1" applyBorder="1" applyAlignment="1">
      <alignment vertical="center"/>
    </xf>
    <xf numFmtId="3" fontId="71" fillId="0" borderId="55" xfId="0" applyNumberFormat="1" applyFont="1" applyBorder="1" applyAlignment="1">
      <alignment vertical="center"/>
    </xf>
    <xf numFmtId="3" fontId="71" fillId="0" borderId="23" xfId="0" applyNumberFormat="1" applyFont="1" applyBorder="1" applyAlignment="1">
      <alignment vertical="center"/>
    </xf>
    <xf numFmtId="3" fontId="71" fillId="0" borderId="56" xfId="0" applyNumberFormat="1" applyFont="1" applyBorder="1" applyAlignment="1">
      <alignment vertical="center"/>
    </xf>
    <xf numFmtId="3" fontId="83" fillId="0" borderId="0" xfId="0" applyNumberFormat="1" applyFont="1" applyAlignment="1">
      <alignment horizontal="center" vertical="center"/>
    </xf>
    <xf numFmtId="3" fontId="83" fillId="0" borderId="54" xfId="0" applyNumberFormat="1" applyFont="1" applyBorder="1" applyAlignment="1">
      <alignment horizontal="center" vertical="center"/>
    </xf>
    <xf numFmtId="174" fontId="41" fillId="0" borderId="45" xfId="0" applyNumberFormat="1" applyFont="1" applyBorder="1" applyAlignment="1">
      <alignment horizontal="center" vertical="center"/>
    </xf>
    <xf numFmtId="0" fontId="71" fillId="0" borderId="52" xfId="0" applyFont="1" applyBorder="1" applyAlignment="1">
      <alignment horizontal="left" vertical="center"/>
    </xf>
    <xf numFmtId="3" fontId="71" fillId="0" borderId="45" xfId="0" applyNumberFormat="1" applyFont="1" applyBorder="1" applyAlignment="1">
      <alignment horizontal="right" vertical="center"/>
    </xf>
    <xf numFmtId="165" fontId="71" fillId="0" borderId="45" xfId="0" applyNumberFormat="1" applyFont="1" applyBorder="1" applyAlignment="1">
      <alignment vertical="center"/>
    </xf>
    <xf numFmtId="0" fontId="70" fillId="0" borderId="52" xfId="0" applyFont="1" applyBorder="1" applyAlignment="1">
      <alignment horizontal="left" vertical="center"/>
    </xf>
    <xf numFmtId="174" fontId="79" fillId="0" borderId="45" xfId="0" applyNumberFormat="1" applyFont="1" applyBorder="1" applyAlignment="1">
      <alignment horizontal="center" vertical="center"/>
    </xf>
    <xf numFmtId="174" fontId="41" fillId="0" borderId="45" xfId="0" applyNumberFormat="1" applyFont="1" applyBorder="1" applyAlignment="1">
      <alignment horizont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2" xfId="0" applyFont="1" applyBorder="1" applyAlignment="1">
      <alignment vertical="center"/>
    </xf>
    <xf numFmtId="3" fontId="41" fillId="0" borderId="45" xfId="67" applyNumberFormat="1" applyFont="1" applyBorder="1" applyAlignment="1">
      <alignment vertical="center"/>
    </xf>
    <xf numFmtId="0" fontId="71" fillId="0" borderId="52" xfId="0" applyFont="1" applyBorder="1" applyAlignment="1">
      <alignment horizontal="left" vertical="center" wrapText="1"/>
    </xf>
    <xf numFmtId="175" fontId="41" fillId="0" borderId="45" xfId="0" applyNumberFormat="1" applyFont="1" applyBorder="1" applyAlignment="1">
      <alignment horizontal="center"/>
    </xf>
    <xf numFmtId="170" fontId="79" fillId="0" borderId="45" xfId="0" applyNumberFormat="1" applyFont="1" applyBorder="1" applyAlignment="1">
      <alignment horizontal="center" vertical="center"/>
    </xf>
    <xf numFmtId="164" fontId="79" fillId="0" borderId="45"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173" fontId="10" fillId="0" borderId="0" xfId="2" applyNumberFormat="1"/>
    <xf numFmtId="0" fontId="38" fillId="0" borderId="0" xfId="2" applyFont="1"/>
    <xf numFmtId="4" fontId="10" fillId="0" borderId="0" xfId="2" applyNumberFormat="1"/>
    <xf numFmtId="172" fontId="73" fillId="0" borderId="1" xfId="0" applyNumberFormat="1" applyFont="1" applyBorder="1" applyAlignment="1">
      <alignment horizontal="center" vertical="center" wrapText="1"/>
    </xf>
    <xf numFmtId="4" fontId="38" fillId="0" borderId="2" xfId="0" applyNumberFormat="1" applyFont="1" applyBorder="1" applyAlignment="1">
      <alignment horizontal="center" vertical="center" wrapText="1"/>
    </xf>
    <xf numFmtId="4" fontId="10" fillId="0" borderId="2" xfId="0" applyNumberFormat="1" applyFont="1" applyBorder="1" applyAlignment="1">
      <alignment horizontal="center" vertical="center" wrapText="1"/>
    </xf>
    <xf numFmtId="174" fontId="71" fillId="0" borderId="45" xfId="0" applyNumberFormat="1" applyFont="1" applyBorder="1" applyAlignment="1">
      <alignment vertical="center"/>
    </xf>
    <xf numFmtId="173" fontId="38" fillId="0" borderId="0" xfId="2" applyNumberFormat="1" applyFont="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44"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3" xfId="52" applyFont="1"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 zoomScaleSheetLayoutView="100" workbookViewId="0">
      <selection activeCell="A5" sqref="A5:C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85" t="s">
        <v>589</v>
      </c>
      <c r="B5" s="285"/>
      <c r="C5" s="285"/>
      <c r="D5" s="85"/>
      <c r="E5" s="85"/>
      <c r="F5" s="85"/>
      <c r="G5" s="85"/>
      <c r="H5" s="85"/>
      <c r="I5" s="85"/>
      <c r="J5" s="85"/>
    </row>
    <row r="6" spans="1:22" s="8" customFormat="1" ht="18.75" x14ac:dyDescent="0.3">
      <c r="A6" s="13"/>
      <c r="H6" s="12"/>
    </row>
    <row r="7" spans="1:22" s="8" customFormat="1" ht="18.75" x14ac:dyDescent="0.2">
      <c r="A7" s="289" t="s">
        <v>7</v>
      </c>
      <c r="B7" s="289"/>
      <c r="C7" s="28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92" t="s">
        <v>559</v>
      </c>
      <c r="B9" s="292"/>
      <c r="C9" s="292"/>
      <c r="D9" s="7"/>
      <c r="E9" s="7"/>
      <c r="F9" s="7"/>
      <c r="G9" s="7"/>
      <c r="H9" s="7"/>
      <c r="I9" s="10"/>
      <c r="J9" s="10"/>
      <c r="K9" s="10"/>
      <c r="L9" s="10"/>
      <c r="M9" s="10"/>
      <c r="N9" s="10"/>
      <c r="O9" s="10"/>
      <c r="P9" s="10"/>
      <c r="Q9" s="10"/>
      <c r="R9" s="10"/>
      <c r="S9" s="10"/>
      <c r="T9" s="10"/>
      <c r="U9" s="10"/>
      <c r="V9" s="10"/>
    </row>
    <row r="10" spans="1:22" s="8" customFormat="1" ht="18.75" x14ac:dyDescent="0.2">
      <c r="A10" s="286" t="s">
        <v>6</v>
      </c>
      <c r="B10" s="286"/>
      <c r="C10" s="28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90" t="s">
        <v>581</v>
      </c>
      <c r="B12" s="290"/>
      <c r="C12" s="290"/>
      <c r="D12" s="7"/>
      <c r="E12" s="7"/>
      <c r="F12" s="7"/>
      <c r="G12" s="7"/>
      <c r="H12" s="7"/>
      <c r="I12" s="10"/>
      <c r="J12" s="10"/>
      <c r="K12" s="10"/>
      <c r="L12" s="10"/>
      <c r="M12" s="10"/>
      <c r="N12" s="10"/>
      <c r="O12" s="10"/>
      <c r="P12" s="10"/>
      <c r="Q12" s="10"/>
      <c r="R12" s="10"/>
      <c r="S12" s="10"/>
      <c r="T12" s="10"/>
      <c r="U12" s="10"/>
      <c r="V12" s="10"/>
    </row>
    <row r="13" spans="1:22" s="8" customFormat="1" ht="18.75" x14ac:dyDescent="0.2">
      <c r="A13" s="286" t="s">
        <v>5</v>
      </c>
      <c r="B13" s="286"/>
      <c r="C13" s="28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291" t="s">
        <v>584</v>
      </c>
      <c r="B15" s="291"/>
      <c r="C15" s="291"/>
      <c r="D15" s="7"/>
      <c r="E15" s="7"/>
      <c r="F15" s="7"/>
      <c r="G15" s="7"/>
      <c r="H15" s="7"/>
      <c r="I15" s="7"/>
      <c r="J15" s="7"/>
      <c r="K15" s="7"/>
      <c r="L15" s="7"/>
      <c r="M15" s="7"/>
      <c r="N15" s="7"/>
      <c r="O15" s="7"/>
      <c r="P15" s="7"/>
      <c r="Q15" s="7"/>
      <c r="R15" s="7"/>
      <c r="S15" s="7"/>
      <c r="T15" s="7"/>
      <c r="U15" s="7"/>
      <c r="V15" s="7"/>
    </row>
    <row r="16" spans="1:22" s="3" customFormat="1" ht="15" customHeight="1" x14ac:dyDescent="0.2">
      <c r="A16" s="286" t="s">
        <v>4</v>
      </c>
      <c r="B16" s="286"/>
      <c r="C16" s="28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7" t="s">
        <v>407</v>
      </c>
      <c r="B18" s="288"/>
      <c r="C18" s="28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560</v>
      </c>
      <c r="D22" s="5"/>
      <c r="E22" s="5"/>
      <c r="F22" s="5"/>
      <c r="G22" s="5"/>
      <c r="H22" s="5"/>
      <c r="I22" s="4"/>
      <c r="J22" s="4"/>
      <c r="K22" s="4"/>
      <c r="L22" s="4"/>
      <c r="M22" s="4"/>
      <c r="N22" s="4"/>
      <c r="O22" s="4"/>
      <c r="P22" s="4"/>
      <c r="Q22" s="4"/>
      <c r="R22" s="4"/>
      <c r="S22" s="4"/>
    </row>
    <row r="23" spans="1:22" s="3" customFormat="1" ht="31.5" x14ac:dyDescent="0.2">
      <c r="A23" s="15" t="s">
        <v>61</v>
      </c>
      <c r="B23" s="18" t="s">
        <v>534</v>
      </c>
      <c r="C23" s="22" t="s">
        <v>582</v>
      </c>
      <c r="D23" s="5"/>
      <c r="E23" s="5"/>
      <c r="F23" s="5"/>
      <c r="G23" s="5"/>
      <c r="H23" s="5"/>
      <c r="I23" s="4"/>
      <c r="J23" s="4"/>
      <c r="K23" s="4"/>
      <c r="L23" s="4"/>
      <c r="M23" s="4"/>
      <c r="N23" s="4"/>
      <c r="O23" s="4"/>
      <c r="P23" s="4"/>
      <c r="Q23" s="4"/>
      <c r="R23" s="4"/>
      <c r="S23" s="4"/>
    </row>
    <row r="24" spans="1:22" s="3" customFormat="1" ht="22.5" customHeight="1" x14ac:dyDescent="0.2">
      <c r="A24" s="282"/>
      <c r="B24" s="283"/>
      <c r="C24" s="284"/>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540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564</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434</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561</v>
      </c>
      <c r="D33" s="5"/>
      <c r="E33" s="5"/>
      <c r="F33" s="5"/>
      <c r="G33" s="5"/>
      <c r="H33" s="4"/>
      <c r="I33" s="4"/>
      <c r="J33" s="4"/>
      <c r="K33" s="4"/>
      <c r="L33" s="4"/>
      <c r="M33" s="4"/>
      <c r="N33" s="4"/>
      <c r="O33" s="4"/>
      <c r="P33" s="4"/>
      <c r="Q33" s="4"/>
      <c r="R33" s="4"/>
    </row>
    <row r="34" spans="1:18" ht="111" customHeight="1" x14ac:dyDescent="0.25">
      <c r="A34" s="15" t="s">
        <v>376</v>
      </c>
      <c r="B34" s="22" t="s">
        <v>363</v>
      </c>
      <c r="C34" s="16" t="s">
        <v>434</v>
      </c>
    </row>
    <row r="35" spans="1:18" ht="58.5" customHeight="1" x14ac:dyDescent="0.25">
      <c r="A35" s="15" t="s">
        <v>366</v>
      </c>
      <c r="B35" s="22" t="s">
        <v>69</v>
      </c>
      <c r="C35" s="16" t="s">
        <v>434</v>
      </c>
    </row>
    <row r="36" spans="1:18" ht="51.75" customHeight="1" x14ac:dyDescent="0.25">
      <c r="A36" s="15" t="s">
        <v>377</v>
      </c>
      <c r="B36" s="22" t="s">
        <v>364</v>
      </c>
      <c r="C36" s="16" t="s">
        <v>434</v>
      </c>
    </row>
    <row r="37" spans="1:18" ht="43.5" customHeight="1" x14ac:dyDescent="0.25">
      <c r="A37" s="15" t="s">
        <v>367</v>
      </c>
      <c r="B37" s="22" t="s">
        <v>365</v>
      </c>
      <c r="C37" s="16" t="s">
        <v>545</v>
      </c>
    </row>
    <row r="38" spans="1:18" ht="43.5" customHeight="1" x14ac:dyDescent="0.25">
      <c r="A38" s="15" t="s">
        <v>378</v>
      </c>
      <c r="B38" s="22" t="s">
        <v>209</v>
      </c>
      <c r="C38" s="16" t="s">
        <v>434</v>
      </c>
    </row>
    <row r="39" spans="1:18" ht="23.25" customHeight="1" x14ac:dyDescent="0.25">
      <c r="A39" s="282"/>
      <c r="B39" s="283"/>
      <c r="C39" s="284"/>
    </row>
    <row r="40" spans="1:18" ht="63" x14ac:dyDescent="0.25">
      <c r="A40" s="15" t="s">
        <v>368</v>
      </c>
      <c r="B40" s="22" t="s">
        <v>418</v>
      </c>
      <c r="C40" s="22" t="s">
        <v>583</v>
      </c>
    </row>
    <row r="41" spans="1:18" ht="169.5" customHeight="1" x14ac:dyDescent="0.25">
      <c r="A41" s="15" t="s">
        <v>379</v>
      </c>
      <c r="B41" s="22" t="s">
        <v>402</v>
      </c>
      <c r="C41" s="124" t="s">
        <v>545</v>
      </c>
    </row>
    <row r="42" spans="1:18" ht="162.75" customHeight="1" x14ac:dyDescent="0.25">
      <c r="A42" s="15" t="s">
        <v>369</v>
      </c>
      <c r="B42" s="22" t="s">
        <v>415</v>
      </c>
      <c r="C42" s="22" t="s">
        <v>545</v>
      </c>
    </row>
    <row r="43" spans="1:18" ht="186" customHeight="1" x14ac:dyDescent="0.25">
      <c r="A43" s="15" t="s">
        <v>382</v>
      </c>
      <c r="B43" s="22" t="s">
        <v>383</v>
      </c>
      <c r="C43" s="87" t="s">
        <v>540</v>
      </c>
    </row>
    <row r="44" spans="1:18" ht="111" customHeight="1" x14ac:dyDescent="0.25">
      <c r="A44" s="15" t="s">
        <v>370</v>
      </c>
      <c r="B44" s="22" t="s">
        <v>408</v>
      </c>
      <c r="C44" s="2" t="s">
        <v>540</v>
      </c>
    </row>
    <row r="45" spans="1:18" ht="120" customHeight="1" x14ac:dyDescent="0.25">
      <c r="A45" s="15" t="s">
        <v>403</v>
      </c>
      <c r="B45" s="22" t="s">
        <v>409</v>
      </c>
      <c r="C45" s="95" t="s">
        <v>540</v>
      </c>
    </row>
    <row r="46" spans="1:18" ht="101.25" customHeight="1" x14ac:dyDescent="0.25">
      <c r="A46" s="15" t="s">
        <v>371</v>
      </c>
      <c r="B46" s="22" t="s">
        <v>410</v>
      </c>
      <c r="C46" s="2" t="s">
        <v>540</v>
      </c>
    </row>
    <row r="47" spans="1:18" ht="18.75" customHeight="1" x14ac:dyDescent="0.25">
      <c r="A47" s="282"/>
      <c r="B47" s="283"/>
      <c r="C47" s="284"/>
    </row>
    <row r="48" spans="1:18" ht="75.75" hidden="1" customHeight="1" x14ac:dyDescent="0.25">
      <c r="A48" s="15" t="s">
        <v>404</v>
      </c>
      <c r="B48" s="22" t="s">
        <v>416</v>
      </c>
      <c r="C48" s="173" t="str">
        <f>CONCATENATE(ROUND('6.2. Паспорт фин осв ввод факт'!AB24,2)," млн.руб.")</f>
        <v>294,53 млн.руб.</v>
      </c>
      <c r="D48" s="1" t="s">
        <v>542</v>
      </c>
    </row>
    <row r="49" spans="1:4" ht="71.25" hidden="1" customHeight="1" x14ac:dyDescent="0.25">
      <c r="A49" s="15" t="s">
        <v>372</v>
      </c>
      <c r="B49" s="22" t="s">
        <v>417</v>
      </c>
      <c r="C49" s="173" t="str">
        <f>CONCATENATE(ROUND('6.2. Паспорт фин осв ввод факт'!AB30,2)," млн.руб.")</f>
        <v>249,6 млн.руб.</v>
      </c>
      <c r="D49" s="1" t="s">
        <v>542</v>
      </c>
    </row>
    <row r="50" spans="1:4" ht="75.75" customHeight="1" x14ac:dyDescent="0.25">
      <c r="A50" s="15" t="s">
        <v>404</v>
      </c>
      <c r="B50" s="22" t="s">
        <v>416</v>
      </c>
      <c r="C50" s="189">
        <f>'6.2. Паспорт фин осв ввод'!D30</f>
        <v>1.4152012199999999</v>
      </c>
      <c r="D50" s="1" t="s">
        <v>543</v>
      </c>
    </row>
    <row r="51" spans="1:4" ht="71.25" customHeight="1" x14ac:dyDescent="0.25">
      <c r="A51" s="15" t="s">
        <v>372</v>
      </c>
      <c r="B51" s="22" t="s">
        <v>417</v>
      </c>
      <c r="C51" s="189">
        <f>'6.2. Паспорт фин осв ввод'!D24</f>
        <v>1.4152012199999999</v>
      </c>
      <c r="D51" s="1" t="s">
        <v>543</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4" t="str">
        <f>'1. паспорт местоположение'!A5:C5</f>
        <v>Год раскрытия информации: 2023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row>
    <row r="5" spans="1:29" ht="18.75" x14ac:dyDescent="0.3">
      <c r="AC5" s="12"/>
    </row>
    <row r="6" spans="1:29" ht="18.75" x14ac:dyDescent="0.25">
      <c r="A6" s="289" t="s">
        <v>7</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55" t="str">
        <f>'1. паспорт местоположение'!A9:C9</f>
        <v xml:space="preserve">Акционерное общество "Западная энергетическая компания" </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row>
    <row r="9" spans="1:29" ht="18.75" customHeight="1" x14ac:dyDescent="0.25">
      <c r="A9" s="286" t="s">
        <v>6</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55" t="str">
        <f>'1. паспорт местоположение'!A12:C12</f>
        <v>L 21-23</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row>
    <row r="12" spans="1:29" x14ac:dyDescent="0.25">
      <c r="A12" s="286" t="s">
        <v>5</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56" t="str">
        <f>'1. паспорт местоположение'!A15:C15</f>
        <v>Програмное обеспечение АИСКУЭ для выхода на ОРЭМ</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row>
    <row r="15" spans="1:29" ht="15.75" customHeight="1" x14ac:dyDescent="0.25">
      <c r="A15" s="286" t="s">
        <v>4</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row>
    <row r="16" spans="1:29"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row>
    <row r="18" spans="1:32" x14ac:dyDescent="0.25">
      <c r="A18" s="359" t="s">
        <v>392</v>
      </c>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c r="AB18" s="359"/>
      <c r="AC18" s="359"/>
    </row>
    <row r="20" spans="1:32" ht="33" customHeight="1" x14ac:dyDescent="0.25">
      <c r="A20" s="348" t="s">
        <v>183</v>
      </c>
      <c r="B20" s="348" t="s">
        <v>182</v>
      </c>
      <c r="C20" s="344" t="s">
        <v>181</v>
      </c>
      <c r="D20" s="344"/>
      <c r="E20" s="358" t="s">
        <v>180</v>
      </c>
      <c r="F20" s="358"/>
      <c r="G20" s="348" t="s">
        <v>422</v>
      </c>
      <c r="H20" s="351" t="s">
        <v>423</v>
      </c>
      <c r="I20" s="352"/>
      <c r="J20" s="352"/>
      <c r="K20" s="352"/>
      <c r="L20" s="351" t="s">
        <v>424</v>
      </c>
      <c r="M20" s="352"/>
      <c r="N20" s="352"/>
      <c r="O20" s="352"/>
      <c r="P20" s="351" t="s">
        <v>425</v>
      </c>
      <c r="Q20" s="352"/>
      <c r="R20" s="352"/>
      <c r="S20" s="352"/>
      <c r="T20" s="351" t="s">
        <v>438</v>
      </c>
      <c r="U20" s="352"/>
      <c r="V20" s="352"/>
      <c r="W20" s="352"/>
      <c r="X20" s="351" t="s">
        <v>439</v>
      </c>
      <c r="Y20" s="352"/>
      <c r="Z20" s="352"/>
      <c r="AA20" s="352"/>
      <c r="AB20" s="360" t="s">
        <v>179</v>
      </c>
      <c r="AC20" s="360"/>
      <c r="AD20" s="49"/>
      <c r="AE20" s="49"/>
      <c r="AF20" s="49"/>
    </row>
    <row r="21" spans="1:32" ht="99.75" customHeight="1" x14ac:dyDescent="0.25">
      <c r="A21" s="349"/>
      <c r="B21" s="349"/>
      <c r="C21" s="344"/>
      <c r="D21" s="344"/>
      <c r="E21" s="358"/>
      <c r="F21" s="358"/>
      <c r="G21" s="349"/>
      <c r="H21" s="344" t="s">
        <v>2</v>
      </c>
      <c r="I21" s="344"/>
      <c r="J21" s="344" t="s">
        <v>9</v>
      </c>
      <c r="K21" s="344"/>
      <c r="L21" s="344" t="s">
        <v>2</v>
      </c>
      <c r="M21" s="344"/>
      <c r="N21" s="344" t="s">
        <v>9</v>
      </c>
      <c r="O21" s="344"/>
      <c r="P21" s="344" t="s">
        <v>2</v>
      </c>
      <c r="Q21" s="344"/>
      <c r="R21" s="344" t="s">
        <v>178</v>
      </c>
      <c r="S21" s="344"/>
      <c r="T21" s="344" t="s">
        <v>2</v>
      </c>
      <c r="U21" s="344"/>
      <c r="V21" s="344" t="s">
        <v>178</v>
      </c>
      <c r="W21" s="344"/>
      <c r="X21" s="344" t="s">
        <v>2</v>
      </c>
      <c r="Y21" s="344"/>
      <c r="Z21" s="344" t="s">
        <v>178</v>
      </c>
      <c r="AA21" s="344"/>
      <c r="AB21" s="360"/>
      <c r="AC21" s="360"/>
    </row>
    <row r="22" spans="1:32" ht="89.25" customHeight="1" x14ac:dyDescent="0.25">
      <c r="A22" s="350"/>
      <c r="B22" s="350"/>
      <c r="C22" s="46" t="s">
        <v>2</v>
      </c>
      <c r="D22" s="46" t="s">
        <v>178</v>
      </c>
      <c r="E22" s="48" t="s">
        <v>437</v>
      </c>
      <c r="F22" s="48" t="s">
        <v>482</v>
      </c>
      <c r="G22" s="350"/>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355</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47"/>
      <c r="C66" s="347"/>
      <c r="D66" s="347"/>
      <c r="E66" s="347"/>
      <c r="F66" s="347"/>
      <c r="G66" s="347"/>
      <c r="H66" s="347"/>
      <c r="I66" s="347"/>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47"/>
      <c r="C68" s="347"/>
      <c r="D68" s="347"/>
      <c r="E68" s="347"/>
      <c r="F68" s="347"/>
      <c r="G68" s="347"/>
      <c r="H68" s="347"/>
      <c r="I68" s="347"/>
      <c r="J68" s="35"/>
      <c r="K68" s="35"/>
    </row>
    <row r="70" spans="1:28" ht="36.75" customHeight="1" x14ac:dyDescent="0.25">
      <c r="B70" s="347"/>
      <c r="C70" s="347"/>
      <c r="D70" s="347"/>
      <c r="E70" s="347"/>
      <c r="F70" s="347"/>
      <c r="G70" s="347"/>
      <c r="H70" s="347"/>
      <c r="I70" s="347"/>
      <c r="J70" s="35"/>
      <c r="K70" s="35"/>
    </row>
    <row r="71" spans="1:28" x14ac:dyDescent="0.25">
      <c r="N71" s="36"/>
      <c r="V71" s="36"/>
    </row>
    <row r="72" spans="1:28" ht="51" customHeight="1" x14ac:dyDescent="0.25">
      <c r="B72" s="347"/>
      <c r="C72" s="347"/>
      <c r="D72" s="347"/>
      <c r="E72" s="347"/>
      <c r="F72" s="347"/>
      <c r="G72" s="347"/>
      <c r="H72" s="347"/>
      <c r="I72" s="347"/>
      <c r="J72" s="35"/>
      <c r="K72" s="35"/>
      <c r="N72" s="36"/>
      <c r="V72" s="36"/>
    </row>
    <row r="73" spans="1:28" ht="32.25" customHeight="1" x14ac:dyDescent="0.25">
      <c r="B73" s="347"/>
      <c r="C73" s="347"/>
      <c r="D73" s="347"/>
      <c r="E73" s="347"/>
      <c r="F73" s="347"/>
      <c r="G73" s="347"/>
      <c r="H73" s="347"/>
      <c r="I73" s="347"/>
      <c r="J73" s="35"/>
      <c r="K73" s="35"/>
    </row>
    <row r="74" spans="1:28" ht="51.75" customHeight="1" x14ac:dyDescent="0.25">
      <c r="B74" s="347"/>
      <c r="C74" s="347"/>
      <c r="D74" s="347"/>
      <c r="E74" s="347"/>
      <c r="F74" s="347"/>
      <c r="G74" s="347"/>
      <c r="H74" s="347"/>
      <c r="I74" s="347"/>
      <c r="J74" s="35"/>
      <c r="K74" s="35"/>
    </row>
    <row r="75" spans="1:28" ht="21.75" customHeight="1" x14ac:dyDescent="0.25">
      <c r="B75" s="353"/>
      <c r="C75" s="353"/>
      <c r="D75" s="353"/>
      <c r="E75" s="353"/>
      <c r="F75" s="353"/>
      <c r="G75" s="353"/>
      <c r="H75" s="353"/>
      <c r="I75" s="353"/>
      <c r="J75" s="34"/>
      <c r="K75" s="34"/>
    </row>
    <row r="76" spans="1:28" ht="23.25" customHeight="1" x14ac:dyDescent="0.25"/>
    <row r="77" spans="1:28" ht="18.75" customHeight="1" x14ac:dyDescent="0.25">
      <c r="B77" s="346"/>
      <c r="C77" s="346"/>
      <c r="D77" s="346"/>
      <c r="E77" s="346"/>
      <c r="F77" s="346"/>
      <c r="G77" s="346"/>
      <c r="H77" s="346"/>
      <c r="I77" s="346"/>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92"/>
  <sheetViews>
    <sheetView tabSelected="1" topLeftCell="A14" zoomScale="70" zoomScaleNormal="70" zoomScaleSheetLayoutView="70" workbookViewId="0">
      <selection activeCell="U27" sqref="U27"/>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10" width="12" style="32" hidden="1" customWidth="1"/>
    <col min="11" max="11" width="16.140625" style="32" customWidth="1"/>
    <col min="12" max="19" width="9.28515625" style="32" customWidth="1"/>
    <col min="20" max="21" width="8" style="32" customWidth="1"/>
    <col min="22" max="23" width="8.5703125" style="32" customWidth="1"/>
    <col min="24" max="25" width="8" style="32" customWidth="1"/>
    <col min="26" max="27" width="8.5703125" style="32" customWidth="1"/>
    <col min="28" max="29" width="8" style="32" customWidth="1"/>
    <col min="30" max="31" width="8.5703125" style="32" customWidth="1"/>
    <col min="32" max="32" width="13.140625" style="32" customWidth="1"/>
    <col min="33" max="33" width="19.140625" style="32" customWidth="1"/>
    <col min="34" max="16384" width="9.140625" style="32"/>
  </cols>
  <sheetData>
    <row r="1" spans="1:33" ht="18.75" x14ac:dyDescent="0.25">
      <c r="AG1" s="21" t="s">
        <v>66</v>
      </c>
    </row>
    <row r="2" spans="1:33" ht="18.75" x14ac:dyDescent="0.3">
      <c r="AG2" s="12" t="s">
        <v>8</v>
      </c>
    </row>
    <row r="3" spans="1:33" ht="18.75" x14ac:dyDescent="0.3">
      <c r="AG3" s="12" t="s">
        <v>65</v>
      </c>
    </row>
    <row r="4" spans="1:33" ht="18.75" customHeight="1" x14ac:dyDescent="0.25">
      <c r="A4" s="285" t="str">
        <f>'6.1. Паспорт сетевой график'!A5:K5</f>
        <v>Год раскрытия информации: 2023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c r="AA4" s="285"/>
      <c r="AB4" s="285"/>
      <c r="AC4" s="285"/>
      <c r="AD4" s="285"/>
      <c r="AE4" s="285"/>
      <c r="AF4" s="285"/>
      <c r="AG4" s="285"/>
    </row>
    <row r="5" spans="1:33" ht="18.75" x14ac:dyDescent="0.3">
      <c r="AG5" s="12"/>
    </row>
    <row r="6" spans="1:33" ht="18.75" x14ac:dyDescent="0.25">
      <c r="A6" s="294" t="s">
        <v>7</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c r="AD6" s="294"/>
      <c r="AE6" s="294"/>
      <c r="AF6" s="294"/>
      <c r="AG6" s="294"/>
    </row>
    <row r="7" spans="1:33" ht="18.75" x14ac:dyDescent="0.25">
      <c r="A7" s="109"/>
      <c r="B7" s="109"/>
      <c r="C7" s="109"/>
      <c r="D7" s="109"/>
      <c r="E7" s="109"/>
      <c r="F7" s="109"/>
      <c r="G7" s="109"/>
      <c r="H7" s="109"/>
      <c r="I7" s="109"/>
      <c r="J7" s="109"/>
      <c r="K7" s="109"/>
      <c r="L7" s="169"/>
      <c r="M7" s="169"/>
      <c r="N7" s="169"/>
      <c r="O7" s="169"/>
      <c r="P7" s="169"/>
      <c r="Q7" s="169"/>
      <c r="R7" s="169"/>
      <c r="S7" s="169"/>
      <c r="T7" s="169"/>
      <c r="U7" s="169"/>
      <c r="V7" s="169"/>
      <c r="W7" s="169"/>
      <c r="X7" s="169"/>
      <c r="Y7" s="169"/>
      <c r="Z7" s="169"/>
      <c r="AA7" s="169"/>
      <c r="AB7" s="169"/>
      <c r="AC7" s="169"/>
      <c r="AD7" s="169"/>
      <c r="AE7" s="169"/>
      <c r="AF7" s="169"/>
      <c r="AG7" s="169"/>
    </row>
    <row r="8" spans="1:33" x14ac:dyDescent="0.25">
      <c r="A8" s="292" t="str">
        <f>'6.1. Паспорт сетевой график'!A9</f>
        <v xml:space="preserve">Акционерное общество "Западная энергетическая компания" </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c r="AD8" s="292"/>
      <c r="AE8" s="292"/>
      <c r="AF8" s="292"/>
      <c r="AG8" s="292"/>
    </row>
    <row r="9" spans="1:33" ht="18.75" customHeight="1" x14ac:dyDescent="0.25">
      <c r="A9" s="298" t="s">
        <v>6</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row>
    <row r="10" spans="1:33" ht="18.75" x14ac:dyDescent="0.25">
      <c r="A10" s="109"/>
      <c r="B10" s="109"/>
      <c r="C10" s="109"/>
      <c r="D10" s="109"/>
      <c r="E10" s="109"/>
      <c r="F10" s="109"/>
      <c r="G10" s="109"/>
      <c r="H10" s="109"/>
      <c r="I10" s="109"/>
      <c r="J10" s="109"/>
      <c r="K10" s="109"/>
      <c r="L10" s="169"/>
      <c r="M10" s="169"/>
      <c r="N10" s="169"/>
      <c r="O10" s="169"/>
      <c r="P10" s="169"/>
      <c r="Q10" s="169"/>
      <c r="R10" s="169"/>
      <c r="S10" s="169"/>
      <c r="T10" s="169"/>
      <c r="U10" s="169"/>
      <c r="V10" s="169"/>
      <c r="W10" s="169"/>
      <c r="X10" s="169"/>
      <c r="Y10" s="169"/>
      <c r="Z10" s="169"/>
      <c r="AA10" s="169"/>
      <c r="AB10" s="169"/>
      <c r="AC10" s="169"/>
      <c r="AD10" s="169"/>
      <c r="AE10" s="169"/>
      <c r="AF10" s="169"/>
      <c r="AG10" s="169"/>
    </row>
    <row r="11" spans="1:33" x14ac:dyDescent="0.25">
      <c r="A11" s="292" t="str">
        <f>'6.1. Паспорт сетевой график'!A12</f>
        <v>L 21-23</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row>
    <row r="12" spans="1:33" x14ac:dyDescent="0.25">
      <c r="A12" s="298" t="s">
        <v>5</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row>
    <row r="13" spans="1:33" ht="16.5" customHeight="1" x14ac:dyDescent="0.3">
      <c r="A13" s="126"/>
      <c r="B13" s="126"/>
      <c r="C13" s="126"/>
      <c r="D13" s="126"/>
      <c r="E13" s="126"/>
      <c r="F13" s="126"/>
      <c r="G13" s="126"/>
      <c r="H13" s="126"/>
      <c r="I13" s="126"/>
      <c r="J13" s="126"/>
      <c r="K13" s="126"/>
      <c r="L13" s="50"/>
      <c r="M13" s="50"/>
      <c r="N13" s="50"/>
      <c r="O13" s="50"/>
      <c r="P13" s="50"/>
      <c r="Q13" s="50"/>
      <c r="R13" s="50"/>
      <c r="S13" s="50"/>
      <c r="T13" s="50"/>
      <c r="U13" s="50"/>
      <c r="V13" s="50"/>
      <c r="W13" s="50"/>
      <c r="X13" s="50"/>
      <c r="Y13" s="50"/>
      <c r="Z13" s="50"/>
      <c r="AA13" s="50"/>
      <c r="AB13" s="50"/>
      <c r="AC13" s="50"/>
      <c r="AD13" s="50"/>
      <c r="AE13" s="50"/>
      <c r="AF13" s="50"/>
      <c r="AG13" s="50"/>
    </row>
    <row r="14" spans="1:33" ht="36" customHeight="1" x14ac:dyDescent="0.25">
      <c r="A14" s="318" t="str">
        <f>'6.1. Паспорт сетевой график'!A15</f>
        <v>Програмное обеспечение АИСКУЭ для выхода на ОРЭМ</v>
      </c>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row>
    <row r="15" spans="1:33" ht="15.75" customHeight="1" x14ac:dyDescent="0.25">
      <c r="A15" s="298" t="s">
        <v>4</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row>
    <row r="16" spans="1:33"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row>
    <row r="18" spans="1:36" x14ac:dyDescent="0.25">
      <c r="A18" s="359" t="s">
        <v>392</v>
      </c>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c r="AB18" s="359"/>
      <c r="AC18" s="359"/>
      <c r="AD18" s="359"/>
      <c r="AE18" s="359"/>
      <c r="AF18" s="359"/>
      <c r="AG18" s="359"/>
    </row>
    <row r="19" spans="1:36" ht="49.5" hidden="1" customHeight="1" x14ac:dyDescent="0.25">
      <c r="E19" s="48" t="s">
        <v>551</v>
      </c>
      <c r="F19" s="48" t="s">
        <v>552</v>
      </c>
      <c r="K19" s="48" t="s">
        <v>553</v>
      </c>
      <c r="L19" s="32" t="s">
        <v>554</v>
      </c>
      <c r="P19" s="32" t="s">
        <v>555</v>
      </c>
      <c r="T19" s="32" t="s">
        <v>556</v>
      </c>
    </row>
    <row r="20" spans="1:36" ht="33" customHeight="1" x14ac:dyDescent="0.25">
      <c r="A20" s="348" t="s">
        <v>183</v>
      </c>
      <c r="B20" s="348" t="s">
        <v>182</v>
      </c>
      <c r="C20" s="344" t="s">
        <v>181</v>
      </c>
      <c r="D20" s="344"/>
      <c r="E20" s="358" t="s">
        <v>180</v>
      </c>
      <c r="F20" s="358"/>
      <c r="G20" s="348"/>
      <c r="H20" s="348" t="s">
        <v>535</v>
      </c>
      <c r="I20" s="348" t="s">
        <v>536</v>
      </c>
      <c r="J20" s="348" t="s">
        <v>557</v>
      </c>
      <c r="K20" s="348" t="s">
        <v>565</v>
      </c>
      <c r="L20" s="351">
        <v>2020</v>
      </c>
      <c r="M20" s="352"/>
      <c r="N20" s="352"/>
      <c r="O20" s="361"/>
      <c r="P20" s="351">
        <v>2021</v>
      </c>
      <c r="Q20" s="352"/>
      <c r="R20" s="352"/>
      <c r="S20" s="361"/>
      <c r="T20" s="351">
        <v>2022</v>
      </c>
      <c r="U20" s="352"/>
      <c r="V20" s="352"/>
      <c r="W20" s="361"/>
      <c r="X20" s="351">
        <v>2023</v>
      </c>
      <c r="Y20" s="352"/>
      <c r="Z20" s="352"/>
      <c r="AA20" s="361"/>
      <c r="AB20" s="351">
        <v>2024</v>
      </c>
      <c r="AC20" s="352"/>
      <c r="AD20" s="352"/>
      <c r="AE20" s="352"/>
      <c r="AF20" s="360" t="s">
        <v>179</v>
      </c>
      <c r="AG20" s="360"/>
      <c r="AH20" s="49"/>
      <c r="AI20" s="49"/>
      <c r="AJ20" s="49"/>
    </row>
    <row r="21" spans="1:36" ht="99.75" customHeight="1" x14ac:dyDescent="0.25">
      <c r="A21" s="349"/>
      <c r="B21" s="349"/>
      <c r="C21" s="344"/>
      <c r="D21" s="344"/>
      <c r="E21" s="358"/>
      <c r="F21" s="358"/>
      <c r="G21" s="349"/>
      <c r="H21" s="349"/>
      <c r="I21" s="349"/>
      <c r="J21" s="349"/>
      <c r="K21" s="349"/>
      <c r="L21" s="344" t="s">
        <v>2</v>
      </c>
      <c r="M21" s="344"/>
      <c r="N21" s="344" t="s">
        <v>9</v>
      </c>
      <c r="O21" s="344"/>
      <c r="P21" s="344" t="s">
        <v>2</v>
      </c>
      <c r="Q21" s="344"/>
      <c r="R21" s="344" t="s">
        <v>9</v>
      </c>
      <c r="S21" s="344"/>
      <c r="T21" s="344" t="s">
        <v>2</v>
      </c>
      <c r="U21" s="344"/>
      <c r="V21" s="344" t="s">
        <v>178</v>
      </c>
      <c r="W21" s="344"/>
      <c r="X21" s="344" t="s">
        <v>2</v>
      </c>
      <c r="Y21" s="344"/>
      <c r="Z21" s="344" t="s">
        <v>178</v>
      </c>
      <c r="AA21" s="344"/>
      <c r="AB21" s="344" t="s">
        <v>2</v>
      </c>
      <c r="AC21" s="344"/>
      <c r="AD21" s="344" t="s">
        <v>178</v>
      </c>
      <c r="AE21" s="344"/>
      <c r="AF21" s="360"/>
      <c r="AG21" s="360"/>
    </row>
    <row r="22" spans="1:36" ht="89.25" customHeight="1" x14ac:dyDescent="0.25">
      <c r="A22" s="350"/>
      <c r="B22" s="350"/>
      <c r="C22" s="46" t="s">
        <v>2</v>
      </c>
      <c r="D22" s="46" t="s">
        <v>178</v>
      </c>
      <c r="E22" s="48" t="s">
        <v>548</v>
      </c>
      <c r="F22" s="48" t="s">
        <v>580</v>
      </c>
      <c r="G22" s="350"/>
      <c r="H22" s="350"/>
      <c r="I22" s="350"/>
      <c r="J22" s="350"/>
      <c r="K22" s="350"/>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7" t="s">
        <v>373</v>
      </c>
      <c r="AC22" s="47" t="s">
        <v>374</v>
      </c>
      <c r="AD22" s="47" t="s">
        <v>373</v>
      </c>
      <c r="AE22" s="47" t="s">
        <v>374</v>
      </c>
      <c r="AF22" s="46" t="s">
        <v>558</v>
      </c>
      <c r="AG22" s="46" t="s">
        <v>539</v>
      </c>
    </row>
    <row r="23" spans="1:36" ht="19.5" customHeight="1" x14ac:dyDescent="0.25">
      <c r="A23" s="39">
        <v>1</v>
      </c>
      <c r="B23" s="39">
        <v>2</v>
      </c>
      <c r="C23" s="39">
        <v>3</v>
      </c>
      <c r="D23" s="39">
        <v>4</v>
      </c>
      <c r="E23" s="39">
        <v>5</v>
      </c>
      <c r="F23" s="39">
        <v>6</v>
      </c>
      <c r="G23" s="39"/>
      <c r="H23" s="39"/>
      <c r="I23" s="39"/>
      <c r="J23" s="39">
        <v>16</v>
      </c>
      <c r="K23" s="39">
        <v>7</v>
      </c>
      <c r="L23" s="39">
        <v>8</v>
      </c>
      <c r="M23" s="39">
        <v>9</v>
      </c>
      <c r="N23" s="39">
        <v>10</v>
      </c>
      <c r="O23" s="39">
        <v>11</v>
      </c>
      <c r="P23" s="39">
        <v>12</v>
      </c>
      <c r="Q23" s="39">
        <v>13</v>
      </c>
      <c r="R23" s="39">
        <v>14</v>
      </c>
      <c r="S23" s="39">
        <v>15</v>
      </c>
      <c r="T23" s="39">
        <v>16</v>
      </c>
      <c r="U23" s="39">
        <v>17</v>
      </c>
      <c r="V23" s="39">
        <v>18</v>
      </c>
      <c r="W23" s="39">
        <v>19</v>
      </c>
      <c r="X23" s="39">
        <v>20</v>
      </c>
      <c r="Y23" s="39">
        <v>21</v>
      </c>
      <c r="Z23" s="39">
        <v>22</v>
      </c>
      <c r="AA23" s="39">
        <v>23</v>
      </c>
      <c r="AB23" s="39">
        <v>24</v>
      </c>
      <c r="AC23" s="39">
        <v>25</v>
      </c>
      <c r="AD23" s="39">
        <v>26</v>
      </c>
      <c r="AE23" s="39">
        <v>27</v>
      </c>
      <c r="AF23" s="39">
        <v>28</v>
      </c>
      <c r="AG23" s="39">
        <v>29</v>
      </c>
    </row>
    <row r="24" spans="1:36" ht="47.25" customHeight="1" x14ac:dyDescent="0.25">
      <c r="A24" s="44">
        <v>1</v>
      </c>
      <c r="B24" s="43" t="s">
        <v>177</v>
      </c>
      <c r="C24" s="96">
        <v>1.4152012199999999</v>
      </c>
      <c r="D24" s="96">
        <v>1.4152012199999999</v>
      </c>
      <c r="E24" s="96">
        <v>1.4152012199999999</v>
      </c>
      <c r="F24" s="96">
        <f>D24-N24-R24</f>
        <v>0</v>
      </c>
      <c r="G24" s="96">
        <v>0</v>
      </c>
      <c r="H24" s="96">
        <v>0</v>
      </c>
      <c r="I24" s="96">
        <v>0</v>
      </c>
      <c r="J24" s="96">
        <v>0</v>
      </c>
      <c r="K24" s="96">
        <v>0</v>
      </c>
      <c r="L24" s="96" t="s">
        <v>540</v>
      </c>
      <c r="M24" s="96">
        <v>0</v>
      </c>
      <c r="N24" s="96">
        <v>0</v>
      </c>
      <c r="O24" s="96" t="s">
        <v>540</v>
      </c>
      <c r="P24" s="96">
        <v>1.4152012199999999</v>
      </c>
      <c r="Q24" s="96">
        <v>0</v>
      </c>
      <c r="R24" s="96">
        <v>1.4152012199999999</v>
      </c>
      <c r="S24" s="96" t="s">
        <v>540</v>
      </c>
      <c r="T24" s="96" t="s">
        <v>540</v>
      </c>
      <c r="U24" s="96">
        <v>0</v>
      </c>
      <c r="V24" s="96">
        <v>0</v>
      </c>
      <c r="W24" s="96">
        <v>0</v>
      </c>
      <c r="X24" s="96" t="s">
        <v>540</v>
      </c>
      <c r="Y24" s="96">
        <v>0</v>
      </c>
      <c r="Z24" s="96">
        <v>0</v>
      </c>
      <c r="AA24" s="96">
        <v>0</v>
      </c>
      <c r="AB24" s="96" t="s">
        <v>540</v>
      </c>
      <c r="AC24" s="96">
        <v>0</v>
      </c>
      <c r="AD24" s="96">
        <v>0</v>
      </c>
      <c r="AE24" s="96">
        <v>0</v>
      </c>
      <c r="AF24" s="96">
        <v>1.4152012199999999</v>
      </c>
      <c r="AG24" s="96">
        <f>N24+R24+V24+Z24+AD24</f>
        <v>1.4152012199999999</v>
      </c>
      <c r="AH24" s="274"/>
    </row>
    <row r="25" spans="1:36" ht="24" customHeight="1" x14ac:dyDescent="0.25">
      <c r="A25" s="41" t="s">
        <v>176</v>
      </c>
      <c r="B25" s="25" t="s">
        <v>175</v>
      </c>
      <c r="C25" s="96">
        <v>0</v>
      </c>
      <c r="D25" s="96">
        <v>0</v>
      </c>
      <c r="E25" s="96">
        <v>0</v>
      </c>
      <c r="F25" s="96">
        <f t="shared" ref="F25:F64" si="0">D25-N25-R25</f>
        <v>0</v>
      </c>
      <c r="G25" s="96">
        <v>0</v>
      </c>
      <c r="H25" s="96">
        <v>0</v>
      </c>
      <c r="I25" s="96">
        <v>0</v>
      </c>
      <c r="J25" s="96">
        <v>0</v>
      </c>
      <c r="K25" s="98">
        <v>0</v>
      </c>
      <c r="L25" s="96" t="s">
        <v>540</v>
      </c>
      <c r="M25" s="98">
        <v>0</v>
      </c>
      <c r="N25" s="96">
        <v>0</v>
      </c>
      <c r="O25" s="98" t="s">
        <v>540</v>
      </c>
      <c r="P25" s="96">
        <v>0</v>
      </c>
      <c r="Q25" s="98">
        <v>0</v>
      </c>
      <c r="R25" s="98">
        <v>0</v>
      </c>
      <c r="S25" s="98" t="s">
        <v>540</v>
      </c>
      <c r="T25" s="96" t="s">
        <v>540</v>
      </c>
      <c r="U25" s="98">
        <v>0</v>
      </c>
      <c r="V25" s="96">
        <v>0</v>
      </c>
      <c r="W25" s="96">
        <v>0</v>
      </c>
      <c r="X25" s="96" t="s">
        <v>540</v>
      </c>
      <c r="Y25" s="98">
        <v>0</v>
      </c>
      <c r="Z25" s="98">
        <v>0</v>
      </c>
      <c r="AA25" s="96">
        <v>0</v>
      </c>
      <c r="AB25" s="96" t="s">
        <v>540</v>
      </c>
      <c r="AC25" s="98">
        <v>0</v>
      </c>
      <c r="AD25" s="96">
        <v>0</v>
      </c>
      <c r="AE25" s="96">
        <v>0</v>
      </c>
      <c r="AF25" s="96">
        <v>0</v>
      </c>
      <c r="AG25" s="96">
        <f t="shared" ref="AG25:AG64" si="1">N25+R25+V25+Z25+AD25</f>
        <v>0</v>
      </c>
    </row>
    <row r="26" spans="1:36" x14ac:dyDescent="0.25">
      <c r="A26" s="41" t="s">
        <v>174</v>
      </c>
      <c r="B26" s="25" t="s">
        <v>173</v>
      </c>
      <c r="C26" s="96">
        <v>0</v>
      </c>
      <c r="D26" s="96">
        <v>0</v>
      </c>
      <c r="E26" s="96">
        <v>0</v>
      </c>
      <c r="F26" s="96">
        <f t="shared" si="0"/>
        <v>0</v>
      </c>
      <c r="G26" s="96">
        <v>0</v>
      </c>
      <c r="H26" s="96">
        <v>0</v>
      </c>
      <c r="I26" s="96">
        <v>0</v>
      </c>
      <c r="J26" s="96">
        <v>0</v>
      </c>
      <c r="K26" s="98">
        <v>0</v>
      </c>
      <c r="L26" s="96" t="s">
        <v>540</v>
      </c>
      <c r="M26" s="98">
        <v>0</v>
      </c>
      <c r="N26" s="96">
        <v>0</v>
      </c>
      <c r="O26" s="98" t="s">
        <v>540</v>
      </c>
      <c r="P26" s="96">
        <v>0</v>
      </c>
      <c r="Q26" s="98">
        <v>0</v>
      </c>
      <c r="R26" s="98">
        <v>0</v>
      </c>
      <c r="S26" s="98" t="s">
        <v>540</v>
      </c>
      <c r="T26" s="96" t="s">
        <v>540</v>
      </c>
      <c r="U26" s="98">
        <v>0</v>
      </c>
      <c r="V26" s="96">
        <v>0</v>
      </c>
      <c r="W26" s="96">
        <v>0</v>
      </c>
      <c r="X26" s="96" t="s">
        <v>540</v>
      </c>
      <c r="Y26" s="98">
        <v>0</v>
      </c>
      <c r="Z26" s="98">
        <v>0</v>
      </c>
      <c r="AA26" s="96">
        <v>0</v>
      </c>
      <c r="AB26" s="96" t="s">
        <v>540</v>
      </c>
      <c r="AC26" s="98">
        <v>0</v>
      </c>
      <c r="AD26" s="96">
        <v>0</v>
      </c>
      <c r="AE26" s="96">
        <v>0</v>
      </c>
      <c r="AF26" s="96">
        <v>0</v>
      </c>
      <c r="AG26" s="96">
        <f t="shared" si="1"/>
        <v>0</v>
      </c>
    </row>
    <row r="27" spans="1:36" ht="31.5" x14ac:dyDescent="0.25">
      <c r="A27" s="41" t="s">
        <v>172</v>
      </c>
      <c r="B27" s="25" t="s">
        <v>355</v>
      </c>
      <c r="C27" s="96">
        <v>1.4152012199999999</v>
      </c>
      <c r="D27" s="96">
        <v>1.4152012199999999</v>
      </c>
      <c r="E27" s="96">
        <v>1.4152012199999999</v>
      </c>
      <c r="F27" s="96">
        <f t="shared" si="0"/>
        <v>0</v>
      </c>
      <c r="G27" s="96">
        <v>0</v>
      </c>
      <c r="H27" s="96">
        <v>0</v>
      </c>
      <c r="I27" s="96">
        <v>0</v>
      </c>
      <c r="J27" s="96">
        <v>0</v>
      </c>
      <c r="K27" s="98">
        <v>0</v>
      </c>
      <c r="L27" s="96" t="s">
        <v>540</v>
      </c>
      <c r="M27" s="98">
        <v>0</v>
      </c>
      <c r="N27" s="96">
        <v>0</v>
      </c>
      <c r="O27" s="98" t="s">
        <v>540</v>
      </c>
      <c r="P27" s="96">
        <v>1.4152012199999999</v>
      </c>
      <c r="Q27" s="98">
        <v>0</v>
      </c>
      <c r="R27" s="96">
        <v>1.4152012199999999</v>
      </c>
      <c r="S27" s="98" t="s">
        <v>540</v>
      </c>
      <c r="T27" s="96" t="s">
        <v>540</v>
      </c>
      <c r="U27" s="98">
        <v>0</v>
      </c>
      <c r="V27" s="96">
        <v>0</v>
      </c>
      <c r="W27" s="96">
        <v>0</v>
      </c>
      <c r="X27" s="96" t="s">
        <v>540</v>
      </c>
      <c r="Y27" s="98">
        <v>0</v>
      </c>
      <c r="Z27" s="98">
        <v>0</v>
      </c>
      <c r="AA27" s="96">
        <v>0</v>
      </c>
      <c r="AB27" s="96" t="s">
        <v>540</v>
      </c>
      <c r="AC27" s="98">
        <v>0</v>
      </c>
      <c r="AD27" s="96">
        <v>0</v>
      </c>
      <c r="AE27" s="96">
        <v>0</v>
      </c>
      <c r="AF27" s="96">
        <v>1.4152012199999999</v>
      </c>
      <c r="AG27" s="96">
        <f t="shared" si="1"/>
        <v>1.4152012199999999</v>
      </c>
    </row>
    <row r="28" spans="1:36" x14ac:dyDescent="0.25">
      <c r="A28" s="41" t="s">
        <v>171</v>
      </c>
      <c r="B28" s="25" t="s">
        <v>541</v>
      </c>
      <c r="C28" s="96">
        <v>0</v>
      </c>
      <c r="D28" s="96">
        <v>0</v>
      </c>
      <c r="E28" s="96">
        <v>0</v>
      </c>
      <c r="F28" s="96">
        <f t="shared" si="0"/>
        <v>0</v>
      </c>
      <c r="G28" s="96">
        <v>0</v>
      </c>
      <c r="H28" s="96">
        <v>0</v>
      </c>
      <c r="I28" s="96">
        <v>0</v>
      </c>
      <c r="J28" s="96">
        <v>0</v>
      </c>
      <c r="K28" s="98">
        <v>0</v>
      </c>
      <c r="L28" s="96" t="s">
        <v>540</v>
      </c>
      <c r="M28" s="98">
        <v>0</v>
      </c>
      <c r="N28" s="96">
        <v>0</v>
      </c>
      <c r="O28" s="98" t="s">
        <v>540</v>
      </c>
      <c r="P28" s="96">
        <v>0</v>
      </c>
      <c r="Q28" s="98">
        <v>0</v>
      </c>
      <c r="R28" s="98">
        <v>0</v>
      </c>
      <c r="S28" s="98" t="s">
        <v>540</v>
      </c>
      <c r="T28" s="96" t="s">
        <v>540</v>
      </c>
      <c r="U28" s="98">
        <v>0</v>
      </c>
      <c r="V28" s="96">
        <v>0</v>
      </c>
      <c r="W28" s="96">
        <v>0</v>
      </c>
      <c r="X28" s="96" t="s">
        <v>540</v>
      </c>
      <c r="Y28" s="98">
        <v>0</v>
      </c>
      <c r="Z28" s="98">
        <v>0</v>
      </c>
      <c r="AA28" s="96">
        <v>0</v>
      </c>
      <c r="AB28" s="96" t="s">
        <v>540</v>
      </c>
      <c r="AC28" s="98">
        <v>0</v>
      </c>
      <c r="AD28" s="96">
        <v>0</v>
      </c>
      <c r="AE28" s="96">
        <v>0</v>
      </c>
      <c r="AF28" s="96">
        <v>0</v>
      </c>
      <c r="AG28" s="96">
        <f t="shared" si="1"/>
        <v>0</v>
      </c>
    </row>
    <row r="29" spans="1:36" x14ac:dyDescent="0.25">
      <c r="A29" s="41" t="s">
        <v>169</v>
      </c>
      <c r="B29" s="45" t="s">
        <v>168</v>
      </c>
      <c r="C29" s="96">
        <v>0</v>
      </c>
      <c r="D29" s="96">
        <v>0</v>
      </c>
      <c r="E29" s="96">
        <v>0</v>
      </c>
      <c r="F29" s="96">
        <f t="shared" si="0"/>
        <v>0</v>
      </c>
      <c r="G29" s="96">
        <v>0</v>
      </c>
      <c r="H29" s="96">
        <v>0</v>
      </c>
      <c r="I29" s="96">
        <v>0</v>
      </c>
      <c r="J29" s="96">
        <v>0</v>
      </c>
      <c r="K29" s="98">
        <v>0</v>
      </c>
      <c r="L29" s="96" t="s">
        <v>540</v>
      </c>
      <c r="M29" s="98">
        <v>0</v>
      </c>
      <c r="N29" s="96">
        <v>0</v>
      </c>
      <c r="O29" s="98" t="s">
        <v>540</v>
      </c>
      <c r="P29" s="96">
        <v>0</v>
      </c>
      <c r="Q29" s="98">
        <v>0</v>
      </c>
      <c r="R29" s="98">
        <v>0</v>
      </c>
      <c r="S29" s="98" t="s">
        <v>540</v>
      </c>
      <c r="T29" s="96" t="s">
        <v>540</v>
      </c>
      <c r="U29" s="98">
        <v>0</v>
      </c>
      <c r="V29" s="96">
        <v>0</v>
      </c>
      <c r="W29" s="96">
        <v>0</v>
      </c>
      <c r="X29" s="96" t="s">
        <v>540</v>
      </c>
      <c r="Y29" s="98">
        <v>0</v>
      </c>
      <c r="Z29" s="98">
        <v>0</v>
      </c>
      <c r="AA29" s="96">
        <v>0</v>
      </c>
      <c r="AB29" s="96" t="s">
        <v>540</v>
      </c>
      <c r="AC29" s="98">
        <v>0</v>
      </c>
      <c r="AD29" s="96">
        <v>0</v>
      </c>
      <c r="AE29" s="96">
        <v>0</v>
      </c>
      <c r="AF29" s="96">
        <v>0</v>
      </c>
      <c r="AG29" s="96">
        <f t="shared" si="1"/>
        <v>0</v>
      </c>
    </row>
    <row r="30" spans="1:36" s="275" customFormat="1" ht="47.25" x14ac:dyDescent="0.25">
      <c r="A30" s="44" t="s">
        <v>61</v>
      </c>
      <c r="B30" s="43" t="s">
        <v>167</v>
      </c>
      <c r="C30" s="96">
        <v>1.4152012199999999</v>
      </c>
      <c r="D30" s="96">
        <v>1.4152012199999999</v>
      </c>
      <c r="E30" s="96">
        <v>1.4152012199999999</v>
      </c>
      <c r="F30" s="96">
        <f t="shared" si="0"/>
        <v>0</v>
      </c>
      <c r="G30" s="96">
        <v>0</v>
      </c>
      <c r="H30" s="96">
        <v>0</v>
      </c>
      <c r="I30" s="96">
        <v>0</v>
      </c>
      <c r="J30" s="96">
        <v>0</v>
      </c>
      <c r="K30" s="96">
        <v>0</v>
      </c>
      <c r="L30" s="96" t="s">
        <v>540</v>
      </c>
      <c r="M30" s="96">
        <v>0</v>
      </c>
      <c r="N30" s="96">
        <v>0</v>
      </c>
      <c r="O30" s="96">
        <v>0</v>
      </c>
      <c r="P30" s="96">
        <v>1.4152012199999999</v>
      </c>
      <c r="Q30" s="96">
        <v>0</v>
      </c>
      <c r="R30" s="96">
        <v>1.4152012199999999</v>
      </c>
      <c r="S30" s="96">
        <v>0</v>
      </c>
      <c r="T30" s="96" t="s">
        <v>540</v>
      </c>
      <c r="U30" s="96">
        <v>0</v>
      </c>
      <c r="V30" s="96">
        <v>0</v>
      </c>
      <c r="W30" s="96">
        <v>0</v>
      </c>
      <c r="X30" s="96" t="s">
        <v>540</v>
      </c>
      <c r="Y30" s="96">
        <v>0</v>
      </c>
      <c r="Z30" s="96">
        <v>0</v>
      </c>
      <c r="AA30" s="96">
        <v>0</v>
      </c>
      <c r="AB30" s="96" t="s">
        <v>540</v>
      </c>
      <c r="AC30" s="96">
        <v>0</v>
      </c>
      <c r="AD30" s="96">
        <v>0</v>
      </c>
      <c r="AE30" s="96">
        <v>0</v>
      </c>
      <c r="AF30" s="96">
        <v>1.4152012199999999</v>
      </c>
      <c r="AG30" s="96">
        <f>N30+R30+V30+Z30+AD30</f>
        <v>1.4152012199999999</v>
      </c>
    </row>
    <row r="31" spans="1:36" x14ac:dyDescent="0.25">
      <c r="A31" s="44" t="s">
        <v>166</v>
      </c>
      <c r="B31" s="25" t="s">
        <v>165</v>
      </c>
      <c r="C31" s="96">
        <v>0</v>
      </c>
      <c r="D31" s="278">
        <v>0</v>
      </c>
      <c r="E31" s="96">
        <v>0</v>
      </c>
      <c r="F31" s="96">
        <f t="shared" si="0"/>
        <v>0</v>
      </c>
      <c r="G31" s="96">
        <v>0</v>
      </c>
      <c r="H31" s="96">
        <v>0</v>
      </c>
      <c r="I31" s="96">
        <v>0</v>
      </c>
      <c r="J31" s="96">
        <v>0</v>
      </c>
      <c r="K31" s="98">
        <v>0</v>
      </c>
      <c r="L31" s="96" t="s">
        <v>540</v>
      </c>
      <c r="M31" s="98">
        <v>0</v>
      </c>
      <c r="N31" s="96">
        <v>0</v>
      </c>
      <c r="O31" s="98" t="s">
        <v>540</v>
      </c>
      <c r="P31" s="96">
        <v>0</v>
      </c>
      <c r="Q31" s="98">
        <v>0</v>
      </c>
      <c r="R31" s="98">
        <v>0</v>
      </c>
      <c r="S31" s="98" t="s">
        <v>540</v>
      </c>
      <c r="T31" s="96" t="s">
        <v>540</v>
      </c>
      <c r="U31" s="98">
        <v>0</v>
      </c>
      <c r="V31" s="96">
        <v>0</v>
      </c>
      <c r="W31" s="96">
        <v>0</v>
      </c>
      <c r="X31" s="96" t="s">
        <v>540</v>
      </c>
      <c r="Y31" s="98">
        <v>0</v>
      </c>
      <c r="Z31" s="98">
        <v>0</v>
      </c>
      <c r="AA31" s="96">
        <v>0</v>
      </c>
      <c r="AB31" s="96" t="s">
        <v>540</v>
      </c>
      <c r="AC31" s="98">
        <v>0</v>
      </c>
      <c r="AD31" s="96">
        <v>0</v>
      </c>
      <c r="AE31" s="96">
        <v>0</v>
      </c>
      <c r="AF31" s="96">
        <v>0</v>
      </c>
      <c r="AG31" s="96">
        <f t="shared" ref="AG31:AG34" si="2">N31+R31+V31+Z31+AD31</f>
        <v>0</v>
      </c>
    </row>
    <row r="32" spans="1:36" ht="31.5" x14ac:dyDescent="0.25">
      <c r="A32" s="44" t="s">
        <v>164</v>
      </c>
      <c r="B32" s="25" t="s">
        <v>163</v>
      </c>
      <c r="C32" s="96">
        <v>0.67360483000000004</v>
      </c>
      <c r="D32" s="279">
        <v>0.67360483000000004</v>
      </c>
      <c r="E32" s="96">
        <v>0.67360483000000004</v>
      </c>
      <c r="F32" s="96">
        <f t="shared" si="0"/>
        <v>0</v>
      </c>
      <c r="G32" s="96">
        <v>0</v>
      </c>
      <c r="H32" s="96">
        <v>0</v>
      </c>
      <c r="I32" s="96">
        <v>0</v>
      </c>
      <c r="J32" s="96">
        <v>0</v>
      </c>
      <c r="K32" s="98">
        <v>0</v>
      </c>
      <c r="L32" s="96" t="s">
        <v>540</v>
      </c>
      <c r="M32" s="98">
        <v>0</v>
      </c>
      <c r="N32" s="96">
        <v>0</v>
      </c>
      <c r="O32" s="98" t="s">
        <v>540</v>
      </c>
      <c r="P32" s="96">
        <v>0.67360483000000004</v>
      </c>
      <c r="Q32" s="98">
        <v>0</v>
      </c>
      <c r="R32" s="98">
        <v>0.67360483000000004</v>
      </c>
      <c r="S32" s="98" t="s">
        <v>540</v>
      </c>
      <c r="T32" s="96" t="s">
        <v>540</v>
      </c>
      <c r="U32" s="98">
        <v>0</v>
      </c>
      <c r="V32" s="96">
        <v>0</v>
      </c>
      <c r="W32" s="96">
        <v>0</v>
      </c>
      <c r="X32" s="96" t="s">
        <v>540</v>
      </c>
      <c r="Y32" s="98">
        <v>0</v>
      </c>
      <c r="Z32" s="98">
        <v>0</v>
      </c>
      <c r="AA32" s="96">
        <v>0</v>
      </c>
      <c r="AB32" s="96" t="s">
        <v>540</v>
      </c>
      <c r="AC32" s="98">
        <v>0</v>
      </c>
      <c r="AD32" s="96">
        <v>0</v>
      </c>
      <c r="AE32" s="96">
        <v>0</v>
      </c>
      <c r="AF32" s="96">
        <v>0.67360483000000004</v>
      </c>
      <c r="AG32" s="96">
        <f>N32+R32+V32+Z32+AD32</f>
        <v>0.67360483000000004</v>
      </c>
      <c r="AH32" s="276"/>
    </row>
    <row r="33" spans="1:33" x14ac:dyDescent="0.25">
      <c r="A33" s="44" t="s">
        <v>162</v>
      </c>
      <c r="B33" s="25" t="s">
        <v>161</v>
      </c>
      <c r="C33" s="96">
        <v>0.74159638999999999</v>
      </c>
      <c r="D33" s="279">
        <v>0.74159638999999999</v>
      </c>
      <c r="E33" s="96">
        <v>0.74159638999999999</v>
      </c>
      <c r="F33" s="96">
        <f t="shared" si="0"/>
        <v>0</v>
      </c>
      <c r="G33" s="96">
        <v>0</v>
      </c>
      <c r="H33" s="96">
        <v>0</v>
      </c>
      <c r="I33" s="96">
        <v>0</v>
      </c>
      <c r="J33" s="96">
        <v>0</v>
      </c>
      <c r="K33" s="98">
        <v>0</v>
      </c>
      <c r="L33" s="96" t="s">
        <v>540</v>
      </c>
      <c r="M33" s="98">
        <v>0</v>
      </c>
      <c r="N33" s="96">
        <v>0</v>
      </c>
      <c r="O33" s="98" t="s">
        <v>540</v>
      </c>
      <c r="P33" s="96">
        <v>0.74159638999999999</v>
      </c>
      <c r="Q33" s="98">
        <v>0</v>
      </c>
      <c r="R33" s="98">
        <v>0.74159638999999999</v>
      </c>
      <c r="S33" s="98" t="s">
        <v>540</v>
      </c>
      <c r="T33" s="96" t="s">
        <v>540</v>
      </c>
      <c r="U33" s="98">
        <v>0</v>
      </c>
      <c r="V33" s="96">
        <v>0</v>
      </c>
      <c r="W33" s="96">
        <v>0</v>
      </c>
      <c r="X33" s="96" t="s">
        <v>540</v>
      </c>
      <c r="Y33" s="98">
        <v>0</v>
      </c>
      <c r="Z33" s="98">
        <v>0</v>
      </c>
      <c r="AA33" s="96">
        <v>0</v>
      </c>
      <c r="AB33" s="96" t="s">
        <v>540</v>
      </c>
      <c r="AC33" s="98">
        <v>0</v>
      </c>
      <c r="AD33" s="96">
        <v>0</v>
      </c>
      <c r="AE33" s="96">
        <v>0</v>
      </c>
      <c r="AF33" s="96">
        <v>0.74159638999999999</v>
      </c>
      <c r="AG33" s="96">
        <f t="shared" si="2"/>
        <v>0.74159638999999999</v>
      </c>
    </row>
    <row r="34" spans="1:33" x14ac:dyDescent="0.25">
      <c r="A34" s="44" t="s">
        <v>160</v>
      </c>
      <c r="B34" s="25" t="s">
        <v>159</v>
      </c>
      <c r="C34" s="96">
        <v>3.2000000000000001E-2</v>
      </c>
      <c r="D34" s="277">
        <v>3.2000000000000001E-2</v>
      </c>
      <c r="E34" s="96">
        <v>3.2000000000000001E-2</v>
      </c>
      <c r="F34" s="96">
        <f t="shared" si="0"/>
        <v>0</v>
      </c>
      <c r="G34" s="96">
        <v>0</v>
      </c>
      <c r="H34" s="96">
        <v>0</v>
      </c>
      <c r="I34" s="96">
        <v>0</v>
      </c>
      <c r="J34" s="96">
        <v>0</v>
      </c>
      <c r="K34" s="98">
        <v>0</v>
      </c>
      <c r="L34" s="96" t="s">
        <v>540</v>
      </c>
      <c r="M34" s="98">
        <v>0</v>
      </c>
      <c r="N34" s="96">
        <v>0</v>
      </c>
      <c r="O34" s="98" t="s">
        <v>540</v>
      </c>
      <c r="P34" s="96">
        <v>3.2000000000000001E-2</v>
      </c>
      <c r="Q34" s="98">
        <v>0</v>
      </c>
      <c r="R34" s="98">
        <v>3.2000000000000001E-2</v>
      </c>
      <c r="S34" s="98" t="s">
        <v>540</v>
      </c>
      <c r="T34" s="96" t="s">
        <v>540</v>
      </c>
      <c r="U34" s="98">
        <v>0</v>
      </c>
      <c r="V34" s="96">
        <v>0</v>
      </c>
      <c r="W34" s="96">
        <v>0</v>
      </c>
      <c r="X34" s="96" t="s">
        <v>540</v>
      </c>
      <c r="Y34" s="98">
        <v>0</v>
      </c>
      <c r="Z34" s="98">
        <v>0</v>
      </c>
      <c r="AA34" s="96">
        <v>0</v>
      </c>
      <c r="AB34" s="96" t="s">
        <v>540</v>
      </c>
      <c r="AC34" s="98">
        <v>0</v>
      </c>
      <c r="AD34" s="96">
        <v>0</v>
      </c>
      <c r="AE34" s="96">
        <v>0</v>
      </c>
      <c r="AF34" s="96">
        <v>3.2000000000000001E-2</v>
      </c>
      <c r="AG34" s="96">
        <f t="shared" si="2"/>
        <v>3.2000000000000001E-2</v>
      </c>
    </row>
    <row r="35" spans="1:33" s="275" customFormat="1" ht="31.5" x14ac:dyDescent="0.25">
      <c r="A35" s="44" t="s">
        <v>60</v>
      </c>
      <c r="B35" s="43" t="s">
        <v>158</v>
      </c>
      <c r="C35" s="96">
        <v>0</v>
      </c>
      <c r="D35" s="96">
        <v>0</v>
      </c>
      <c r="E35" s="96">
        <v>0</v>
      </c>
      <c r="F35" s="96">
        <f t="shared" si="0"/>
        <v>0</v>
      </c>
      <c r="G35" s="96">
        <v>0</v>
      </c>
      <c r="H35" s="96">
        <v>0</v>
      </c>
      <c r="I35" s="96">
        <v>0</v>
      </c>
      <c r="J35" s="96">
        <v>0</v>
      </c>
      <c r="K35" s="98">
        <v>0</v>
      </c>
      <c r="L35" s="96" t="s">
        <v>540</v>
      </c>
      <c r="M35" s="96">
        <v>0</v>
      </c>
      <c r="N35" s="96">
        <v>0</v>
      </c>
      <c r="O35" s="96" t="s">
        <v>540</v>
      </c>
      <c r="P35" s="96">
        <v>0</v>
      </c>
      <c r="Q35" s="96">
        <v>0</v>
      </c>
      <c r="R35" s="96">
        <v>0</v>
      </c>
      <c r="S35" s="96" t="s">
        <v>540</v>
      </c>
      <c r="T35" s="96" t="s">
        <v>540</v>
      </c>
      <c r="U35" s="96">
        <v>0</v>
      </c>
      <c r="V35" s="96">
        <v>0</v>
      </c>
      <c r="W35" s="96">
        <v>0</v>
      </c>
      <c r="X35" s="96" t="s">
        <v>540</v>
      </c>
      <c r="Y35" s="96">
        <v>0</v>
      </c>
      <c r="Z35" s="96">
        <v>0</v>
      </c>
      <c r="AA35" s="96">
        <v>0</v>
      </c>
      <c r="AB35" s="96" t="s">
        <v>540</v>
      </c>
      <c r="AC35" s="96">
        <v>0</v>
      </c>
      <c r="AD35" s="96">
        <v>0</v>
      </c>
      <c r="AE35" s="96">
        <v>0</v>
      </c>
      <c r="AF35" s="96">
        <v>0</v>
      </c>
      <c r="AG35" s="96">
        <f t="shared" si="1"/>
        <v>0</v>
      </c>
    </row>
    <row r="36" spans="1:33" ht="31.5" x14ac:dyDescent="0.25">
      <c r="A36" s="41" t="s">
        <v>157</v>
      </c>
      <c r="B36" s="170" t="s">
        <v>156</v>
      </c>
      <c r="C36" s="96">
        <v>0</v>
      </c>
      <c r="D36" s="96">
        <v>0</v>
      </c>
      <c r="E36" s="96">
        <v>0</v>
      </c>
      <c r="F36" s="96">
        <f t="shared" si="0"/>
        <v>0</v>
      </c>
      <c r="G36" s="96">
        <v>0</v>
      </c>
      <c r="H36" s="96">
        <v>0</v>
      </c>
      <c r="I36" s="96">
        <v>0</v>
      </c>
      <c r="J36" s="96">
        <v>0</v>
      </c>
      <c r="K36" s="98">
        <v>0</v>
      </c>
      <c r="L36" s="96" t="s">
        <v>540</v>
      </c>
      <c r="M36" s="98">
        <v>0</v>
      </c>
      <c r="N36" s="96">
        <v>0</v>
      </c>
      <c r="O36" s="98" t="s">
        <v>540</v>
      </c>
      <c r="P36" s="96">
        <v>0</v>
      </c>
      <c r="Q36" s="98">
        <v>0</v>
      </c>
      <c r="R36" s="98">
        <v>0</v>
      </c>
      <c r="S36" s="98" t="s">
        <v>540</v>
      </c>
      <c r="T36" s="96" t="s">
        <v>540</v>
      </c>
      <c r="U36" s="98">
        <v>0</v>
      </c>
      <c r="V36" s="96">
        <v>0</v>
      </c>
      <c r="W36" s="96">
        <v>0</v>
      </c>
      <c r="X36" s="96" t="s">
        <v>540</v>
      </c>
      <c r="Y36" s="98">
        <v>0</v>
      </c>
      <c r="Z36" s="98">
        <v>0</v>
      </c>
      <c r="AA36" s="96">
        <v>0</v>
      </c>
      <c r="AB36" s="96" t="s">
        <v>540</v>
      </c>
      <c r="AC36" s="98">
        <v>0</v>
      </c>
      <c r="AD36" s="96">
        <v>0</v>
      </c>
      <c r="AE36" s="96">
        <v>0</v>
      </c>
      <c r="AF36" s="96">
        <v>0</v>
      </c>
      <c r="AG36" s="96">
        <f t="shared" si="1"/>
        <v>0</v>
      </c>
    </row>
    <row r="37" spans="1:33" x14ac:dyDescent="0.25">
      <c r="A37" s="41" t="s">
        <v>155</v>
      </c>
      <c r="B37" s="170" t="s">
        <v>145</v>
      </c>
      <c r="C37" s="96">
        <v>0</v>
      </c>
      <c r="D37" s="96">
        <v>0</v>
      </c>
      <c r="E37" s="96">
        <v>0</v>
      </c>
      <c r="F37" s="96">
        <f t="shared" si="0"/>
        <v>0</v>
      </c>
      <c r="G37" s="96">
        <v>0</v>
      </c>
      <c r="H37" s="96">
        <v>0</v>
      </c>
      <c r="I37" s="96">
        <v>0</v>
      </c>
      <c r="J37" s="96">
        <v>0</v>
      </c>
      <c r="K37" s="98">
        <v>0</v>
      </c>
      <c r="L37" s="96" t="s">
        <v>540</v>
      </c>
      <c r="M37" s="98">
        <v>0</v>
      </c>
      <c r="N37" s="96">
        <v>0</v>
      </c>
      <c r="O37" s="98" t="s">
        <v>540</v>
      </c>
      <c r="P37" s="96">
        <v>0</v>
      </c>
      <c r="Q37" s="98">
        <v>0</v>
      </c>
      <c r="R37" s="98">
        <v>0</v>
      </c>
      <c r="S37" s="98" t="s">
        <v>540</v>
      </c>
      <c r="T37" s="96" t="s">
        <v>540</v>
      </c>
      <c r="U37" s="98">
        <v>0</v>
      </c>
      <c r="V37" s="96">
        <v>0</v>
      </c>
      <c r="W37" s="96">
        <v>0</v>
      </c>
      <c r="X37" s="96" t="s">
        <v>540</v>
      </c>
      <c r="Y37" s="98">
        <v>0</v>
      </c>
      <c r="Z37" s="98">
        <v>0</v>
      </c>
      <c r="AA37" s="96">
        <v>0</v>
      </c>
      <c r="AB37" s="96" t="s">
        <v>540</v>
      </c>
      <c r="AC37" s="98">
        <v>0</v>
      </c>
      <c r="AD37" s="96">
        <v>0</v>
      </c>
      <c r="AE37" s="96">
        <v>0</v>
      </c>
      <c r="AF37" s="96">
        <v>0</v>
      </c>
      <c r="AG37" s="96">
        <f t="shared" si="1"/>
        <v>0</v>
      </c>
    </row>
    <row r="38" spans="1:33" x14ac:dyDescent="0.25">
      <c r="A38" s="41" t="s">
        <v>154</v>
      </c>
      <c r="B38" s="170" t="s">
        <v>143</v>
      </c>
      <c r="C38" s="96">
        <v>0</v>
      </c>
      <c r="D38" s="96">
        <v>0</v>
      </c>
      <c r="E38" s="96">
        <v>0</v>
      </c>
      <c r="F38" s="96">
        <f t="shared" si="0"/>
        <v>0</v>
      </c>
      <c r="G38" s="96">
        <v>0</v>
      </c>
      <c r="H38" s="96">
        <v>0</v>
      </c>
      <c r="I38" s="96">
        <v>0</v>
      </c>
      <c r="J38" s="96">
        <v>0</v>
      </c>
      <c r="K38" s="98">
        <v>0</v>
      </c>
      <c r="L38" s="96" t="s">
        <v>540</v>
      </c>
      <c r="M38" s="98">
        <v>0</v>
      </c>
      <c r="N38" s="96">
        <v>0</v>
      </c>
      <c r="O38" s="98" t="s">
        <v>540</v>
      </c>
      <c r="P38" s="96">
        <v>0</v>
      </c>
      <c r="Q38" s="98">
        <v>0</v>
      </c>
      <c r="R38" s="98">
        <v>0</v>
      </c>
      <c r="S38" s="98" t="s">
        <v>540</v>
      </c>
      <c r="T38" s="96" t="s">
        <v>540</v>
      </c>
      <c r="U38" s="98">
        <v>0</v>
      </c>
      <c r="V38" s="96">
        <v>0</v>
      </c>
      <c r="W38" s="96">
        <v>0</v>
      </c>
      <c r="X38" s="96" t="s">
        <v>540</v>
      </c>
      <c r="Y38" s="98">
        <v>0</v>
      </c>
      <c r="Z38" s="98">
        <v>0</v>
      </c>
      <c r="AA38" s="96">
        <v>0</v>
      </c>
      <c r="AB38" s="96" t="s">
        <v>540</v>
      </c>
      <c r="AC38" s="98">
        <v>0</v>
      </c>
      <c r="AD38" s="96">
        <v>0</v>
      </c>
      <c r="AE38" s="96">
        <v>0</v>
      </c>
      <c r="AF38" s="96">
        <v>0</v>
      </c>
      <c r="AG38" s="96">
        <f t="shared" si="1"/>
        <v>0</v>
      </c>
    </row>
    <row r="39" spans="1:33" ht="31.5" x14ac:dyDescent="0.25">
      <c r="A39" s="41" t="s">
        <v>153</v>
      </c>
      <c r="B39" s="25" t="s">
        <v>141</v>
      </c>
      <c r="C39" s="96">
        <v>0</v>
      </c>
      <c r="D39" s="96">
        <v>0</v>
      </c>
      <c r="E39" s="96">
        <v>0</v>
      </c>
      <c r="F39" s="96">
        <f t="shared" si="0"/>
        <v>0</v>
      </c>
      <c r="G39" s="96">
        <v>0</v>
      </c>
      <c r="H39" s="96">
        <v>0</v>
      </c>
      <c r="I39" s="96">
        <v>0</v>
      </c>
      <c r="J39" s="96">
        <v>0</v>
      </c>
      <c r="K39" s="98">
        <v>0</v>
      </c>
      <c r="L39" s="96" t="s">
        <v>540</v>
      </c>
      <c r="M39" s="98">
        <v>0</v>
      </c>
      <c r="N39" s="96">
        <v>0</v>
      </c>
      <c r="O39" s="98" t="s">
        <v>540</v>
      </c>
      <c r="P39" s="96">
        <v>0</v>
      </c>
      <c r="Q39" s="98">
        <v>0</v>
      </c>
      <c r="R39" s="98">
        <v>0</v>
      </c>
      <c r="S39" s="98" t="s">
        <v>540</v>
      </c>
      <c r="T39" s="96" t="s">
        <v>540</v>
      </c>
      <c r="U39" s="98">
        <v>0</v>
      </c>
      <c r="V39" s="96">
        <v>0</v>
      </c>
      <c r="W39" s="96">
        <v>0</v>
      </c>
      <c r="X39" s="96" t="s">
        <v>540</v>
      </c>
      <c r="Y39" s="98">
        <v>0</v>
      </c>
      <c r="Z39" s="98">
        <v>0</v>
      </c>
      <c r="AA39" s="96">
        <v>0</v>
      </c>
      <c r="AB39" s="96" t="s">
        <v>540</v>
      </c>
      <c r="AC39" s="98">
        <v>0</v>
      </c>
      <c r="AD39" s="96">
        <v>0</v>
      </c>
      <c r="AE39" s="96">
        <v>0</v>
      </c>
      <c r="AF39" s="96">
        <v>0</v>
      </c>
      <c r="AG39" s="96">
        <f t="shared" si="1"/>
        <v>0</v>
      </c>
    </row>
    <row r="40" spans="1:33" ht="31.5" x14ac:dyDescent="0.25">
      <c r="A40" s="41" t="s">
        <v>152</v>
      </c>
      <c r="B40" s="25" t="s">
        <v>139</v>
      </c>
      <c r="C40" s="96">
        <v>0</v>
      </c>
      <c r="D40" s="96">
        <v>0</v>
      </c>
      <c r="E40" s="96">
        <v>0</v>
      </c>
      <c r="F40" s="96">
        <f t="shared" si="0"/>
        <v>0</v>
      </c>
      <c r="G40" s="96">
        <v>0</v>
      </c>
      <c r="H40" s="96">
        <v>0</v>
      </c>
      <c r="I40" s="96">
        <v>0</v>
      </c>
      <c r="J40" s="96">
        <v>0</v>
      </c>
      <c r="K40" s="98">
        <v>0</v>
      </c>
      <c r="L40" s="96" t="s">
        <v>540</v>
      </c>
      <c r="M40" s="98">
        <v>0</v>
      </c>
      <c r="N40" s="96">
        <v>0</v>
      </c>
      <c r="O40" s="98" t="s">
        <v>540</v>
      </c>
      <c r="P40" s="96">
        <v>0</v>
      </c>
      <c r="Q40" s="98">
        <v>0</v>
      </c>
      <c r="R40" s="98">
        <v>0</v>
      </c>
      <c r="S40" s="98" t="s">
        <v>540</v>
      </c>
      <c r="T40" s="96" t="s">
        <v>540</v>
      </c>
      <c r="U40" s="98">
        <v>0</v>
      </c>
      <c r="V40" s="96">
        <v>0</v>
      </c>
      <c r="W40" s="96">
        <v>0</v>
      </c>
      <c r="X40" s="96" t="s">
        <v>540</v>
      </c>
      <c r="Y40" s="98">
        <v>0</v>
      </c>
      <c r="Z40" s="98">
        <v>0</v>
      </c>
      <c r="AA40" s="96">
        <v>0</v>
      </c>
      <c r="AB40" s="96" t="s">
        <v>540</v>
      </c>
      <c r="AC40" s="98">
        <v>0</v>
      </c>
      <c r="AD40" s="96">
        <v>0</v>
      </c>
      <c r="AE40" s="96">
        <v>0</v>
      </c>
      <c r="AF40" s="96">
        <v>0</v>
      </c>
      <c r="AG40" s="96">
        <f t="shared" si="1"/>
        <v>0</v>
      </c>
    </row>
    <row r="41" spans="1:33" x14ac:dyDescent="0.25">
      <c r="A41" s="41" t="s">
        <v>151</v>
      </c>
      <c r="B41" s="25" t="s">
        <v>137</v>
      </c>
      <c r="C41" s="96">
        <v>0</v>
      </c>
      <c r="D41" s="96">
        <v>0</v>
      </c>
      <c r="E41" s="96">
        <v>0</v>
      </c>
      <c r="F41" s="96">
        <f t="shared" si="0"/>
        <v>0</v>
      </c>
      <c r="G41" s="96">
        <v>0</v>
      </c>
      <c r="H41" s="96">
        <v>0</v>
      </c>
      <c r="I41" s="96">
        <v>0</v>
      </c>
      <c r="J41" s="96">
        <v>0</v>
      </c>
      <c r="K41" s="98">
        <v>0</v>
      </c>
      <c r="L41" s="96" t="s">
        <v>540</v>
      </c>
      <c r="M41" s="98">
        <v>0</v>
      </c>
      <c r="N41" s="96">
        <v>0</v>
      </c>
      <c r="O41" s="98" t="s">
        <v>540</v>
      </c>
      <c r="P41" s="96">
        <v>0</v>
      </c>
      <c r="Q41" s="98">
        <v>0</v>
      </c>
      <c r="R41" s="98">
        <v>0</v>
      </c>
      <c r="S41" s="98" t="s">
        <v>540</v>
      </c>
      <c r="T41" s="96" t="s">
        <v>540</v>
      </c>
      <c r="U41" s="98">
        <v>0</v>
      </c>
      <c r="V41" s="96">
        <v>0</v>
      </c>
      <c r="W41" s="96">
        <v>0</v>
      </c>
      <c r="X41" s="96" t="s">
        <v>540</v>
      </c>
      <c r="Y41" s="98">
        <v>0</v>
      </c>
      <c r="Z41" s="98">
        <v>0</v>
      </c>
      <c r="AA41" s="96">
        <v>0</v>
      </c>
      <c r="AB41" s="96" t="s">
        <v>540</v>
      </c>
      <c r="AC41" s="98">
        <v>0</v>
      </c>
      <c r="AD41" s="96">
        <v>0</v>
      </c>
      <c r="AE41" s="96">
        <v>0</v>
      </c>
      <c r="AF41" s="96">
        <v>0</v>
      </c>
      <c r="AG41" s="96">
        <f t="shared" si="1"/>
        <v>0</v>
      </c>
    </row>
    <row r="42" spans="1:33" ht="18.75" x14ac:dyDescent="0.25">
      <c r="A42" s="41" t="s">
        <v>150</v>
      </c>
      <c r="B42" s="170" t="s">
        <v>547</v>
      </c>
      <c r="C42" s="96">
        <v>0</v>
      </c>
      <c r="D42" s="96">
        <v>0</v>
      </c>
      <c r="E42" s="96">
        <v>0</v>
      </c>
      <c r="F42" s="96">
        <f t="shared" si="0"/>
        <v>0</v>
      </c>
      <c r="G42" s="96">
        <v>0</v>
      </c>
      <c r="H42" s="96">
        <v>0</v>
      </c>
      <c r="I42" s="96">
        <v>0</v>
      </c>
      <c r="J42" s="96">
        <v>0</v>
      </c>
      <c r="K42" s="98">
        <v>0</v>
      </c>
      <c r="L42" s="96" t="s">
        <v>540</v>
      </c>
      <c r="M42" s="98">
        <v>0</v>
      </c>
      <c r="N42" s="96">
        <v>0</v>
      </c>
      <c r="O42" s="98" t="s">
        <v>540</v>
      </c>
      <c r="P42" s="96">
        <v>0</v>
      </c>
      <c r="Q42" s="98">
        <v>0</v>
      </c>
      <c r="R42" s="98">
        <v>0</v>
      </c>
      <c r="S42" s="98" t="s">
        <v>540</v>
      </c>
      <c r="T42" s="96" t="s">
        <v>540</v>
      </c>
      <c r="U42" s="98">
        <v>0</v>
      </c>
      <c r="V42" s="96">
        <v>0</v>
      </c>
      <c r="W42" s="96">
        <v>0</v>
      </c>
      <c r="X42" s="96" t="s">
        <v>540</v>
      </c>
      <c r="Y42" s="98">
        <v>0</v>
      </c>
      <c r="Z42" s="98">
        <v>0</v>
      </c>
      <c r="AA42" s="96">
        <v>0</v>
      </c>
      <c r="AB42" s="96" t="s">
        <v>540</v>
      </c>
      <c r="AC42" s="98">
        <v>0</v>
      </c>
      <c r="AD42" s="96">
        <v>0</v>
      </c>
      <c r="AE42" s="96">
        <v>0</v>
      </c>
      <c r="AF42" s="96">
        <v>0</v>
      </c>
      <c r="AG42" s="96">
        <f t="shared" si="1"/>
        <v>0</v>
      </c>
    </row>
    <row r="43" spans="1:33" s="275" customFormat="1" x14ac:dyDescent="0.25">
      <c r="A43" s="44" t="s">
        <v>59</v>
      </c>
      <c r="B43" s="43" t="s">
        <v>149</v>
      </c>
      <c r="C43" s="96">
        <v>0</v>
      </c>
      <c r="D43" s="96">
        <v>0</v>
      </c>
      <c r="E43" s="96">
        <v>0</v>
      </c>
      <c r="F43" s="96">
        <f t="shared" si="0"/>
        <v>0</v>
      </c>
      <c r="G43" s="96">
        <v>0</v>
      </c>
      <c r="H43" s="96">
        <v>0</v>
      </c>
      <c r="I43" s="96">
        <v>0</v>
      </c>
      <c r="J43" s="96">
        <v>0</v>
      </c>
      <c r="K43" s="96">
        <v>0</v>
      </c>
      <c r="L43" s="96" t="s">
        <v>540</v>
      </c>
      <c r="M43" s="96">
        <v>0</v>
      </c>
      <c r="N43" s="96">
        <v>0</v>
      </c>
      <c r="O43" s="96" t="s">
        <v>540</v>
      </c>
      <c r="P43" s="96">
        <v>0</v>
      </c>
      <c r="Q43" s="96">
        <v>0</v>
      </c>
      <c r="R43" s="96">
        <v>0</v>
      </c>
      <c r="S43" s="96" t="s">
        <v>540</v>
      </c>
      <c r="T43" s="96" t="s">
        <v>540</v>
      </c>
      <c r="U43" s="96">
        <v>0</v>
      </c>
      <c r="V43" s="96">
        <v>0</v>
      </c>
      <c r="W43" s="96">
        <v>0</v>
      </c>
      <c r="X43" s="96" t="s">
        <v>540</v>
      </c>
      <c r="Y43" s="96">
        <v>0</v>
      </c>
      <c r="Z43" s="96">
        <v>0</v>
      </c>
      <c r="AA43" s="96">
        <v>0</v>
      </c>
      <c r="AB43" s="96" t="s">
        <v>540</v>
      </c>
      <c r="AC43" s="96">
        <v>0</v>
      </c>
      <c r="AD43" s="96">
        <v>0</v>
      </c>
      <c r="AE43" s="96">
        <v>0</v>
      </c>
      <c r="AF43" s="96">
        <v>0</v>
      </c>
      <c r="AG43" s="96">
        <f t="shared" si="1"/>
        <v>0</v>
      </c>
    </row>
    <row r="44" spans="1:33" x14ac:dyDescent="0.25">
      <c r="A44" s="41" t="s">
        <v>148</v>
      </c>
      <c r="B44" s="25" t="s">
        <v>147</v>
      </c>
      <c r="C44" s="96">
        <v>0</v>
      </c>
      <c r="D44" s="96">
        <v>0</v>
      </c>
      <c r="E44" s="96">
        <v>0</v>
      </c>
      <c r="F44" s="96">
        <f t="shared" si="0"/>
        <v>0</v>
      </c>
      <c r="G44" s="96">
        <v>0</v>
      </c>
      <c r="H44" s="96">
        <v>0</v>
      </c>
      <c r="I44" s="96">
        <v>0</v>
      </c>
      <c r="J44" s="96">
        <v>0</v>
      </c>
      <c r="K44" s="98">
        <v>0</v>
      </c>
      <c r="L44" s="96" t="s">
        <v>540</v>
      </c>
      <c r="M44" s="98">
        <v>0</v>
      </c>
      <c r="N44" s="96">
        <v>0</v>
      </c>
      <c r="O44" s="98" t="s">
        <v>540</v>
      </c>
      <c r="P44" s="96">
        <v>0</v>
      </c>
      <c r="Q44" s="98">
        <v>0</v>
      </c>
      <c r="R44" s="98">
        <v>0</v>
      </c>
      <c r="S44" s="98" t="s">
        <v>540</v>
      </c>
      <c r="T44" s="96" t="s">
        <v>540</v>
      </c>
      <c r="U44" s="98">
        <v>0</v>
      </c>
      <c r="V44" s="96">
        <v>0</v>
      </c>
      <c r="W44" s="96">
        <v>0</v>
      </c>
      <c r="X44" s="96" t="s">
        <v>540</v>
      </c>
      <c r="Y44" s="98">
        <v>0</v>
      </c>
      <c r="Z44" s="98">
        <v>0</v>
      </c>
      <c r="AA44" s="96">
        <v>0</v>
      </c>
      <c r="AB44" s="96" t="s">
        <v>540</v>
      </c>
      <c r="AC44" s="98">
        <v>0</v>
      </c>
      <c r="AD44" s="96">
        <v>0</v>
      </c>
      <c r="AE44" s="96">
        <v>0</v>
      </c>
      <c r="AF44" s="96">
        <v>0</v>
      </c>
      <c r="AG44" s="96">
        <f t="shared" si="1"/>
        <v>0</v>
      </c>
    </row>
    <row r="45" spans="1:33" x14ac:dyDescent="0.25">
      <c r="A45" s="41" t="s">
        <v>146</v>
      </c>
      <c r="B45" s="25" t="s">
        <v>145</v>
      </c>
      <c r="C45" s="96">
        <v>0</v>
      </c>
      <c r="D45" s="96">
        <v>0</v>
      </c>
      <c r="E45" s="96">
        <v>0</v>
      </c>
      <c r="F45" s="96">
        <f t="shared" si="0"/>
        <v>0</v>
      </c>
      <c r="G45" s="96">
        <v>0</v>
      </c>
      <c r="H45" s="96">
        <v>0</v>
      </c>
      <c r="I45" s="96">
        <v>0</v>
      </c>
      <c r="J45" s="96">
        <v>0</v>
      </c>
      <c r="K45" s="98">
        <v>0</v>
      </c>
      <c r="L45" s="96" t="s">
        <v>540</v>
      </c>
      <c r="M45" s="98">
        <v>0</v>
      </c>
      <c r="N45" s="96">
        <v>0</v>
      </c>
      <c r="O45" s="98" t="s">
        <v>540</v>
      </c>
      <c r="P45" s="96">
        <v>0</v>
      </c>
      <c r="Q45" s="98">
        <v>0</v>
      </c>
      <c r="R45" s="98">
        <v>0</v>
      </c>
      <c r="S45" s="98" t="s">
        <v>540</v>
      </c>
      <c r="T45" s="96" t="s">
        <v>540</v>
      </c>
      <c r="U45" s="98">
        <v>0</v>
      </c>
      <c r="V45" s="96">
        <v>0</v>
      </c>
      <c r="W45" s="96">
        <v>0</v>
      </c>
      <c r="X45" s="96" t="s">
        <v>540</v>
      </c>
      <c r="Y45" s="98">
        <v>0</v>
      </c>
      <c r="Z45" s="98">
        <v>0</v>
      </c>
      <c r="AA45" s="96">
        <v>0</v>
      </c>
      <c r="AB45" s="96" t="s">
        <v>540</v>
      </c>
      <c r="AC45" s="98">
        <v>0</v>
      </c>
      <c r="AD45" s="96">
        <v>0</v>
      </c>
      <c r="AE45" s="96">
        <v>0</v>
      </c>
      <c r="AF45" s="96">
        <v>0</v>
      </c>
      <c r="AG45" s="96">
        <f t="shared" si="1"/>
        <v>0</v>
      </c>
    </row>
    <row r="46" spans="1:33" x14ac:dyDescent="0.25">
      <c r="A46" s="41" t="s">
        <v>144</v>
      </c>
      <c r="B46" s="25" t="s">
        <v>143</v>
      </c>
      <c r="C46" s="96">
        <v>0</v>
      </c>
      <c r="D46" s="96">
        <v>0</v>
      </c>
      <c r="E46" s="96">
        <v>0</v>
      </c>
      <c r="F46" s="96">
        <f t="shared" si="0"/>
        <v>0</v>
      </c>
      <c r="G46" s="96">
        <v>0</v>
      </c>
      <c r="H46" s="96">
        <v>0</v>
      </c>
      <c r="I46" s="96">
        <v>0</v>
      </c>
      <c r="J46" s="96">
        <v>0</v>
      </c>
      <c r="K46" s="98">
        <v>0</v>
      </c>
      <c r="L46" s="96" t="s">
        <v>540</v>
      </c>
      <c r="M46" s="98">
        <v>0</v>
      </c>
      <c r="N46" s="96">
        <v>0</v>
      </c>
      <c r="O46" s="98" t="s">
        <v>540</v>
      </c>
      <c r="P46" s="96">
        <v>0</v>
      </c>
      <c r="Q46" s="98">
        <v>0</v>
      </c>
      <c r="R46" s="98">
        <v>0</v>
      </c>
      <c r="S46" s="98" t="s">
        <v>540</v>
      </c>
      <c r="T46" s="96" t="s">
        <v>540</v>
      </c>
      <c r="U46" s="98">
        <v>0</v>
      </c>
      <c r="V46" s="96">
        <v>0</v>
      </c>
      <c r="W46" s="96">
        <v>0</v>
      </c>
      <c r="X46" s="96" t="s">
        <v>540</v>
      </c>
      <c r="Y46" s="98">
        <v>0</v>
      </c>
      <c r="Z46" s="98">
        <v>0</v>
      </c>
      <c r="AA46" s="96">
        <v>0</v>
      </c>
      <c r="AB46" s="96" t="s">
        <v>540</v>
      </c>
      <c r="AC46" s="98">
        <v>0</v>
      </c>
      <c r="AD46" s="96">
        <v>0</v>
      </c>
      <c r="AE46" s="96">
        <v>0</v>
      </c>
      <c r="AF46" s="96">
        <v>0</v>
      </c>
      <c r="AG46" s="96">
        <f t="shared" si="1"/>
        <v>0</v>
      </c>
    </row>
    <row r="47" spans="1:33" ht="31.5" x14ac:dyDescent="0.25">
      <c r="A47" s="41" t="s">
        <v>142</v>
      </c>
      <c r="B47" s="25" t="s">
        <v>141</v>
      </c>
      <c r="C47" s="96">
        <v>0</v>
      </c>
      <c r="D47" s="96">
        <v>0</v>
      </c>
      <c r="E47" s="96">
        <v>0</v>
      </c>
      <c r="F47" s="96">
        <f t="shared" si="0"/>
        <v>0</v>
      </c>
      <c r="G47" s="96">
        <v>0</v>
      </c>
      <c r="H47" s="96">
        <v>0</v>
      </c>
      <c r="I47" s="96">
        <v>0</v>
      </c>
      <c r="J47" s="96">
        <v>0</v>
      </c>
      <c r="K47" s="98">
        <v>0</v>
      </c>
      <c r="L47" s="96" t="s">
        <v>540</v>
      </c>
      <c r="M47" s="98">
        <v>0</v>
      </c>
      <c r="N47" s="96">
        <v>0</v>
      </c>
      <c r="O47" s="98" t="s">
        <v>540</v>
      </c>
      <c r="P47" s="96">
        <v>0</v>
      </c>
      <c r="Q47" s="98">
        <v>0</v>
      </c>
      <c r="R47" s="98">
        <v>0</v>
      </c>
      <c r="S47" s="98" t="s">
        <v>540</v>
      </c>
      <c r="T47" s="96" t="s">
        <v>540</v>
      </c>
      <c r="U47" s="98">
        <v>0</v>
      </c>
      <c r="V47" s="96">
        <v>0</v>
      </c>
      <c r="W47" s="96">
        <v>0</v>
      </c>
      <c r="X47" s="96" t="s">
        <v>540</v>
      </c>
      <c r="Y47" s="98">
        <v>0</v>
      </c>
      <c r="Z47" s="98">
        <v>0</v>
      </c>
      <c r="AA47" s="96">
        <v>0</v>
      </c>
      <c r="AB47" s="96" t="s">
        <v>540</v>
      </c>
      <c r="AC47" s="98">
        <v>0</v>
      </c>
      <c r="AD47" s="96">
        <v>0</v>
      </c>
      <c r="AE47" s="96">
        <v>0</v>
      </c>
      <c r="AF47" s="96">
        <v>0</v>
      </c>
      <c r="AG47" s="96">
        <f t="shared" si="1"/>
        <v>0</v>
      </c>
    </row>
    <row r="48" spans="1:33" ht="31.5" x14ac:dyDescent="0.25">
      <c r="A48" s="41" t="s">
        <v>140</v>
      </c>
      <c r="B48" s="25" t="s">
        <v>139</v>
      </c>
      <c r="C48" s="96">
        <v>0</v>
      </c>
      <c r="D48" s="96">
        <v>0</v>
      </c>
      <c r="E48" s="96">
        <v>0</v>
      </c>
      <c r="F48" s="96">
        <f t="shared" si="0"/>
        <v>0</v>
      </c>
      <c r="G48" s="96">
        <v>0</v>
      </c>
      <c r="H48" s="96">
        <v>0</v>
      </c>
      <c r="I48" s="96">
        <v>0</v>
      </c>
      <c r="J48" s="96">
        <v>0</v>
      </c>
      <c r="K48" s="98">
        <v>0</v>
      </c>
      <c r="L48" s="96" t="s">
        <v>540</v>
      </c>
      <c r="M48" s="98">
        <v>0</v>
      </c>
      <c r="N48" s="96">
        <v>0</v>
      </c>
      <c r="O48" s="98" t="s">
        <v>540</v>
      </c>
      <c r="P48" s="96">
        <v>0</v>
      </c>
      <c r="Q48" s="98">
        <v>0</v>
      </c>
      <c r="R48" s="98">
        <v>0</v>
      </c>
      <c r="S48" s="98" t="s">
        <v>540</v>
      </c>
      <c r="T48" s="96" t="s">
        <v>540</v>
      </c>
      <c r="U48" s="98">
        <v>0</v>
      </c>
      <c r="V48" s="96">
        <v>0</v>
      </c>
      <c r="W48" s="96">
        <v>0</v>
      </c>
      <c r="X48" s="96" t="s">
        <v>540</v>
      </c>
      <c r="Y48" s="98">
        <v>0</v>
      </c>
      <c r="Z48" s="98">
        <v>0</v>
      </c>
      <c r="AA48" s="96">
        <v>0</v>
      </c>
      <c r="AB48" s="96" t="s">
        <v>540</v>
      </c>
      <c r="AC48" s="98">
        <v>0</v>
      </c>
      <c r="AD48" s="96">
        <v>0</v>
      </c>
      <c r="AE48" s="96">
        <v>0</v>
      </c>
      <c r="AF48" s="96">
        <v>0</v>
      </c>
      <c r="AG48" s="96">
        <f t="shared" si="1"/>
        <v>0</v>
      </c>
    </row>
    <row r="49" spans="1:35" x14ac:dyDescent="0.25">
      <c r="A49" s="41" t="s">
        <v>138</v>
      </c>
      <c r="B49" s="25" t="s">
        <v>137</v>
      </c>
      <c r="C49" s="96">
        <v>0</v>
      </c>
      <c r="D49" s="96">
        <v>0</v>
      </c>
      <c r="E49" s="96">
        <v>0</v>
      </c>
      <c r="F49" s="96">
        <f t="shared" si="0"/>
        <v>0</v>
      </c>
      <c r="G49" s="96">
        <v>0</v>
      </c>
      <c r="H49" s="96">
        <v>0</v>
      </c>
      <c r="I49" s="96">
        <v>0</v>
      </c>
      <c r="J49" s="96">
        <v>0</v>
      </c>
      <c r="K49" s="98">
        <v>0</v>
      </c>
      <c r="L49" s="96" t="s">
        <v>540</v>
      </c>
      <c r="M49" s="98">
        <v>0</v>
      </c>
      <c r="N49" s="96">
        <v>0</v>
      </c>
      <c r="O49" s="98" t="s">
        <v>540</v>
      </c>
      <c r="P49" s="96">
        <v>0</v>
      </c>
      <c r="Q49" s="98">
        <v>0</v>
      </c>
      <c r="R49" s="98">
        <v>0</v>
      </c>
      <c r="S49" s="98" t="s">
        <v>540</v>
      </c>
      <c r="T49" s="96" t="s">
        <v>540</v>
      </c>
      <c r="U49" s="98">
        <v>0</v>
      </c>
      <c r="V49" s="96">
        <v>0</v>
      </c>
      <c r="W49" s="96">
        <v>0</v>
      </c>
      <c r="X49" s="96" t="s">
        <v>540</v>
      </c>
      <c r="Y49" s="98">
        <v>0</v>
      </c>
      <c r="Z49" s="98">
        <v>0</v>
      </c>
      <c r="AA49" s="96">
        <v>0</v>
      </c>
      <c r="AB49" s="96" t="s">
        <v>540</v>
      </c>
      <c r="AC49" s="98">
        <v>0</v>
      </c>
      <c r="AD49" s="96">
        <v>0</v>
      </c>
      <c r="AE49" s="96">
        <v>0</v>
      </c>
      <c r="AF49" s="96">
        <v>0</v>
      </c>
      <c r="AG49" s="96">
        <f t="shared" si="1"/>
        <v>0</v>
      </c>
    </row>
    <row r="50" spans="1:35" ht="18.75" x14ac:dyDescent="0.25">
      <c r="A50" s="41" t="s">
        <v>136</v>
      </c>
      <c r="B50" s="170" t="s">
        <v>547</v>
      </c>
      <c r="C50" s="96">
        <v>0</v>
      </c>
      <c r="D50" s="96">
        <v>0</v>
      </c>
      <c r="E50" s="96">
        <v>0</v>
      </c>
      <c r="F50" s="96">
        <f t="shared" si="0"/>
        <v>0</v>
      </c>
      <c r="G50" s="96">
        <v>0</v>
      </c>
      <c r="H50" s="96">
        <v>0</v>
      </c>
      <c r="I50" s="96">
        <v>0</v>
      </c>
      <c r="J50" s="96">
        <v>0</v>
      </c>
      <c r="K50" s="98">
        <v>0</v>
      </c>
      <c r="L50" s="96" t="s">
        <v>540</v>
      </c>
      <c r="M50" s="98">
        <v>0</v>
      </c>
      <c r="N50" s="96">
        <v>0</v>
      </c>
      <c r="O50" s="98" t="s">
        <v>540</v>
      </c>
      <c r="P50" s="96">
        <v>0</v>
      </c>
      <c r="Q50" s="98">
        <v>0</v>
      </c>
      <c r="R50" s="98">
        <v>0</v>
      </c>
      <c r="S50" s="98" t="s">
        <v>540</v>
      </c>
      <c r="T50" s="96" t="s">
        <v>540</v>
      </c>
      <c r="U50" s="98">
        <v>0</v>
      </c>
      <c r="V50" s="96">
        <v>0</v>
      </c>
      <c r="W50" s="96">
        <v>0</v>
      </c>
      <c r="X50" s="96" t="s">
        <v>540</v>
      </c>
      <c r="Y50" s="98">
        <v>0</v>
      </c>
      <c r="Z50" s="98">
        <v>0</v>
      </c>
      <c r="AA50" s="96">
        <v>0</v>
      </c>
      <c r="AB50" s="96" t="s">
        <v>540</v>
      </c>
      <c r="AC50" s="98">
        <v>0</v>
      </c>
      <c r="AD50" s="96">
        <v>0</v>
      </c>
      <c r="AE50" s="96">
        <v>0</v>
      </c>
      <c r="AF50" s="96">
        <v>0</v>
      </c>
      <c r="AG50" s="96">
        <f t="shared" si="1"/>
        <v>0</v>
      </c>
      <c r="AI50" s="281"/>
    </row>
    <row r="51" spans="1:35" s="275" customFormat="1" ht="35.25" customHeight="1" x14ac:dyDescent="0.25">
      <c r="A51" s="44" t="s">
        <v>57</v>
      </c>
      <c r="B51" s="43" t="s">
        <v>135</v>
      </c>
      <c r="C51" s="96">
        <v>0</v>
      </c>
      <c r="D51" s="96">
        <v>0</v>
      </c>
      <c r="E51" s="96">
        <v>0</v>
      </c>
      <c r="F51" s="96">
        <f t="shared" si="0"/>
        <v>0</v>
      </c>
      <c r="G51" s="96">
        <v>0</v>
      </c>
      <c r="H51" s="96">
        <v>0</v>
      </c>
      <c r="I51" s="96">
        <v>0</v>
      </c>
      <c r="J51" s="96">
        <v>0</v>
      </c>
      <c r="K51" s="96">
        <v>0</v>
      </c>
      <c r="L51" s="96" t="s">
        <v>540</v>
      </c>
      <c r="M51" s="96">
        <v>0</v>
      </c>
      <c r="N51" s="96">
        <v>0</v>
      </c>
      <c r="O51" s="96" t="s">
        <v>540</v>
      </c>
      <c r="P51" s="96">
        <v>0</v>
      </c>
      <c r="Q51" s="96">
        <v>0</v>
      </c>
      <c r="R51" s="96">
        <v>0</v>
      </c>
      <c r="S51" s="96" t="s">
        <v>540</v>
      </c>
      <c r="T51" s="96" t="s">
        <v>540</v>
      </c>
      <c r="U51" s="96">
        <v>0</v>
      </c>
      <c r="V51" s="96">
        <v>0</v>
      </c>
      <c r="W51" s="96">
        <v>0</v>
      </c>
      <c r="X51" s="96" t="s">
        <v>540</v>
      </c>
      <c r="Y51" s="96">
        <v>0</v>
      </c>
      <c r="Z51" s="96">
        <v>0</v>
      </c>
      <c r="AA51" s="96">
        <v>0</v>
      </c>
      <c r="AB51" s="96" t="s">
        <v>540</v>
      </c>
      <c r="AC51" s="96">
        <v>0</v>
      </c>
      <c r="AD51" s="96">
        <v>0</v>
      </c>
      <c r="AE51" s="96">
        <v>0</v>
      </c>
      <c r="AF51" s="96">
        <v>0</v>
      </c>
      <c r="AG51" s="96">
        <f t="shared" si="1"/>
        <v>0</v>
      </c>
    </row>
    <row r="52" spans="1:35" x14ac:dyDescent="0.25">
      <c r="A52" s="41" t="s">
        <v>134</v>
      </c>
      <c r="B52" s="25" t="s">
        <v>133</v>
      </c>
      <c r="C52" s="96">
        <v>1.4152012199999999</v>
      </c>
      <c r="D52" s="96">
        <v>1.4152012199999999</v>
      </c>
      <c r="E52" s="96">
        <v>1.4152012199999999</v>
      </c>
      <c r="F52" s="96">
        <f t="shared" si="0"/>
        <v>0</v>
      </c>
      <c r="G52" s="96">
        <v>0</v>
      </c>
      <c r="H52" s="96">
        <v>0</v>
      </c>
      <c r="I52" s="96">
        <v>0</v>
      </c>
      <c r="J52" s="96">
        <v>0</v>
      </c>
      <c r="K52" s="98">
        <v>0</v>
      </c>
      <c r="L52" s="96" t="s">
        <v>540</v>
      </c>
      <c r="M52" s="98">
        <v>0</v>
      </c>
      <c r="N52" s="96">
        <v>0</v>
      </c>
      <c r="O52" s="98" t="s">
        <v>540</v>
      </c>
      <c r="P52" s="96">
        <v>1.4152012199999999</v>
      </c>
      <c r="Q52" s="98">
        <v>0</v>
      </c>
      <c r="R52" s="98">
        <f>R30</f>
        <v>1.4152012199999999</v>
      </c>
      <c r="S52" s="98" t="s">
        <v>540</v>
      </c>
      <c r="T52" s="96" t="s">
        <v>540</v>
      </c>
      <c r="U52" s="98">
        <v>0</v>
      </c>
      <c r="V52" s="96">
        <v>0</v>
      </c>
      <c r="W52" s="96">
        <v>0</v>
      </c>
      <c r="X52" s="96" t="s">
        <v>540</v>
      </c>
      <c r="Y52" s="98">
        <v>0</v>
      </c>
      <c r="Z52" s="98">
        <v>0</v>
      </c>
      <c r="AA52" s="96">
        <v>0</v>
      </c>
      <c r="AB52" s="96" t="s">
        <v>540</v>
      </c>
      <c r="AC52" s="98">
        <v>0</v>
      </c>
      <c r="AD52" s="96">
        <v>0</v>
      </c>
      <c r="AE52" s="96">
        <v>0</v>
      </c>
      <c r="AF52" s="96">
        <v>1.4152012199999999</v>
      </c>
      <c r="AG52" s="96">
        <f t="shared" si="1"/>
        <v>1.4152012199999999</v>
      </c>
    </row>
    <row r="53" spans="1:35" x14ac:dyDescent="0.25">
      <c r="A53" s="41" t="s">
        <v>132</v>
      </c>
      <c r="B53" s="25" t="s">
        <v>126</v>
      </c>
      <c r="C53" s="96">
        <v>0</v>
      </c>
      <c r="D53" s="96">
        <v>0</v>
      </c>
      <c r="E53" s="96">
        <v>0</v>
      </c>
      <c r="F53" s="96">
        <f t="shared" si="0"/>
        <v>0</v>
      </c>
      <c r="G53" s="96">
        <v>0</v>
      </c>
      <c r="H53" s="96">
        <v>0</v>
      </c>
      <c r="I53" s="96">
        <v>0</v>
      </c>
      <c r="J53" s="96">
        <v>0</v>
      </c>
      <c r="K53" s="98">
        <v>0</v>
      </c>
      <c r="L53" s="96" t="s">
        <v>540</v>
      </c>
      <c r="M53" s="98">
        <v>0</v>
      </c>
      <c r="N53" s="96">
        <v>0</v>
      </c>
      <c r="O53" s="98" t="s">
        <v>540</v>
      </c>
      <c r="P53" s="96">
        <v>0</v>
      </c>
      <c r="Q53" s="98">
        <v>0</v>
      </c>
      <c r="R53" s="98">
        <v>0</v>
      </c>
      <c r="S53" s="98" t="s">
        <v>540</v>
      </c>
      <c r="T53" s="96" t="s">
        <v>540</v>
      </c>
      <c r="U53" s="98">
        <v>0</v>
      </c>
      <c r="V53" s="96">
        <v>0</v>
      </c>
      <c r="W53" s="96">
        <v>0</v>
      </c>
      <c r="X53" s="96" t="s">
        <v>540</v>
      </c>
      <c r="Y53" s="98">
        <v>0</v>
      </c>
      <c r="Z53" s="98">
        <v>0</v>
      </c>
      <c r="AA53" s="96">
        <v>0</v>
      </c>
      <c r="AB53" s="96" t="s">
        <v>540</v>
      </c>
      <c r="AC53" s="98">
        <v>0</v>
      </c>
      <c r="AD53" s="96">
        <v>0</v>
      </c>
      <c r="AE53" s="96">
        <v>0</v>
      </c>
      <c r="AF53" s="96">
        <v>0</v>
      </c>
      <c r="AG53" s="96">
        <f t="shared" si="1"/>
        <v>0</v>
      </c>
    </row>
    <row r="54" spans="1:35" x14ac:dyDescent="0.25">
      <c r="A54" s="41" t="s">
        <v>131</v>
      </c>
      <c r="B54" s="170" t="s">
        <v>125</v>
      </c>
      <c r="C54" s="96">
        <v>0</v>
      </c>
      <c r="D54" s="96">
        <v>0</v>
      </c>
      <c r="E54" s="96">
        <v>0</v>
      </c>
      <c r="F54" s="96">
        <f t="shared" si="0"/>
        <v>0</v>
      </c>
      <c r="G54" s="96">
        <v>0</v>
      </c>
      <c r="H54" s="96">
        <v>0</v>
      </c>
      <c r="I54" s="96">
        <v>0</v>
      </c>
      <c r="J54" s="96">
        <v>0</v>
      </c>
      <c r="K54" s="98">
        <v>0</v>
      </c>
      <c r="L54" s="96" t="s">
        <v>540</v>
      </c>
      <c r="M54" s="98">
        <v>0</v>
      </c>
      <c r="N54" s="96">
        <v>0</v>
      </c>
      <c r="O54" s="98" t="s">
        <v>540</v>
      </c>
      <c r="P54" s="96">
        <v>0</v>
      </c>
      <c r="Q54" s="98">
        <v>0</v>
      </c>
      <c r="R54" s="98">
        <v>0</v>
      </c>
      <c r="S54" s="98" t="s">
        <v>540</v>
      </c>
      <c r="T54" s="96" t="s">
        <v>540</v>
      </c>
      <c r="U54" s="98">
        <v>0</v>
      </c>
      <c r="V54" s="96">
        <v>0</v>
      </c>
      <c r="W54" s="96">
        <v>0</v>
      </c>
      <c r="X54" s="96" t="s">
        <v>540</v>
      </c>
      <c r="Y54" s="98">
        <v>0</v>
      </c>
      <c r="Z54" s="98">
        <v>0</v>
      </c>
      <c r="AA54" s="96">
        <v>0</v>
      </c>
      <c r="AB54" s="96" t="s">
        <v>540</v>
      </c>
      <c r="AC54" s="98">
        <v>0</v>
      </c>
      <c r="AD54" s="96">
        <v>0</v>
      </c>
      <c r="AE54" s="96">
        <v>0</v>
      </c>
      <c r="AF54" s="96">
        <v>0</v>
      </c>
      <c r="AG54" s="96">
        <f t="shared" si="1"/>
        <v>0</v>
      </c>
    </row>
    <row r="55" spans="1:35" x14ac:dyDescent="0.25">
      <c r="A55" s="41" t="s">
        <v>130</v>
      </c>
      <c r="B55" s="170" t="s">
        <v>124</v>
      </c>
      <c r="C55" s="96">
        <v>0</v>
      </c>
      <c r="D55" s="96">
        <v>0</v>
      </c>
      <c r="E55" s="96">
        <v>0</v>
      </c>
      <c r="F55" s="96">
        <f t="shared" si="0"/>
        <v>0</v>
      </c>
      <c r="G55" s="96">
        <v>0</v>
      </c>
      <c r="H55" s="96">
        <v>0</v>
      </c>
      <c r="I55" s="96">
        <v>0</v>
      </c>
      <c r="J55" s="96">
        <v>0</v>
      </c>
      <c r="K55" s="98">
        <v>0</v>
      </c>
      <c r="L55" s="96" t="s">
        <v>540</v>
      </c>
      <c r="M55" s="98">
        <v>0</v>
      </c>
      <c r="N55" s="96">
        <v>0</v>
      </c>
      <c r="O55" s="98" t="s">
        <v>540</v>
      </c>
      <c r="P55" s="96">
        <v>0</v>
      </c>
      <c r="Q55" s="98">
        <v>0</v>
      </c>
      <c r="R55" s="98">
        <v>0</v>
      </c>
      <c r="S55" s="98" t="s">
        <v>540</v>
      </c>
      <c r="T55" s="96" t="s">
        <v>540</v>
      </c>
      <c r="U55" s="98">
        <v>0</v>
      </c>
      <c r="V55" s="96">
        <v>0</v>
      </c>
      <c r="W55" s="96">
        <v>0</v>
      </c>
      <c r="X55" s="96" t="s">
        <v>540</v>
      </c>
      <c r="Y55" s="98">
        <v>0</v>
      </c>
      <c r="Z55" s="98">
        <v>0</v>
      </c>
      <c r="AA55" s="96">
        <v>0</v>
      </c>
      <c r="AB55" s="96" t="s">
        <v>540</v>
      </c>
      <c r="AC55" s="98">
        <v>0</v>
      </c>
      <c r="AD55" s="96">
        <v>0</v>
      </c>
      <c r="AE55" s="96">
        <v>0</v>
      </c>
      <c r="AF55" s="96">
        <v>0</v>
      </c>
      <c r="AG55" s="96">
        <f t="shared" si="1"/>
        <v>0</v>
      </c>
    </row>
    <row r="56" spans="1:35" x14ac:dyDescent="0.25">
      <c r="A56" s="41" t="s">
        <v>129</v>
      </c>
      <c r="B56" s="170" t="s">
        <v>123</v>
      </c>
      <c r="C56" s="96">
        <v>0</v>
      </c>
      <c r="D56" s="96">
        <v>0</v>
      </c>
      <c r="E56" s="96">
        <v>0</v>
      </c>
      <c r="F56" s="96">
        <f t="shared" si="0"/>
        <v>0</v>
      </c>
      <c r="G56" s="96">
        <v>0</v>
      </c>
      <c r="H56" s="96">
        <v>0</v>
      </c>
      <c r="I56" s="96">
        <v>0</v>
      </c>
      <c r="J56" s="96">
        <v>0</v>
      </c>
      <c r="K56" s="98">
        <v>0</v>
      </c>
      <c r="L56" s="96" t="s">
        <v>540</v>
      </c>
      <c r="M56" s="98">
        <v>0</v>
      </c>
      <c r="N56" s="96">
        <v>0</v>
      </c>
      <c r="O56" s="98" t="s">
        <v>540</v>
      </c>
      <c r="P56" s="96">
        <v>0</v>
      </c>
      <c r="Q56" s="98">
        <v>0</v>
      </c>
      <c r="R56" s="98">
        <v>0</v>
      </c>
      <c r="S56" s="98" t="s">
        <v>540</v>
      </c>
      <c r="T56" s="96" t="s">
        <v>540</v>
      </c>
      <c r="U56" s="98">
        <v>0</v>
      </c>
      <c r="V56" s="96">
        <v>0</v>
      </c>
      <c r="W56" s="96">
        <v>0</v>
      </c>
      <c r="X56" s="96" t="s">
        <v>540</v>
      </c>
      <c r="Y56" s="98">
        <v>0</v>
      </c>
      <c r="Z56" s="98">
        <v>0</v>
      </c>
      <c r="AA56" s="96">
        <v>0</v>
      </c>
      <c r="AB56" s="96" t="s">
        <v>540</v>
      </c>
      <c r="AC56" s="98">
        <v>0</v>
      </c>
      <c r="AD56" s="96">
        <v>0</v>
      </c>
      <c r="AE56" s="96">
        <v>0</v>
      </c>
      <c r="AF56" s="96">
        <v>0</v>
      </c>
      <c r="AG56" s="96">
        <f t="shared" si="1"/>
        <v>0</v>
      </c>
    </row>
    <row r="57" spans="1:35" ht="18.75" x14ac:dyDescent="0.25">
      <c r="A57" s="41" t="s">
        <v>128</v>
      </c>
      <c r="B57" s="170" t="s">
        <v>547</v>
      </c>
      <c r="C57" s="96">
        <v>0</v>
      </c>
      <c r="D57" s="96">
        <v>0</v>
      </c>
      <c r="E57" s="96">
        <v>0</v>
      </c>
      <c r="F57" s="96">
        <f t="shared" si="0"/>
        <v>0</v>
      </c>
      <c r="G57" s="96">
        <v>0</v>
      </c>
      <c r="H57" s="96">
        <v>0</v>
      </c>
      <c r="I57" s="96">
        <v>0</v>
      </c>
      <c r="J57" s="96">
        <v>0</v>
      </c>
      <c r="K57" s="98" t="s">
        <v>540</v>
      </c>
      <c r="L57" s="96" t="s">
        <v>540</v>
      </c>
      <c r="M57" s="98">
        <v>0</v>
      </c>
      <c r="N57" s="96">
        <v>0</v>
      </c>
      <c r="O57" s="98" t="s">
        <v>540</v>
      </c>
      <c r="P57" s="96">
        <v>0</v>
      </c>
      <c r="Q57" s="98">
        <v>0</v>
      </c>
      <c r="R57" s="98">
        <v>0</v>
      </c>
      <c r="S57" s="98" t="s">
        <v>540</v>
      </c>
      <c r="T57" s="96" t="s">
        <v>540</v>
      </c>
      <c r="U57" s="98">
        <v>0</v>
      </c>
      <c r="V57" s="96">
        <v>0</v>
      </c>
      <c r="W57" s="96">
        <v>0</v>
      </c>
      <c r="X57" s="96" t="s">
        <v>540</v>
      </c>
      <c r="Y57" s="98">
        <v>0</v>
      </c>
      <c r="Z57" s="98">
        <v>0</v>
      </c>
      <c r="AA57" s="96">
        <v>0</v>
      </c>
      <c r="AB57" s="96" t="s">
        <v>540</v>
      </c>
      <c r="AC57" s="98">
        <v>0</v>
      </c>
      <c r="AD57" s="96">
        <v>0</v>
      </c>
      <c r="AE57" s="96">
        <v>0</v>
      </c>
      <c r="AF57" s="96">
        <v>0</v>
      </c>
      <c r="AG57" s="96">
        <f t="shared" si="1"/>
        <v>0</v>
      </c>
    </row>
    <row r="58" spans="1:35" s="275" customFormat="1" ht="36.75" customHeight="1" x14ac:dyDescent="0.25">
      <c r="A58" s="44" t="s">
        <v>56</v>
      </c>
      <c r="B58" s="171" t="s">
        <v>207</v>
      </c>
      <c r="C58" s="96">
        <v>1.4152012199999999</v>
      </c>
      <c r="D58" s="96">
        <v>1.4152012199999999</v>
      </c>
      <c r="E58" s="96">
        <v>1.4152012199999999</v>
      </c>
      <c r="F58" s="96">
        <f t="shared" si="0"/>
        <v>0</v>
      </c>
      <c r="G58" s="96">
        <v>0</v>
      </c>
      <c r="H58" s="96">
        <v>0</v>
      </c>
      <c r="I58" s="96">
        <v>0</v>
      </c>
      <c r="J58" s="96">
        <v>0</v>
      </c>
      <c r="K58" s="96">
        <v>0</v>
      </c>
      <c r="L58" s="96" t="s">
        <v>540</v>
      </c>
      <c r="M58" s="96">
        <v>0</v>
      </c>
      <c r="N58" s="96">
        <v>0</v>
      </c>
      <c r="O58" s="96" t="s">
        <v>540</v>
      </c>
      <c r="P58" s="96">
        <v>1.4152012199999999</v>
      </c>
      <c r="Q58" s="96">
        <v>0</v>
      </c>
      <c r="R58" s="96">
        <f>R52</f>
        <v>1.4152012199999999</v>
      </c>
      <c r="S58" s="96" t="s">
        <v>540</v>
      </c>
      <c r="T58" s="96" t="s">
        <v>540</v>
      </c>
      <c r="U58" s="96">
        <v>0</v>
      </c>
      <c r="V58" s="96">
        <v>0</v>
      </c>
      <c r="W58" s="96">
        <v>0</v>
      </c>
      <c r="X58" s="96" t="s">
        <v>540</v>
      </c>
      <c r="Y58" s="96">
        <v>0</v>
      </c>
      <c r="Z58" s="96">
        <v>0</v>
      </c>
      <c r="AA58" s="96">
        <v>0</v>
      </c>
      <c r="AB58" s="96" t="s">
        <v>540</v>
      </c>
      <c r="AC58" s="96">
        <v>0</v>
      </c>
      <c r="AD58" s="96">
        <v>0</v>
      </c>
      <c r="AE58" s="96">
        <v>0</v>
      </c>
      <c r="AF58" s="96">
        <v>1.4152012199999999</v>
      </c>
      <c r="AG58" s="96">
        <f t="shared" si="1"/>
        <v>1.4152012199999999</v>
      </c>
    </row>
    <row r="59" spans="1:35" s="275" customFormat="1" x14ac:dyDescent="0.25">
      <c r="A59" s="44" t="s">
        <v>54</v>
      </c>
      <c r="B59" s="43" t="s">
        <v>127</v>
      </c>
      <c r="C59" s="96">
        <v>0</v>
      </c>
      <c r="D59" s="96">
        <v>0</v>
      </c>
      <c r="E59" s="96">
        <v>0</v>
      </c>
      <c r="F59" s="96">
        <f t="shared" si="0"/>
        <v>0</v>
      </c>
      <c r="G59" s="96">
        <v>0</v>
      </c>
      <c r="H59" s="96">
        <v>0</v>
      </c>
      <c r="I59" s="96">
        <v>0</v>
      </c>
      <c r="J59" s="96">
        <v>0</v>
      </c>
      <c r="K59" s="96">
        <v>0</v>
      </c>
      <c r="L59" s="96" t="s">
        <v>540</v>
      </c>
      <c r="M59" s="96">
        <v>0</v>
      </c>
      <c r="N59" s="96">
        <v>0</v>
      </c>
      <c r="O59" s="96" t="s">
        <v>540</v>
      </c>
      <c r="P59" s="96">
        <v>0</v>
      </c>
      <c r="Q59" s="96">
        <v>0</v>
      </c>
      <c r="R59" s="96">
        <v>0</v>
      </c>
      <c r="S59" s="96" t="s">
        <v>540</v>
      </c>
      <c r="T59" s="96" t="s">
        <v>540</v>
      </c>
      <c r="U59" s="96">
        <v>0</v>
      </c>
      <c r="V59" s="96">
        <v>0</v>
      </c>
      <c r="W59" s="96">
        <v>0</v>
      </c>
      <c r="X59" s="96" t="s">
        <v>540</v>
      </c>
      <c r="Y59" s="96">
        <v>0</v>
      </c>
      <c r="Z59" s="96">
        <v>0</v>
      </c>
      <c r="AA59" s="96">
        <v>0</v>
      </c>
      <c r="AB59" s="96" t="s">
        <v>540</v>
      </c>
      <c r="AC59" s="96">
        <v>0</v>
      </c>
      <c r="AD59" s="96">
        <v>0</v>
      </c>
      <c r="AE59" s="96">
        <v>0</v>
      </c>
      <c r="AF59" s="96">
        <v>0</v>
      </c>
      <c r="AG59" s="96">
        <f t="shared" si="1"/>
        <v>0</v>
      </c>
    </row>
    <row r="60" spans="1:35" x14ac:dyDescent="0.25">
      <c r="A60" s="41" t="s">
        <v>201</v>
      </c>
      <c r="B60" s="172" t="s">
        <v>147</v>
      </c>
      <c r="C60" s="96">
        <v>0</v>
      </c>
      <c r="D60" s="96">
        <v>0</v>
      </c>
      <c r="E60" s="96">
        <v>0</v>
      </c>
      <c r="F60" s="96">
        <f t="shared" si="0"/>
        <v>0</v>
      </c>
      <c r="G60" s="96">
        <v>0</v>
      </c>
      <c r="H60" s="96">
        <v>0</v>
      </c>
      <c r="I60" s="96">
        <v>0</v>
      </c>
      <c r="J60" s="96">
        <v>0</v>
      </c>
      <c r="K60" s="98">
        <v>0</v>
      </c>
      <c r="L60" s="96" t="s">
        <v>540</v>
      </c>
      <c r="M60" s="98">
        <v>0</v>
      </c>
      <c r="N60" s="96">
        <v>0</v>
      </c>
      <c r="O60" s="98" t="s">
        <v>540</v>
      </c>
      <c r="P60" s="96">
        <v>0</v>
      </c>
      <c r="Q60" s="98">
        <v>0</v>
      </c>
      <c r="R60" s="98">
        <v>0</v>
      </c>
      <c r="S60" s="98" t="s">
        <v>540</v>
      </c>
      <c r="T60" s="96" t="s">
        <v>540</v>
      </c>
      <c r="U60" s="98">
        <v>0</v>
      </c>
      <c r="V60" s="96">
        <v>0</v>
      </c>
      <c r="W60" s="96">
        <v>0</v>
      </c>
      <c r="X60" s="96" t="s">
        <v>540</v>
      </c>
      <c r="Y60" s="98">
        <v>0</v>
      </c>
      <c r="Z60" s="98">
        <v>0</v>
      </c>
      <c r="AA60" s="96">
        <v>0</v>
      </c>
      <c r="AB60" s="96" t="s">
        <v>540</v>
      </c>
      <c r="AC60" s="98">
        <v>0</v>
      </c>
      <c r="AD60" s="96">
        <v>0</v>
      </c>
      <c r="AE60" s="96">
        <v>0</v>
      </c>
      <c r="AF60" s="96">
        <v>0</v>
      </c>
      <c r="AG60" s="96">
        <f t="shared" si="1"/>
        <v>0</v>
      </c>
    </row>
    <row r="61" spans="1:35" x14ac:dyDescent="0.25">
      <c r="A61" s="41" t="s">
        <v>202</v>
      </c>
      <c r="B61" s="172" t="s">
        <v>145</v>
      </c>
      <c r="C61" s="96">
        <v>0</v>
      </c>
      <c r="D61" s="96">
        <v>0</v>
      </c>
      <c r="E61" s="96">
        <v>0</v>
      </c>
      <c r="F61" s="96">
        <f t="shared" si="0"/>
        <v>0</v>
      </c>
      <c r="G61" s="96">
        <v>0</v>
      </c>
      <c r="H61" s="96">
        <v>0</v>
      </c>
      <c r="I61" s="96">
        <v>0</v>
      </c>
      <c r="J61" s="96">
        <v>0</v>
      </c>
      <c r="K61" s="98">
        <v>0</v>
      </c>
      <c r="L61" s="96" t="s">
        <v>540</v>
      </c>
      <c r="M61" s="98">
        <v>0</v>
      </c>
      <c r="N61" s="96">
        <v>0</v>
      </c>
      <c r="O61" s="98" t="s">
        <v>540</v>
      </c>
      <c r="P61" s="96">
        <v>0</v>
      </c>
      <c r="Q61" s="98">
        <v>0</v>
      </c>
      <c r="R61" s="98">
        <v>0</v>
      </c>
      <c r="S61" s="98" t="s">
        <v>540</v>
      </c>
      <c r="T61" s="96" t="s">
        <v>540</v>
      </c>
      <c r="U61" s="98">
        <v>0</v>
      </c>
      <c r="V61" s="96">
        <v>0</v>
      </c>
      <c r="W61" s="96">
        <v>0</v>
      </c>
      <c r="X61" s="96" t="s">
        <v>540</v>
      </c>
      <c r="Y61" s="98">
        <v>0</v>
      </c>
      <c r="Z61" s="98">
        <v>0</v>
      </c>
      <c r="AA61" s="96">
        <v>0</v>
      </c>
      <c r="AB61" s="96" t="s">
        <v>540</v>
      </c>
      <c r="AC61" s="98">
        <v>0</v>
      </c>
      <c r="AD61" s="96">
        <v>0</v>
      </c>
      <c r="AE61" s="96">
        <v>0</v>
      </c>
      <c r="AF61" s="96">
        <v>0</v>
      </c>
      <c r="AG61" s="96">
        <f t="shared" si="1"/>
        <v>0</v>
      </c>
    </row>
    <row r="62" spans="1:35" x14ac:dyDescent="0.25">
      <c r="A62" s="41" t="s">
        <v>203</v>
      </c>
      <c r="B62" s="172" t="s">
        <v>143</v>
      </c>
      <c r="C62" s="96">
        <v>0</v>
      </c>
      <c r="D62" s="96">
        <v>0</v>
      </c>
      <c r="E62" s="96">
        <v>0</v>
      </c>
      <c r="F62" s="96">
        <f t="shared" si="0"/>
        <v>0</v>
      </c>
      <c r="G62" s="96">
        <v>0</v>
      </c>
      <c r="H62" s="96">
        <v>0</v>
      </c>
      <c r="I62" s="96">
        <v>0</v>
      </c>
      <c r="J62" s="96">
        <v>0</v>
      </c>
      <c r="K62" s="98">
        <v>0</v>
      </c>
      <c r="L62" s="96" t="s">
        <v>540</v>
      </c>
      <c r="M62" s="98">
        <v>0</v>
      </c>
      <c r="N62" s="96">
        <v>0</v>
      </c>
      <c r="O62" s="98" t="s">
        <v>540</v>
      </c>
      <c r="P62" s="96">
        <v>0</v>
      </c>
      <c r="Q62" s="98">
        <v>0</v>
      </c>
      <c r="R62" s="98">
        <v>0</v>
      </c>
      <c r="S62" s="98" t="s">
        <v>540</v>
      </c>
      <c r="T62" s="96" t="s">
        <v>540</v>
      </c>
      <c r="U62" s="98">
        <v>0</v>
      </c>
      <c r="V62" s="96">
        <v>0</v>
      </c>
      <c r="W62" s="96">
        <v>0</v>
      </c>
      <c r="X62" s="96" t="s">
        <v>540</v>
      </c>
      <c r="Y62" s="98">
        <v>0</v>
      </c>
      <c r="Z62" s="98">
        <v>0</v>
      </c>
      <c r="AA62" s="96">
        <v>0</v>
      </c>
      <c r="AB62" s="96" t="s">
        <v>540</v>
      </c>
      <c r="AC62" s="98">
        <v>0</v>
      </c>
      <c r="AD62" s="96">
        <v>0</v>
      </c>
      <c r="AE62" s="96">
        <v>0</v>
      </c>
      <c r="AF62" s="96">
        <v>0</v>
      </c>
      <c r="AG62" s="96">
        <f t="shared" si="1"/>
        <v>0</v>
      </c>
    </row>
    <row r="63" spans="1:35" x14ac:dyDescent="0.25">
      <c r="A63" s="41" t="s">
        <v>204</v>
      </c>
      <c r="B63" s="172" t="s">
        <v>206</v>
      </c>
      <c r="C63" s="96">
        <v>0</v>
      </c>
      <c r="D63" s="96">
        <v>0</v>
      </c>
      <c r="E63" s="96">
        <v>0</v>
      </c>
      <c r="F63" s="96">
        <f t="shared" si="0"/>
        <v>0</v>
      </c>
      <c r="G63" s="96">
        <v>0</v>
      </c>
      <c r="H63" s="96">
        <v>0</v>
      </c>
      <c r="I63" s="96">
        <v>0</v>
      </c>
      <c r="J63" s="96">
        <v>0</v>
      </c>
      <c r="K63" s="98">
        <v>0</v>
      </c>
      <c r="L63" s="96" t="s">
        <v>540</v>
      </c>
      <c r="M63" s="98">
        <v>0</v>
      </c>
      <c r="N63" s="96">
        <v>0</v>
      </c>
      <c r="O63" s="98" t="s">
        <v>540</v>
      </c>
      <c r="P63" s="96">
        <v>0</v>
      </c>
      <c r="Q63" s="98">
        <v>0</v>
      </c>
      <c r="R63" s="98">
        <v>0</v>
      </c>
      <c r="S63" s="98" t="s">
        <v>540</v>
      </c>
      <c r="T63" s="96" t="s">
        <v>540</v>
      </c>
      <c r="U63" s="98">
        <v>0</v>
      </c>
      <c r="V63" s="96">
        <v>0</v>
      </c>
      <c r="W63" s="96">
        <v>0</v>
      </c>
      <c r="X63" s="96" t="s">
        <v>540</v>
      </c>
      <c r="Y63" s="98">
        <v>0</v>
      </c>
      <c r="Z63" s="98">
        <v>0</v>
      </c>
      <c r="AA63" s="96">
        <v>0</v>
      </c>
      <c r="AB63" s="96" t="s">
        <v>540</v>
      </c>
      <c r="AC63" s="98">
        <v>0</v>
      </c>
      <c r="AD63" s="96">
        <v>0</v>
      </c>
      <c r="AE63" s="96">
        <v>0</v>
      </c>
      <c r="AF63" s="96">
        <v>0</v>
      </c>
      <c r="AG63" s="96">
        <f t="shared" si="1"/>
        <v>0</v>
      </c>
    </row>
    <row r="64" spans="1:35" ht="18.75" x14ac:dyDescent="0.25">
      <c r="A64" s="41" t="s">
        <v>205</v>
      </c>
      <c r="B64" s="170" t="s">
        <v>547</v>
      </c>
      <c r="C64" s="96">
        <v>0</v>
      </c>
      <c r="D64" s="96">
        <v>0</v>
      </c>
      <c r="E64" s="96">
        <v>0</v>
      </c>
      <c r="F64" s="96">
        <f t="shared" si="0"/>
        <v>0</v>
      </c>
      <c r="G64" s="96">
        <v>0</v>
      </c>
      <c r="H64" s="96">
        <v>0</v>
      </c>
      <c r="I64" s="96">
        <v>0</v>
      </c>
      <c r="J64" s="96">
        <v>0</v>
      </c>
      <c r="K64" s="98">
        <v>0</v>
      </c>
      <c r="L64" s="96" t="s">
        <v>540</v>
      </c>
      <c r="M64" s="98">
        <v>0</v>
      </c>
      <c r="N64" s="96">
        <v>0</v>
      </c>
      <c r="O64" s="98" t="s">
        <v>540</v>
      </c>
      <c r="P64" s="96">
        <v>0</v>
      </c>
      <c r="Q64" s="98">
        <v>0</v>
      </c>
      <c r="R64" s="98">
        <v>0</v>
      </c>
      <c r="S64" s="98" t="s">
        <v>540</v>
      </c>
      <c r="T64" s="96" t="s">
        <v>540</v>
      </c>
      <c r="U64" s="98">
        <v>0</v>
      </c>
      <c r="V64" s="96">
        <v>0</v>
      </c>
      <c r="W64" s="96">
        <v>0</v>
      </c>
      <c r="X64" s="96" t="s">
        <v>540</v>
      </c>
      <c r="Y64" s="98">
        <v>0</v>
      </c>
      <c r="Z64" s="98">
        <v>0</v>
      </c>
      <c r="AA64" s="96">
        <v>0</v>
      </c>
      <c r="AB64" s="96" t="s">
        <v>540</v>
      </c>
      <c r="AC64" s="98">
        <v>0</v>
      </c>
      <c r="AD64" s="96">
        <v>0</v>
      </c>
      <c r="AE64" s="96">
        <v>0</v>
      </c>
      <c r="AF64" s="96">
        <v>0</v>
      </c>
      <c r="AG64" s="96">
        <f t="shared" si="1"/>
        <v>0</v>
      </c>
    </row>
    <row r="65" spans="1:32" x14ac:dyDescent="0.25">
      <c r="A65" s="38"/>
      <c r="B65" s="33"/>
      <c r="C65" s="33"/>
      <c r="D65" s="33"/>
      <c r="E65" s="33"/>
      <c r="F65" s="33"/>
      <c r="G65" s="33"/>
      <c r="H65" s="33"/>
      <c r="I65" s="33"/>
      <c r="J65" s="33"/>
      <c r="K65" s="33"/>
      <c r="V65" s="96"/>
    </row>
    <row r="66" spans="1:32" ht="54" customHeight="1" x14ac:dyDescent="0.25">
      <c r="B66" s="347"/>
      <c r="C66" s="347"/>
      <c r="D66" s="347"/>
      <c r="E66" s="347"/>
      <c r="F66" s="347"/>
      <c r="G66" s="347"/>
      <c r="H66" s="347"/>
      <c r="I66" s="347"/>
      <c r="J66" s="35"/>
      <c r="K66" s="35"/>
      <c r="L66" s="37"/>
      <c r="M66" s="37"/>
      <c r="N66" s="37"/>
      <c r="O66" s="37"/>
      <c r="P66" s="37"/>
      <c r="Q66" s="37"/>
      <c r="R66" s="37"/>
      <c r="S66" s="37"/>
      <c r="T66" s="37"/>
      <c r="U66" s="37"/>
      <c r="V66" s="96"/>
      <c r="W66" s="37"/>
      <c r="X66" s="37"/>
      <c r="Y66" s="37"/>
      <c r="Z66" s="37"/>
      <c r="AA66" s="37"/>
      <c r="AB66" s="37"/>
      <c r="AC66" s="37"/>
      <c r="AD66" s="37"/>
      <c r="AE66" s="37"/>
      <c r="AF66" s="37"/>
    </row>
    <row r="67" spans="1:32" x14ac:dyDescent="0.25">
      <c r="V67" s="96"/>
    </row>
    <row r="68" spans="1:32" ht="50.25" customHeight="1" x14ac:dyDescent="0.25">
      <c r="B68" s="347"/>
      <c r="C68" s="347"/>
      <c r="D68" s="347"/>
      <c r="E68" s="347"/>
      <c r="F68" s="347"/>
      <c r="G68" s="347"/>
      <c r="H68" s="347"/>
      <c r="I68" s="347"/>
      <c r="J68" s="35"/>
      <c r="K68" s="35"/>
      <c r="V68" s="96"/>
    </row>
    <row r="69" spans="1:32" x14ac:dyDescent="0.25">
      <c r="V69" s="96"/>
    </row>
    <row r="70" spans="1:32" ht="36.75" customHeight="1" x14ac:dyDescent="0.25">
      <c r="B70" s="347"/>
      <c r="C70" s="347"/>
      <c r="D70" s="347"/>
      <c r="E70" s="347"/>
      <c r="F70" s="347"/>
      <c r="G70" s="347"/>
      <c r="H70" s="347"/>
      <c r="I70" s="347"/>
      <c r="J70" s="35"/>
      <c r="K70" s="35"/>
      <c r="V70" s="96"/>
    </row>
    <row r="72" spans="1:32" ht="51" customHeight="1" x14ac:dyDescent="0.25">
      <c r="B72" s="347"/>
      <c r="C72" s="347"/>
      <c r="D72" s="347"/>
      <c r="E72" s="347"/>
      <c r="F72" s="347"/>
      <c r="G72" s="347"/>
      <c r="H72" s="347"/>
      <c r="I72" s="347"/>
      <c r="J72" s="35"/>
      <c r="K72" s="35"/>
    </row>
    <row r="73" spans="1:32" ht="32.25" customHeight="1" x14ac:dyDescent="0.25">
      <c r="B73" s="347"/>
      <c r="C73" s="347"/>
      <c r="D73" s="347"/>
      <c r="E73" s="347"/>
      <c r="F73" s="347"/>
      <c r="G73" s="347"/>
      <c r="H73" s="347"/>
      <c r="I73" s="347"/>
      <c r="J73" s="35"/>
      <c r="K73" s="35"/>
    </row>
    <row r="74" spans="1:32" ht="51.75" customHeight="1" x14ac:dyDescent="0.25">
      <c r="B74" s="347"/>
      <c r="C74" s="347"/>
      <c r="D74" s="347"/>
      <c r="E74" s="347"/>
      <c r="F74" s="347"/>
      <c r="G74" s="347"/>
      <c r="H74" s="347"/>
      <c r="I74" s="347"/>
      <c r="J74" s="35"/>
      <c r="K74" s="35"/>
    </row>
    <row r="75" spans="1:32" ht="21.75" customHeight="1" x14ac:dyDescent="0.25">
      <c r="B75" s="353"/>
      <c r="C75" s="353"/>
      <c r="D75" s="353"/>
      <c r="E75" s="353"/>
      <c r="F75" s="353"/>
      <c r="G75" s="353"/>
      <c r="H75" s="353"/>
      <c r="I75" s="353"/>
      <c r="J75" s="34"/>
      <c r="K75" s="34"/>
    </row>
    <row r="76" spans="1:32" ht="23.25" customHeight="1" x14ac:dyDescent="0.25"/>
    <row r="77" spans="1:32" ht="18.75" customHeight="1" x14ac:dyDescent="0.25">
      <c r="B77" s="346"/>
      <c r="C77" s="346"/>
      <c r="D77" s="346"/>
      <c r="E77" s="346"/>
      <c r="F77" s="346"/>
      <c r="G77" s="346"/>
      <c r="H77" s="346"/>
      <c r="I77" s="346"/>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L1" zoomScale="70" zoomScaleSheetLayoutView="70" workbookViewId="0">
      <selection activeCell="N26" sqref="N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85" t="str">
        <f>'1. паспорт местоположение'!A5:C5</f>
        <v>Год раскрытия информации: 2023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85"/>
      <c r="AQ5" s="285"/>
      <c r="AR5" s="285"/>
      <c r="AS5" s="285"/>
      <c r="AT5" s="285"/>
      <c r="AU5" s="285"/>
      <c r="AV5" s="285"/>
    </row>
    <row r="6" spans="1:48" ht="18.75" x14ac:dyDescent="0.3">
      <c r="AV6" s="12"/>
    </row>
    <row r="7" spans="1:48" ht="18.75" x14ac:dyDescent="0.25">
      <c r="A7" s="294" t="s">
        <v>7</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94"/>
      <c r="AS7" s="294"/>
      <c r="AT7" s="294"/>
      <c r="AU7" s="294"/>
      <c r="AV7" s="294"/>
    </row>
    <row r="8" spans="1:48" ht="18.75" x14ac:dyDescent="0.25">
      <c r="A8" s="294"/>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c r="AB8" s="294"/>
      <c r="AC8" s="294"/>
      <c r="AD8" s="294"/>
      <c r="AE8" s="294"/>
      <c r="AF8" s="294"/>
      <c r="AG8" s="294"/>
      <c r="AH8" s="294"/>
      <c r="AI8" s="294"/>
      <c r="AJ8" s="294"/>
      <c r="AK8" s="294"/>
      <c r="AL8" s="294"/>
      <c r="AM8" s="294"/>
      <c r="AN8" s="294"/>
      <c r="AO8" s="294"/>
      <c r="AP8" s="294"/>
      <c r="AQ8" s="294"/>
      <c r="AR8" s="294"/>
      <c r="AS8" s="294"/>
      <c r="AT8" s="294"/>
      <c r="AU8" s="294"/>
      <c r="AV8" s="294"/>
    </row>
    <row r="9" spans="1:48" ht="15.75" x14ac:dyDescent="0.25">
      <c r="A9" s="292" t="str">
        <f>'1. паспорт местоположение'!A9:C9</f>
        <v xml:space="preserve">Акционерное общество "Западная энергетическая компания" </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c r="AT9" s="292"/>
      <c r="AU9" s="292"/>
      <c r="AV9" s="292"/>
    </row>
    <row r="10" spans="1:48" ht="15.75" x14ac:dyDescent="0.25">
      <c r="A10" s="298" t="s">
        <v>6</v>
      </c>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row>
    <row r="11" spans="1:48" ht="18.75" x14ac:dyDescent="0.25">
      <c r="A11" s="294"/>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294"/>
      <c r="AE11" s="294"/>
      <c r="AF11" s="294"/>
      <c r="AG11" s="294"/>
      <c r="AH11" s="294"/>
      <c r="AI11" s="294"/>
      <c r="AJ11" s="294"/>
      <c r="AK11" s="294"/>
      <c r="AL11" s="294"/>
      <c r="AM11" s="294"/>
      <c r="AN11" s="294"/>
      <c r="AO11" s="294"/>
      <c r="AP11" s="294"/>
      <c r="AQ11" s="294"/>
      <c r="AR11" s="294"/>
      <c r="AS11" s="294"/>
      <c r="AT11" s="294"/>
      <c r="AU11" s="294"/>
      <c r="AV11" s="294"/>
    </row>
    <row r="12" spans="1:48" ht="15.75" x14ac:dyDescent="0.25">
      <c r="A12" s="292" t="str">
        <f>'1. паспорт местоположение'!A12:C12</f>
        <v>L 21-23</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c r="AD12" s="292"/>
      <c r="AE12" s="292"/>
      <c r="AF12" s="292"/>
      <c r="AG12" s="292"/>
      <c r="AH12" s="292"/>
      <c r="AI12" s="292"/>
      <c r="AJ12" s="292"/>
      <c r="AK12" s="292"/>
      <c r="AL12" s="292"/>
      <c r="AM12" s="292"/>
      <c r="AN12" s="292"/>
      <c r="AO12" s="292"/>
      <c r="AP12" s="292"/>
      <c r="AQ12" s="292"/>
      <c r="AR12" s="292"/>
      <c r="AS12" s="292"/>
      <c r="AT12" s="292"/>
      <c r="AU12" s="292"/>
      <c r="AV12" s="292"/>
    </row>
    <row r="13" spans="1:48" ht="15.75" x14ac:dyDescent="0.25">
      <c r="A13" s="298" t="s">
        <v>5</v>
      </c>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row>
    <row r="14" spans="1:48" ht="18.75" x14ac:dyDescent="0.25">
      <c r="A14" s="299"/>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299"/>
      <c r="AA14" s="299"/>
      <c r="AB14" s="299"/>
      <c r="AC14" s="299"/>
      <c r="AD14" s="299"/>
      <c r="AE14" s="299"/>
      <c r="AF14" s="299"/>
      <c r="AG14" s="299"/>
      <c r="AH14" s="299"/>
      <c r="AI14" s="299"/>
      <c r="AJ14" s="299"/>
      <c r="AK14" s="299"/>
      <c r="AL14" s="299"/>
      <c r="AM14" s="299"/>
      <c r="AN14" s="299"/>
      <c r="AO14" s="299"/>
      <c r="AP14" s="299"/>
      <c r="AQ14" s="299"/>
      <c r="AR14" s="299"/>
      <c r="AS14" s="299"/>
      <c r="AT14" s="299"/>
      <c r="AU14" s="299"/>
      <c r="AV14" s="299"/>
    </row>
    <row r="15" spans="1:48" ht="15.75" x14ac:dyDescent="0.25">
      <c r="A15" s="292" t="str">
        <f>'1. паспорт местоположение'!A15:C15</f>
        <v>Програмное обеспечение АИСКУЭ для выхода на ОРЭМ</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c r="AP15" s="292"/>
      <c r="AQ15" s="292"/>
      <c r="AR15" s="292"/>
      <c r="AS15" s="292"/>
      <c r="AT15" s="292"/>
      <c r="AU15" s="292"/>
      <c r="AV15" s="292"/>
    </row>
    <row r="16" spans="1:48" ht="15.75" x14ac:dyDescent="0.25">
      <c r="A16" s="298" t="s">
        <v>4</v>
      </c>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ht="14.25" customHeight="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x14ac:dyDescent="0.25">
      <c r="A21" s="376" t="s">
        <v>405</v>
      </c>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376"/>
      <c r="AB21" s="376"/>
      <c r="AC21" s="376"/>
      <c r="AD21" s="376"/>
      <c r="AE21" s="376"/>
      <c r="AF21" s="376"/>
      <c r="AG21" s="376"/>
      <c r="AH21" s="376"/>
      <c r="AI21" s="376"/>
      <c r="AJ21" s="376"/>
      <c r="AK21" s="376"/>
      <c r="AL21" s="376"/>
      <c r="AM21" s="376"/>
      <c r="AN21" s="376"/>
      <c r="AO21" s="376"/>
      <c r="AP21" s="376"/>
      <c r="AQ21" s="376"/>
      <c r="AR21" s="376"/>
      <c r="AS21" s="376"/>
      <c r="AT21" s="376"/>
      <c r="AU21" s="376"/>
      <c r="AV21" s="376"/>
    </row>
    <row r="22" spans="1:48" ht="58.5" customHeight="1" x14ac:dyDescent="0.25">
      <c r="A22" s="377" t="s">
        <v>50</v>
      </c>
      <c r="B22" s="381" t="s">
        <v>22</v>
      </c>
      <c r="C22" s="367" t="s">
        <v>49</v>
      </c>
      <c r="D22" s="367" t="s">
        <v>48</v>
      </c>
      <c r="E22" s="384" t="s">
        <v>414</v>
      </c>
      <c r="F22" s="385"/>
      <c r="G22" s="385"/>
      <c r="H22" s="385"/>
      <c r="I22" s="385"/>
      <c r="J22" s="385"/>
      <c r="K22" s="385"/>
      <c r="L22" s="386"/>
      <c r="M22" s="367" t="s">
        <v>47</v>
      </c>
      <c r="N22" s="367" t="s">
        <v>46</v>
      </c>
      <c r="O22" s="367" t="s">
        <v>45</v>
      </c>
      <c r="P22" s="362" t="s">
        <v>228</v>
      </c>
      <c r="Q22" s="362" t="s">
        <v>44</v>
      </c>
      <c r="R22" s="362" t="s">
        <v>43</v>
      </c>
      <c r="S22" s="362" t="s">
        <v>42</v>
      </c>
      <c r="T22" s="362"/>
      <c r="U22" s="369" t="s">
        <v>41</v>
      </c>
      <c r="V22" s="369" t="s">
        <v>40</v>
      </c>
      <c r="W22" s="362" t="s">
        <v>39</v>
      </c>
      <c r="X22" s="362" t="s">
        <v>38</v>
      </c>
      <c r="Y22" s="362" t="s">
        <v>37</v>
      </c>
      <c r="Z22" s="369" t="s">
        <v>36</v>
      </c>
      <c r="AA22" s="362" t="s">
        <v>35</v>
      </c>
      <c r="AB22" s="362" t="s">
        <v>34</v>
      </c>
      <c r="AC22" s="362" t="s">
        <v>33</v>
      </c>
      <c r="AD22" s="362" t="s">
        <v>32</v>
      </c>
      <c r="AE22" s="362" t="s">
        <v>31</v>
      </c>
      <c r="AF22" s="362" t="s">
        <v>30</v>
      </c>
      <c r="AG22" s="362"/>
      <c r="AH22" s="362"/>
      <c r="AI22" s="362"/>
      <c r="AJ22" s="362"/>
      <c r="AK22" s="362"/>
      <c r="AL22" s="362" t="s">
        <v>29</v>
      </c>
      <c r="AM22" s="362"/>
      <c r="AN22" s="362"/>
      <c r="AO22" s="362"/>
      <c r="AP22" s="362" t="s">
        <v>28</v>
      </c>
      <c r="AQ22" s="362"/>
      <c r="AR22" s="362" t="s">
        <v>27</v>
      </c>
      <c r="AS22" s="362" t="s">
        <v>26</v>
      </c>
      <c r="AT22" s="362" t="s">
        <v>25</v>
      </c>
      <c r="AU22" s="362" t="s">
        <v>24</v>
      </c>
      <c r="AV22" s="370" t="s">
        <v>23</v>
      </c>
    </row>
    <row r="23" spans="1:48" ht="64.5" customHeight="1" x14ac:dyDescent="0.25">
      <c r="A23" s="378"/>
      <c r="B23" s="382"/>
      <c r="C23" s="380"/>
      <c r="D23" s="380"/>
      <c r="E23" s="372" t="s">
        <v>21</v>
      </c>
      <c r="F23" s="363" t="s">
        <v>126</v>
      </c>
      <c r="G23" s="363" t="s">
        <v>125</v>
      </c>
      <c r="H23" s="363" t="s">
        <v>124</v>
      </c>
      <c r="I23" s="365" t="s">
        <v>352</v>
      </c>
      <c r="J23" s="365" t="s">
        <v>353</v>
      </c>
      <c r="K23" s="365" t="s">
        <v>354</v>
      </c>
      <c r="L23" s="363" t="s">
        <v>74</v>
      </c>
      <c r="M23" s="380"/>
      <c r="N23" s="380"/>
      <c r="O23" s="380"/>
      <c r="P23" s="362"/>
      <c r="Q23" s="362"/>
      <c r="R23" s="362"/>
      <c r="S23" s="374" t="s">
        <v>2</v>
      </c>
      <c r="T23" s="374" t="s">
        <v>9</v>
      </c>
      <c r="U23" s="369"/>
      <c r="V23" s="369"/>
      <c r="W23" s="362"/>
      <c r="X23" s="362"/>
      <c r="Y23" s="362"/>
      <c r="Z23" s="362"/>
      <c r="AA23" s="362"/>
      <c r="AB23" s="362"/>
      <c r="AC23" s="362"/>
      <c r="AD23" s="362"/>
      <c r="AE23" s="362"/>
      <c r="AF23" s="362" t="s">
        <v>20</v>
      </c>
      <c r="AG23" s="362"/>
      <c r="AH23" s="362" t="s">
        <v>19</v>
      </c>
      <c r="AI23" s="362"/>
      <c r="AJ23" s="367" t="s">
        <v>18</v>
      </c>
      <c r="AK23" s="367" t="s">
        <v>17</v>
      </c>
      <c r="AL23" s="367" t="s">
        <v>16</v>
      </c>
      <c r="AM23" s="367" t="s">
        <v>15</v>
      </c>
      <c r="AN23" s="367" t="s">
        <v>14</v>
      </c>
      <c r="AO23" s="367" t="s">
        <v>13</v>
      </c>
      <c r="AP23" s="367" t="s">
        <v>12</v>
      </c>
      <c r="AQ23" s="367" t="s">
        <v>9</v>
      </c>
      <c r="AR23" s="362"/>
      <c r="AS23" s="362"/>
      <c r="AT23" s="362"/>
      <c r="AU23" s="362"/>
      <c r="AV23" s="371"/>
    </row>
    <row r="24" spans="1:48" ht="96.75" customHeight="1" x14ac:dyDescent="0.25">
      <c r="A24" s="379"/>
      <c r="B24" s="383"/>
      <c r="C24" s="368"/>
      <c r="D24" s="368"/>
      <c r="E24" s="373"/>
      <c r="F24" s="364"/>
      <c r="G24" s="364"/>
      <c r="H24" s="364"/>
      <c r="I24" s="366"/>
      <c r="J24" s="366"/>
      <c r="K24" s="366"/>
      <c r="L24" s="364"/>
      <c r="M24" s="368"/>
      <c r="N24" s="368"/>
      <c r="O24" s="368"/>
      <c r="P24" s="362"/>
      <c r="Q24" s="362"/>
      <c r="R24" s="362"/>
      <c r="S24" s="375"/>
      <c r="T24" s="375"/>
      <c r="U24" s="369"/>
      <c r="V24" s="369"/>
      <c r="W24" s="362"/>
      <c r="X24" s="362"/>
      <c r="Y24" s="362"/>
      <c r="Z24" s="362"/>
      <c r="AA24" s="362"/>
      <c r="AB24" s="362"/>
      <c r="AC24" s="362"/>
      <c r="AD24" s="362"/>
      <c r="AE24" s="362"/>
      <c r="AF24" s="142" t="s">
        <v>11</v>
      </c>
      <c r="AG24" s="142" t="s">
        <v>10</v>
      </c>
      <c r="AH24" s="143" t="s">
        <v>2</v>
      </c>
      <c r="AI24" s="143" t="s">
        <v>9</v>
      </c>
      <c r="AJ24" s="368"/>
      <c r="AK24" s="368"/>
      <c r="AL24" s="368"/>
      <c r="AM24" s="368"/>
      <c r="AN24" s="368"/>
      <c r="AO24" s="368"/>
      <c r="AP24" s="368"/>
      <c r="AQ24" s="368"/>
      <c r="AR24" s="362"/>
      <c r="AS24" s="362"/>
      <c r="AT24" s="362"/>
      <c r="AU24" s="362"/>
      <c r="AV24" s="371"/>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63" x14ac:dyDescent="0.25">
      <c r="A26" s="147">
        <v>1</v>
      </c>
      <c r="B26" s="148" t="str">
        <f>A9</f>
        <v xml:space="preserve">Акционерное общество "Западная энергетическая компания" </v>
      </c>
      <c r="C26" s="148" t="s">
        <v>62</v>
      </c>
      <c r="D26" s="162">
        <f>'6.1. Паспорт сетевой график'!D53</f>
        <v>44396</v>
      </c>
      <c r="E26" s="148"/>
      <c r="F26" s="148"/>
      <c r="G26" s="148" t="str">
        <f>'3.1. паспорт Техсостояние ПС'!O25</f>
        <v>нд</v>
      </c>
      <c r="H26" s="148"/>
      <c r="I26" s="148"/>
      <c r="J26" s="148"/>
      <c r="K26" s="148"/>
      <c r="L26" s="148">
        <v>588</v>
      </c>
      <c r="M26" s="148" t="s">
        <v>530</v>
      </c>
      <c r="N26" s="148" t="s">
        <v>549</v>
      </c>
      <c r="O26" s="149" t="str">
        <f>B26</f>
        <v xml:space="preserve">Акционерное общество "Западная энергетическая компания" </v>
      </c>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2"/>
      <c r="AQ26" s="182"/>
      <c r="AR26" s="182"/>
      <c r="AS26" s="182"/>
      <c r="AT26" s="182"/>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zoomScale="90" zoomScaleNormal="90" zoomScaleSheetLayoutView="90" workbookViewId="0">
      <selection activeCell="B28" sqref="B28"/>
    </sheetView>
  </sheetViews>
  <sheetFormatPr defaultRowHeight="15.75" x14ac:dyDescent="0.25"/>
  <cols>
    <col min="1" max="1" width="66.140625" style="58" customWidth="1"/>
    <col min="2" max="2" width="60.28515625" style="58" customWidth="1"/>
    <col min="3" max="3" width="30.42578125" style="32" customWidth="1"/>
    <col min="4" max="4" width="21.855468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420</v>
      </c>
    </row>
    <row r="4" spans="1:8" x14ac:dyDescent="0.25">
      <c r="B4" s="24"/>
    </row>
    <row r="5" spans="1:8" ht="18.75" x14ac:dyDescent="0.3">
      <c r="A5" s="392" t="str">
        <f>'1. паспорт местоположение'!A5:C5</f>
        <v>Год раскрытия информации: 2023 год</v>
      </c>
      <c r="B5" s="392"/>
      <c r="C5" s="52"/>
      <c r="D5" s="52"/>
      <c r="E5" s="52"/>
      <c r="F5" s="52"/>
      <c r="G5" s="52"/>
      <c r="H5" s="52"/>
    </row>
    <row r="6" spans="1:8" ht="18.75" x14ac:dyDescent="0.3">
      <c r="A6" s="84"/>
      <c r="B6" s="84"/>
      <c r="C6" s="84"/>
      <c r="D6" s="84"/>
      <c r="E6" s="84"/>
      <c r="F6" s="84"/>
      <c r="G6" s="84"/>
      <c r="H6" s="84"/>
    </row>
    <row r="7" spans="1:8" ht="18.75" x14ac:dyDescent="0.25">
      <c r="A7" s="294" t="s">
        <v>7</v>
      </c>
      <c r="B7" s="294"/>
      <c r="C7" s="109"/>
      <c r="D7" s="109"/>
      <c r="E7" s="109"/>
      <c r="F7" s="109"/>
      <c r="G7" s="109"/>
      <c r="H7" s="109"/>
    </row>
    <row r="8" spans="1:8" ht="18.75" x14ac:dyDescent="0.25">
      <c r="A8" s="109"/>
      <c r="B8" s="109"/>
      <c r="C8" s="109"/>
      <c r="D8" s="109"/>
      <c r="E8" s="109"/>
      <c r="F8" s="109"/>
      <c r="G8" s="109"/>
      <c r="H8" s="109"/>
    </row>
    <row r="9" spans="1:8" x14ac:dyDescent="0.25">
      <c r="A9" s="292" t="str">
        <f>'1. паспорт местоположение'!A9:C9</f>
        <v xml:space="preserve">Акционерное общество "Западная энергетическая компания" </v>
      </c>
      <c r="B9" s="292"/>
      <c r="C9" s="111"/>
      <c r="D9" s="111"/>
      <c r="E9" s="111"/>
      <c r="F9" s="111"/>
      <c r="G9" s="111"/>
      <c r="H9" s="111"/>
    </row>
    <row r="10" spans="1:8" x14ac:dyDescent="0.25">
      <c r="A10" s="298" t="s">
        <v>6</v>
      </c>
      <c r="B10" s="298"/>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292" t="str">
        <f>'1. паспорт местоположение'!A12:C12</f>
        <v>L 21-23</v>
      </c>
      <c r="B12" s="292"/>
      <c r="C12" s="111"/>
      <c r="D12" s="111"/>
      <c r="E12" s="111"/>
      <c r="F12" s="111"/>
      <c r="G12" s="111"/>
      <c r="H12" s="111"/>
    </row>
    <row r="13" spans="1:8" x14ac:dyDescent="0.25">
      <c r="A13" s="298" t="s">
        <v>5</v>
      </c>
      <c r="B13" s="298"/>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18" t="str">
        <f>'1. паспорт местоположение'!A15:C15</f>
        <v>Програмное обеспечение АИСКУЭ для выхода на ОРЭМ</v>
      </c>
      <c r="B15" s="318"/>
      <c r="C15" s="111"/>
      <c r="D15" s="111"/>
      <c r="E15" s="111"/>
      <c r="F15" s="111"/>
      <c r="G15" s="111"/>
      <c r="H15" s="111"/>
    </row>
    <row r="16" spans="1:8" x14ac:dyDescent="0.25">
      <c r="A16" s="298" t="s">
        <v>4</v>
      </c>
      <c r="B16" s="298"/>
      <c r="C16" s="112"/>
      <c r="D16" s="112"/>
      <c r="E16" s="112"/>
      <c r="F16" s="112"/>
      <c r="G16" s="112"/>
      <c r="H16" s="112"/>
    </row>
    <row r="17" spans="1:2" x14ac:dyDescent="0.25">
      <c r="B17" s="59"/>
    </row>
    <row r="18" spans="1:2" ht="33.75" customHeight="1" x14ac:dyDescent="0.25">
      <c r="A18" s="387" t="s">
        <v>406</v>
      </c>
      <c r="B18" s="388"/>
    </row>
    <row r="19" spans="1:2" x14ac:dyDescent="0.25">
      <c r="B19" s="24"/>
    </row>
    <row r="20" spans="1:2" ht="16.5" thickBot="1" x14ac:dyDescent="0.3">
      <c r="B20" s="60"/>
    </row>
    <row r="21" spans="1:2" ht="65.25" customHeight="1" thickBot="1" x14ac:dyDescent="0.3">
      <c r="A21" s="61" t="s">
        <v>303</v>
      </c>
      <c r="B21" s="103" t="str">
        <f>A15</f>
        <v>Програмное обеспечение АИСКУЭ для выхода на ОРЭМ</v>
      </c>
    </row>
    <row r="22" spans="1:2" ht="30" customHeight="1" thickBot="1" x14ac:dyDescent="0.3">
      <c r="A22" s="61" t="s">
        <v>304</v>
      </c>
      <c r="B22" s="188" t="str">
        <f>'1. паспорт местоположение'!C27</f>
        <v xml:space="preserve"> Городской округ "Город Калининград"</v>
      </c>
    </row>
    <row r="23" spans="1:2" ht="16.5" thickBot="1" x14ac:dyDescent="0.3">
      <c r="A23" s="61" t="s">
        <v>289</v>
      </c>
      <c r="B23" s="62" t="s">
        <v>544</v>
      </c>
    </row>
    <row r="24" spans="1:2" ht="16.5" thickBot="1" x14ac:dyDescent="0.3">
      <c r="A24" s="61" t="s">
        <v>305</v>
      </c>
      <c r="B24" s="62" t="s">
        <v>540</v>
      </c>
    </row>
    <row r="25" spans="1:2" ht="16.5" thickBot="1" x14ac:dyDescent="0.3">
      <c r="A25" s="63" t="s">
        <v>306</v>
      </c>
      <c r="B25" s="187">
        <f>'6.1. Паспорт сетевой график'!C54</f>
        <v>44317</v>
      </c>
    </row>
    <row r="26" spans="1:2" ht="16.5" thickBot="1" x14ac:dyDescent="0.3">
      <c r="A26" s="64" t="s">
        <v>307</v>
      </c>
      <c r="B26" s="101" t="s">
        <v>435</v>
      </c>
    </row>
    <row r="27" spans="1:2" ht="29.25" thickBot="1" x14ac:dyDescent="0.3">
      <c r="A27" s="71" t="s">
        <v>563</v>
      </c>
      <c r="B27" s="102">
        <f>'6.2. Паспорт фин осв ввод'!D24</f>
        <v>1.4152012199999999</v>
      </c>
    </row>
    <row r="28" spans="1:2" ht="42" customHeight="1" thickBot="1" x14ac:dyDescent="0.3">
      <c r="A28" s="66" t="s">
        <v>308</v>
      </c>
      <c r="B28" s="66" t="s">
        <v>550</v>
      </c>
    </row>
    <row r="29" spans="1:2" ht="29.25" thickBot="1" x14ac:dyDescent="0.3">
      <c r="A29" s="72" t="s">
        <v>309</v>
      </c>
      <c r="B29" s="102"/>
    </row>
    <row r="30" spans="1:2" ht="29.25" thickBot="1" x14ac:dyDescent="0.3">
      <c r="A30" s="72" t="s">
        <v>310</v>
      </c>
      <c r="B30" s="102"/>
    </row>
    <row r="31" spans="1:2" ht="16.5" thickBot="1" x14ac:dyDescent="0.3">
      <c r="A31" s="66" t="s">
        <v>311</v>
      </c>
      <c r="B31" s="102"/>
    </row>
    <row r="32" spans="1:2" ht="29.25" thickBot="1" x14ac:dyDescent="0.3">
      <c r="A32" s="72" t="s">
        <v>312</v>
      </c>
      <c r="B32" s="102"/>
    </row>
    <row r="33" spans="1:3" s="153" customFormat="1" ht="16.5" thickBot="1" x14ac:dyDescent="0.3">
      <c r="A33" s="160"/>
      <c r="B33" s="161"/>
    </row>
    <row r="34" spans="1:3" ht="16.5" thickBot="1" x14ac:dyDescent="0.3">
      <c r="A34" s="66" t="s">
        <v>314</v>
      </c>
      <c r="B34" s="91"/>
    </row>
    <row r="35" spans="1:3" ht="16.5" thickBot="1" x14ac:dyDescent="0.3">
      <c r="A35" s="66" t="s">
        <v>315</v>
      </c>
      <c r="B35" s="102"/>
    </row>
    <row r="36" spans="1:3" ht="16.5" thickBot="1" x14ac:dyDescent="0.3">
      <c r="A36" s="66" t="s">
        <v>316</v>
      </c>
      <c r="B36" s="102"/>
    </row>
    <row r="37" spans="1:3" s="153" customFormat="1" ht="16.5" thickBot="1" x14ac:dyDescent="0.3">
      <c r="A37" s="89" t="s">
        <v>313</v>
      </c>
      <c r="B37" s="90"/>
    </row>
    <row r="38" spans="1:3" ht="16.5" thickBot="1" x14ac:dyDescent="0.3">
      <c r="A38" s="66" t="s">
        <v>314</v>
      </c>
      <c r="B38" s="91">
        <f>B37/$B$27</f>
        <v>0</v>
      </c>
    </row>
    <row r="39" spans="1:3" ht="16.5" thickBot="1" x14ac:dyDescent="0.3">
      <c r="A39" s="66" t="s">
        <v>315</v>
      </c>
      <c r="B39" s="88"/>
    </row>
    <row r="40" spans="1:3" ht="16.5" thickBot="1" x14ac:dyDescent="0.3">
      <c r="A40" s="66" t="s">
        <v>316</v>
      </c>
      <c r="B40" s="88"/>
    </row>
    <row r="41" spans="1:3" ht="16.5" thickBot="1" x14ac:dyDescent="0.3">
      <c r="A41" s="89" t="s">
        <v>313</v>
      </c>
      <c r="B41" s="90"/>
      <c r="C41" s="153"/>
    </row>
    <row r="42" spans="1:3" ht="16.5" thickBot="1" x14ac:dyDescent="0.3">
      <c r="A42" s="66" t="s">
        <v>314</v>
      </c>
      <c r="B42" s="91">
        <f>B41/$B$27</f>
        <v>0</v>
      </c>
    </row>
    <row r="43" spans="1:3" ht="16.5" thickBot="1" x14ac:dyDescent="0.3">
      <c r="A43" s="66" t="s">
        <v>315</v>
      </c>
      <c r="B43" s="88"/>
    </row>
    <row r="44" spans="1:3" ht="16.5" thickBot="1" x14ac:dyDescent="0.3">
      <c r="A44" s="66" t="s">
        <v>316</v>
      </c>
      <c r="B44" s="88"/>
    </row>
    <row r="45" spans="1:3" ht="16.5" thickBot="1" x14ac:dyDescent="0.3">
      <c r="A45" s="89" t="s">
        <v>313</v>
      </c>
      <c r="B45" s="90"/>
      <c r="C45" s="153"/>
    </row>
    <row r="46" spans="1:3" ht="16.5" thickBot="1" x14ac:dyDescent="0.3">
      <c r="A46" s="66" t="s">
        <v>314</v>
      </c>
      <c r="B46" s="91">
        <f>B45/$B$27</f>
        <v>0</v>
      </c>
    </row>
    <row r="47" spans="1:3" ht="16.5" thickBot="1" x14ac:dyDescent="0.3">
      <c r="A47" s="66" t="s">
        <v>315</v>
      </c>
      <c r="B47" s="88"/>
    </row>
    <row r="48" spans="1:3" ht="16.5" thickBot="1" x14ac:dyDescent="0.3">
      <c r="A48" s="66" t="s">
        <v>316</v>
      </c>
      <c r="B48" s="88"/>
    </row>
    <row r="49" spans="1:3" ht="16.5" thickBot="1" x14ac:dyDescent="0.3">
      <c r="A49" s="89" t="s">
        <v>313</v>
      </c>
      <c r="B49" s="90"/>
      <c r="C49" s="153"/>
    </row>
    <row r="50" spans="1:3" ht="16.5" thickBot="1" x14ac:dyDescent="0.3">
      <c r="A50" s="66" t="s">
        <v>314</v>
      </c>
      <c r="B50" s="91">
        <f>B49/$B$27</f>
        <v>0</v>
      </c>
    </row>
    <row r="51" spans="1:3" ht="16.5" thickBot="1" x14ac:dyDescent="0.3">
      <c r="A51" s="66" t="s">
        <v>315</v>
      </c>
      <c r="B51" s="88"/>
    </row>
    <row r="52" spans="1:3" ht="16.5" thickBot="1" x14ac:dyDescent="0.3">
      <c r="A52" s="66" t="s">
        <v>316</v>
      </c>
      <c r="B52" s="88"/>
    </row>
    <row r="53" spans="1:3" ht="29.25" thickBot="1" x14ac:dyDescent="0.3">
      <c r="A53" s="72" t="s">
        <v>317</v>
      </c>
      <c r="B53" s="88">
        <f xml:space="preserve"> SUMIF(C54:C110, 20,B54:B110)</f>
        <v>0</v>
      </c>
    </row>
    <row r="54" spans="1:3" s="153" customFormat="1" ht="16.5" thickBot="1" x14ac:dyDescent="0.3">
      <c r="A54" s="89" t="s">
        <v>313</v>
      </c>
      <c r="B54" s="90"/>
    </row>
    <row r="55" spans="1:3" ht="16.5" thickBot="1" x14ac:dyDescent="0.3">
      <c r="A55" s="66" t="s">
        <v>314</v>
      </c>
      <c r="B55" s="91">
        <f>B54/$B$27</f>
        <v>0</v>
      </c>
    </row>
    <row r="56" spans="1:3" ht="16.5" thickBot="1" x14ac:dyDescent="0.3">
      <c r="A56" s="66" t="s">
        <v>315</v>
      </c>
      <c r="B56" s="88"/>
    </row>
    <row r="57" spans="1:3" ht="16.5" thickBot="1" x14ac:dyDescent="0.3">
      <c r="A57" s="66" t="s">
        <v>316</v>
      </c>
      <c r="B57" s="88"/>
    </row>
    <row r="58" spans="1:3" s="153" customFormat="1" ht="16.5" thickBot="1" x14ac:dyDescent="0.3">
      <c r="A58" s="89" t="s">
        <v>313</v>
      </c>
      <c r="B58" s="90"/>
    </row>
    <row r="59" spans="1:3" ht="16.5" thickBot="1" x14ac:dyDescent="0.3">
      <c r="A59" s="66" t="s">
        <v>314</v>
      </c>
      <c r="B59" s="91">
        <f>B58/$B$27</f>
        <v>0</v>
      </c>
    </row>
    <row r="60" spans="1:3" ht="16.5" thickBot="1" x14ac:dyDescent="0.3">
      <c r="A60" s="66" t="s">
        <v>315</v>
      </c>
      <c r="B60" s="88"/>
    </row>
    <row r="61" spans="1:3" ht="16.5" thickBot="1" x14ac:dyDescent="0.3">
      <c r="A61" s="66" t="s">
        <v>316</v>
      </c>
      <c r="B61" s="88"/>
    </row>
    <row r="62" spans="1:3" s="153" customFormat="1" ht="16.5" thickBot="1" x14ac:dyDescent="0.3">
      <c r="A62" s="89" t="s">
        <v>313</v>
      </c>
      <c r="B62" s="90"/>
    </row>
    <row r="63" spans="1:3" ht="16.5" thickBot="1" x14ac:dyDescent="0.3">
      <c r="A63" s="66" t="s">
        <v>314</v>
      </c>
      <c r="B63" s="91">
        <f>B62/$B$27</f>
        <v>0</v>
      </c>
    </row>
    <row r="64" spans="1:3" ht="16.5" thickBot="1" x14ac:dyDescent="0.3">
      <c r="A64" s="66" t="s">
        <v>315</v>
      </c>
      <c r="B64" s="88"/>
    </row>
    <row r="65" spans="1:2" ht="16.5" thickBot="1" x14ac:dyDescent="0.3">
      <c r="A65" s="66" t="s">
        <v>316</v>
      </c>
      <c r="B65" s="88"/>
    </row>
    <row r="66" spans="1:2" s="153" customFormat="1" ht="16.5" thickBot="1" x14ac:dyDescent="0.3">
      <c r="A66" s="89" t="s">
        <v>313</v>
      </c>
      <c r="B66" s="90"/>
    </row>
    <row r="67" spans="1:2" ht="16.5" thickBot="1" x14ac:dyDescent="0.3">
      <c r="A67" s="66" t="s">
        <v>314</v>
      </c>
      <c r="B67" s="91">
        <f>B66/$B$27</f>
        <v>0</v>
      </c>
    </row>
    <row r="68" spans="1:2" ht="16.5" thickBot="1" x14ac:dyDescent="0.3">
      <c r="A68" s="66" t="s">
        <v>315</v>
      </c>
      <c r="B68" s="88"/>
    </row>
    <row r="69" spans="1:2" ht="16.5" thickBot="1" x14ac:dyDescent="0.3">
      <c r="A69" s="66" t="s">
        <v>316</v>
      </c>
      <c r="B69" s="88"/>
    </row>
    <row r="70" spans="1:2" ht="29.25" thickBot="1" x14ac:dyDescent="0.3">
      <c r="A70" s="72" t="s">
        <v>318</v>
      </c>
      <c r="B70" s="88"/>
    </row>
    <row r="71" spans="1:2" s="153" customFormat="1" ht="16.5" thickBot="1" x14ac:dyDescent="0.3">
      <c r="A71" s="160"/>
      <c r="B71" s="161"/>
    </row>
    <row r="72" spans="1:2" ht="16.5" thickBot="1" x14ac:dyDescent="0.3">
      <c r="A72" s="66" t="s">
        <v>314</v>
      </c>
      <c r="B72" s="91"/>
    </row>
    <row r="73" spans="1:2" ht="16.5" thickBot="1" x14ac:dyDescent="0.3">
      <c r="A73" s="66" t="s">
        <v>315</v>
      </c>
      <c r="B73" s="102"/>
    </row>
    <row r="74" spans="1:2" ht="16.5" thickBot="1" x14ac:dyDescent="0.3">
      <c r="A74" s="66" t="s">
        <v>316</v>
      </c>
      <c r="B74" s="102"/>
    </row>
    <row r="75" spans="1:2" s="153" customFormat="1" ht="16.5" thickBot="1" x14ac:dyDescent="0.3">
      <c r="A75" s="160"/>
      <c r="B75" s="161"/>
    </row>
    <row r="76" spans="1:2" ht="16.5" thickBot="1" x14ac:dyDescent="0.3">
      <c r="A76" s="66" t="s">
        <v>314</v>
      </c>
      <c r="B76" s="91"/>
    </row>
    <row r="77" spans="1:2" ht="16.5" thickBot="1" x14ac:dyDescent="0.3">
      <c r="A77" s="66" t="s">
        <v>315</v>
      </c>
      <c r="B77" s="102"/>
    </row>
    <row r="78" spans="1:2" ht="16.5" thickBot="1" x14ac:dyDescent="0.3">
      <c r="A78" s="66" t="s">
        <v>316</v>
      </c>
      <c r="B78" s="102"/>
    </row>
    <row r="79" spans="1:2" s="153" customFormat="1" ht="16.5" thickBot="1" x14ac:dyDescent="0.3">
      <c r="A79" s="160"/>
      <c r="B79" s="161"/>
    </row>
    <row r="80" spans="1:2" ht="16.5" thickBot="1" x14ac:dyDescent="0.3">
      <c r="A80" s="66" t="s">
        <v>314</v>
      </c>
      <c r="B80" s="91"/>
    </row>
    <row r="81" spans="1:2" ht="16.5" thickBot="1" x14ac:dyDescent="0.3">
      <c r="A81" s="66" t="s">
        <v>315</v>
      </c>
      <c r="B81" s="88"/>
    </row>
    <row r="82" spans="1:2" ht="16.5" thickBot="1" x14ac:dyDescent="0.3">
      <c r="A82" s="66" t="s">
        <v>316</v>
      </c>
      <c r="B82" s="88"/>
    </row>
    <row r="83" spans="1:2" s="153" customFormat="1" ht="16.5" thickBot="1" x14ac:dyDescent="0.3">
      <c r="A83" s="89" t="s">
        <v>313</v>
      </c>
      <c r="B83" s="90"/>
    </row>
    <row r="84" spans="1:2" ht="16.5" thickBot="1" x14ac:dyDescent="0.3">
      <c r="A84" s="66" t="s">
        <v>314</v>
      </c>
      <c r="B84" s="91"/>
    </row>
    <row r="85" spans="1:2" ht="16.5" thickBot="1" x14ac:dyDescent="0.3">
      <c r="A85" s="66" t="s">
        <v>315</v>
      </c>
      <c r="B85" s="88"/>
    </row>
    <row r="86" spans="1:2" ht="16.5" thickBot="1" x14ac:dyDescent="0.3">
      <c r="A86" s="66" t="s">
        <v>316</v>
      </c>
      <c r="B86" s="88"/>
    </row>
    <row r="87" spans="1:2" s="153" customFormat="1" ht="16.5" thickBot="1" x14ac:dyDescent="0.3">
      <c r="A87" s="89" t="s">
        <v>313</v>
      </c>
      <c r="B87" s="90"/>
    </row>
    <row r="88" spans="1:2" ht="16.5" thickBot="1" x14ac:dyDescent="0.3">
      <c r="A88" s="66" t="s">
        <v>314</v>
      </c>
      <c r="B88" s="91"/>
    </row>
    <row r="89" spans="1:2" ht="16.5" thickBot="1" x14ac:dyDescent="0.3">
      <c r="A89" s="66" t="s">
        <v>315</v>
      </c>
      <c r="B89" s="88"/>
    </row>
    <row r="90" spans="1:2" ht="16.5" thickBot="1" x14ac:dyDescent="0.3">
      <c r="A90" s="66" t="s">
        <v>316</v>
      </c>
      <c r="B90" s="88"/>
    </row>
    <row r="91" spans="1:2" s="153" customFormat="1" ht="16.5" thickBot="1" x14ac:dyDescent="0.3">
      <c r="A91" s="89" t="s">
        <v>313</v>
      </c>
      <c r="B91" s="90"/>
    </row>
    <row r="92" spans="1:2" ht="16.5" thickBot="1" x14ac:dyDescent="0.3">
      <c r="A92" s="66" t="s">
        <v>314</v>
      </c>
      <c r="B92" s="91"/>
    </row>
    <row r="93" spans="1:2" ht="16.5" thickBot="1" x14ac:dyDescent="0.3">
      <c r="A93" s="66" t="s">
        <v>315</v>
      </c>
      <c r="B93" s="88"/>
    </row>
    <row r="94" spans="1:2" ht="16.5" thickBot="1" x14ac:dyDescent="0.3">
      <c r="A94" s="66" t="s">
        <v>316</v>
      </c>
      <c r="B94" s="88"/>
    </row>
    <row r="95" spans="1:2" s="153" customFormat="1" ht="16.5" thickBot="1" x14ac:dyDescent="0.3">
      <c r="A95" s="89" t="s">
        <v>313</v>
      </c>
      <c r="B95" s="90"/>
    </row>
    <row r="96" spans="1:2" ht="16.5" thickBot="1" x14ac:dyDescent="0.3">
      <c r="A96" s="66" t="s">
        <v>314</v>
      </c>
      <c r="B96" s="91"/>
    </row>
    <row r="97" spans="1:2" ht="16.5" thickBot="1" x14ac:dyDescent="0.3">
      <c r="A97" s="66" t="s">
        <v>315</v>
      </c>
      <c r="B97" s="88"/>
    </row>
    <row r="98" spans="1:2" ht="16.5" thickBot="1" x14ac:dyDescent="0.3">
      <c r="A98" s="66" t="s">
        <v>316</v>
      </c>
      <c r="B98" s="88"/>
    </row>
    <row r="99" spans="1:2" s="153" customFormat="1" ht="16.5" thickBot="1" x14ac:dyDescent="0.3">
      <c r="A99" s="89" t="s">
        <v>313</v>
      </c>
      <c r="B99" s="90"/>
    </row>
    <row r="100" spans="1:2" ht="16.5" thickBot="1" x14ac:dyDescent="0.3">
      <c r="A100" s="66" t="s">
        <v>314</v>
      </c>
      <c r="B100" s="91">
        <f>B99/$B$27</f>
        <v>0</v>
      </c>
    </row>
    <row r="101" spans="1:2" ht="16.5" thickBot="1" x14ac:dyDescent="0.3">
      <c r="A101" s="66" t="s">
        <v>315</v>
      </c>
      <c r="B101" s="88"/>
    </row>
    <row r="102" spans="1:2" ht="16.5" thickBot="1" x14ac:dyDescent="0.3">
      <c r="A102" s="66" t="s">
        <v>316</v>
      </c>
      <c r="B102" s="88"/>
    </row>
    <row r="103" spans="1:2" s="153" customFormat="1" ht="16.5" thickBot="1" x14ac:dyDescent="0.3">
      <c r="A103" s="89" t="s">
        <v>313</v>
      </c>
      <c r="B103" s="90"/>
    </row>
    <row r="104" spans="1:2" ht="16.5" thickBot="1" x14ac:dyDescent="0.3">
      <c r="A104" s="66" t="s">
        <v>314</v>
      </c>
      <c r="B104" s="91">
        <f>B103/$B$27</f>
        <v>0</v>
      </c>
    </row>
    <row r="105" spans="1:2" ht="16.5" thickBot="1" x14ac:dyDescent="0.3">
      <c r="A105" s="66" t="s">
        <v>315</v>
      </c>
      <c r="B105" s="88"/>
    </row>
    <row r="106" spans="1:2" ht="16.5" thickBot="1" x14ac:dyDescent="0.3">
      <c r="A106" s="66" t="s">
        <v>316</v>
      </c>
      <c r="B106" s="88"/>
    </row>
    <row r="107" spans="1:2" s="153" customFormat="1" ht="16.5" thickBot="1" x14ac:dyDescent="0.3">
      <c r="A107" s="89" t="s">
        <v>313</v>
      </c>
      <c r="B107" s="90"/>
    </row>
    <row r="108" spans="1:2" ht="16.5" thickBot="1" x14ac:dyDescent="0.3">
      <c r="A108" s="66" t="s">
        <v>314</v>
      </c>
      <c r="B108" s="91">
        <f>B107/$B$27</f>
        <v>0</v>
      </c>
    </row>
    <row r="109" spans="1:2" ht="16.5" thickBot="1" x14ac:dyDescent="0.3">
      <c r="A109" s="66" t="s">
        <v>315</v>
      </c>
      <c r="B109" s="88"/>
    </row>
    <row r="110" spans="1:2" ht="16.5" thickBot="1" x14ac:dyDescent="0.3">
      <c r="A110" s="66" t="s">
        <v>316</v>
      </c>
      <c r="B110" s="88"/>
    </row>
    <row r="111" spans="1:2" ht="29.25" thickBot="1" x14ac:dyDescent="0.3">
      <c r="A111" s="65" t="s">
        <v>319</v>
      </c>
      <c r="B111" s="91">
        <f>B30/B27</f>
        <v>0</v>
      </c>
    </row>
    <row r="112" spans="1:2" ht="16.5" thickBot="1" x14ac:dyDescent="0.3">
      <c r="A112" s="67" t="s">
        <v>311</v>
      </c>
      <c r="B112" s="73"/>
    </row>
    <row r="113" spans="1:2" ht="16.5" thickBot="1" x14ac:dyDescent="0.3">
      <c r="A113" s="67" t="s">
        <v>320</v>
      </c>
      <c r="B113" s="91">
        <f>B33/B27</f>
        <v>0</v>
      </c>
    </row>
    <row r="114" spans="1:2" ht="16.5" thickBot="1" x14ac:dyDescent="0.3">
      <c r="A114" s="67" t="s">
        <v>321</v>
      </c>
      <c r="B114" s="91"/>
    </row>
    <row r="115" spans="1:2" ht="16.5" thickBot="1" x14ac:dyDescent="0.3">
      <c r="A115" s="67" t="s">
        <v>322</v>
      </c>
      <c r="B115" s="91">
        <f>B70/B27</f>
        <v>0</v>
      </c>
    </row>
    <row r="116" spans="1:2" ht="16.5" thickBot="1" x14ac:dyDescent="0.3">
      <c r="A116" s="63" t="s">
        <v>323</v>
      </c>
      <c r="B116" s="92">
        <f>B117/$B$27</f>
        <v>0</v>
      </c>
    </row>
    <row r="117" spans="1:2" ht="16.5" thickBot="1" x14ac:dyDescent="0.3">
      <c r="A117" s="63" t="s">
        <v>324</v>
      </c>
      <c r="B117" s="178">
        <f xml:space="preserve"> SUMIF(C33:C110, 1,B33:B110)</f>
        <v>0</v>
      </c>
    </row>
    <row r="118" spans="1:2" ht="16.5" thickBot="1" x14ac:dyDescent="0.3">
      <c r="A118" s="63" t="s">
        <v>325</v>
      </c>
      <c r="B118" s="92">
        <f>B119/$B$27</f>
        <v>0</v>
      </c>
    </row>
    <row r="119" spans="1:2" ht="16.5" thickBot="1" x14ac:dyDescent="0.3">
      <c r="A119" s="64" t="s">
        <v>326</v>
      </c>
      <c r="B119" s="178">
        <f xml:space="preserve"> SUMIF(C33:C110, 2,B33:B110)</f>
        <v>0</v>
      </c>
    </row>
    <row r="120" spans="1:2" ht="15.75" customHeight="1" x14ac:dyDescent="0.25">
      <c r="A120" s="65" t="s">
        <v>327</v>
      </c>
      <c r="B120" s="67" t="s">
        <v>328</v>
      </c>
    </row>
    <row r="121" spans="1:2" x14ac:dyDescent="0.25">
      <c r="A121" s="69" t="s">
        <v>329</v>
      </c>
      <c r="B121" s="69" t="str">
        <f>A9</f>
        <v xml:space="preserve">Акционерное общество "Западная энергетическая компания" </v>
      </c>
    </row>
    <row r="122" spans="1:2" x14ac:dyDescent="0.25">
      <c r="A122" s="69" t="s">
        <v>330</v>
      </c>
      <c r="B122" s="69"/>
    </row>
    <row r="123" spans="1:2" x14ac:dyDescent="0.25">
      <c r="A123" s="69" t="s">
        <v>331</v>
      </c>
      <c r="B123" s="69"/>
    </row>
    <row r="124" spans="1:2" x14ac:dyDescent="0.25">
      <c r="A124" s="69" t="s">
        <v>332</v>
      </c>
      <c r="B124" s="69"/>
    </row>
    <row r="125" spans="1:2" ht="16.5" thickBot="1" x14ac:dyDescent="0.3">
      <c r="A125" s="70" t="s">
        <v>333</v>
      </c>
      <c r="B125" s="70"/>
    </row>
    <row r="126" spans="1:2" ht="30.75" thickBot="1" x14ac:dyDescent="0.3">
      <c r="A126" s="67" t="s">
        <v>334</v>
      </c>
      <c r="B126" s="68"/>
    </row>
    <row r="127" spans="1:2" ht="29.25" thickBot="1" x14ac:dyDescent="0.3">
      <c r="A127" s="63" t="s">
        <v>335</v>
      </c>
      <c r="B127" s="179"/>
    </row>
    <row r="128" spans="1:2" ht="16.5" thickBot="1" x14ac:dyDescent="0.3">
      <c r="A128" s="67" t="s">
        <v>311</v>
      </c>
      <c r="B128" s="180"/>
    </row>
    <row r="129" spans="1:2" ht="16.5" thickBot="1" x14ac:dyDescent="0.3">
      <c r="A129" s="67" t="s">
        <v>336</v>
      </c>
      <c r="B129" s="179"/>
    </row>
    <row r="130" spans="1:2" ht="16.5" thickBot="1" x14ac:dyDescent="0.3">
      <c r="A130" s="67" t="s">
        <v>337</v>
      </c>
      <c r="B130" s="180"/>
    </row>
    <row r="131" spans="1:2" ht="16.5" thickBot="1" x14ac:dyDescent="0.3">
      <c r="A131" s="76" t="s">
        <v>338</v>
      </c>
      <c r="B131" s="106"/>
    </row>
    <row r="132" spans="1:2" ht="16.5" thickBot="1" x14ac:dyDescent="0.3">
      <c r="A132" s="63" t="s">
        <v>339</v>
      </c>
      <c r="B132" s="74"/>
    </row>
    <row r="133" spans="1:2" ht="16.5" thickBot="1" x14ac:dyDescent="0.3">
      <c r="A133" s="69" t="s">
        <v>340</v>
      </c>
      <c r="B133" s="177">
        <f>'6.1. Паспорт сетевой график'!H43</f>
        <v>44396</v>
      </c>
    </row>
    <row r="134" spans="1:2" ht="16.5" thickBot="1" x14ac:dyDescent="0.3">
      <c r="A134" s="69" t="s">
        <v>341</v>
      </c>
      <c r="B134" s="77" t="s">
        <v>545</v>
      </c>
    </row>
    <row r="135" spans="1:2" ht="16.5" thickBot="1" x14ac:dyDescent="0.3">
      <c r="A135" s="69" t="s">
        <v>342</v>
      </c>
      <c r="B135" s="77" t="s">
        <v>545</v>
      </c>
    </row>
    <row r="136" spans="1:2" ht="29.25" thickBot="1" x14ac:dyDescent="0.3">
      <c r="A136" s="78" t="s">
        <v>343</v>
      </c>
      <c r="B136" s="75" t="s">
        <v>546</v>
      </c>
    </row>
    <row r="137" spans="1:2" ht="28.5" customHeight="1" x14ac:dyDescent="0.25">
      <c r="A137" s="65" t="s">
        <v>344</v>
      </c>
      <c r="B137" s="389" t="s">
        <v>545</v>
      </c>
    </row>
    <row r="138" spans="1:2" x14ac:dyDescent="0.25">
      <c r="A138" s="69" t="s">
        <v>345</v>
      </c>
      <c r="B138" s="390"/>
    </row>
    <row r="139" spans="1:2" x14ac:dyDescent="0.25">
      <c r="A139" s="69" t="s">
        <v>346</v>
      </c>
      <c r="B139" s="390"/>
    </row>
    <row r="140" spans="1:2" x14ac:dyDescent="0.25">
      <c r="A140" s="69" t="s">
        <v>347</v>
      </c>
      <c r="B140" s="390"/>
    </row>
    <row r="141" spans="1:2" x14ac:dyDescent="0.25">
      <c r="A141" s="69" t="s">
        <v>348</v>
      </c>
      <c r="B141" s="390"/>
    </row>
    <row r="142" spans="1:2" ht="16.5" thickBot="1" x14ac:dyDescent="0.3">
      <c r="A142" s="79" t="s">
        <v>349</v>
      </c>
      <c r="B142" s="391"/>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
  <sheetViews>
    <sheetView view="pageBreakPreview" zoomScale="60" workbookViewId="0">
      <selection activeCell="A22" sqref="A22:XFD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85" t="str">
        <f>'1. паспорт местоположение'!A5:C5</f>
        <v>Год раскрытия информации: 2023 год</v>
      </c>
      <c r="B4" s="285"/>
      <c r="C4" s="285"/>
      <c r="D4" s="285"/>
      <c r="E4" s="285"/>
      <c r="F4" s="285"/>
      <c r="G4" s="285"/>
      <c r="H4" s="285"/>
      <c r="I4" s="285"/>
      <c r="J4" s="285"/>
      <c r="K4" s="285"/>
      <c r="L4" s="285"/>
      <c r="M4" s="285"/>
      <c r="N4" s="285"/>
      <c r="O4" s="285"/>
      <c r="P4" s="285"/>
      <c r="Q4" s="285"/>
      <c r="R4" s="285"/>
      <c r="S4" s="285"/>
    </row>
    <row r="5" spans="1:28" s="14" customFormat="1" ht="15.75" x14ac:dyDescent="0.2">
      <c r="A5" s="107"/>
    </row>
    <row r="6" spans="1:28" s="14" customFormat="1" ht="18.75" x14ac:dyDescent="0.2">
      <c r="A6" s="294" t="s">
        <v>7</v>
      </c>
      <c r="B6" s="294"/>
      <c r="C6" s="294"/>
      <c r="D6" s="294"/>
      <c r="E6" s="294"/>
      <c r="F6" s="294"/>
      <c r="G6" s="294"/>
      <c r="H6" s="294"/>
      <c r="I6" s="294"/>
      <c r="J6" s="294"/>
      <c r="K6" s="294"/>
      <c r="L6" s="294"/>
      <c r="M6" s="294"/>
      <c r="N6" s="294"/>
      <c r="O6" s="294"/>
      <c r="P6" s="294"/>
      <c r="Q6" s="294"/>
      <c r="R6" s="294"/>
      <c r="S6" s="294"/>
      <c r="T6" s="109"/>
      <c r="U6" s="109"/>
      <c r="V6" s="109"/>
      <c r="W6" s="109"/>
      <c r="X6" s="109"/>
      <c r="Y6" s="109"/>
      <c r="Z6" s="109"/>
      <c r="AA6" s="109"/>
      <c r="AB6" s="109"/>
    </row>
    <row r="7" spans="1:28" s="14" customFormat="1" ht="18.75" x14ac:dyDescent="0.2">
      <c r="A7" s="294"/>
      <c r="B7" s="294"/>
      <c r="C7" s="294"/>
      <c r="D7" s="294"/>
      <c r="E7" s="294"/>
      <c r="F7" s="294"/>
      <c r="G7" s="294"/>
      <c r="H7" s="294"/>
      <c r="I7" s="294"/>
      <c r="J7" s="294"/>
      <c r="K7" s="294"/>
      <c r="L7" s="294"/>
      <c r="M7" s="294"/>
      <c r="N7" s="294"/>
      <c r="O7" s="294"/>
      <c r="P7" s="294"/>
      <c r="Q7" s="294"/>
      <c r="R7" s="294"/>
      <c r="S7" s="294"/>
      <c r="T7" s="109"/>
      <c r="U7" s="109"/>
      <c r="V7" s="109"/>
      <c r="W7" s="109"/>
      <c r="X7" s="109"/>
      <c r="Y7" s="109"/>
      <c r="Z7" s="109"/>
      <c r="AA7" s="109"/>
      <c r="AB7" s="109"/>
    </row>
    <row r="8" spans="1:28" s="14" customFormat="1" ht="18.75" x14ac:dyDescent="0.2">
      <c r="A8" s="292" t="str">
        <f>'1. паспорт местоположение'!A9:C9</f>
        <v xml:space="preserve">Акционерное общество "Западная энергетическая компания" </v>
      </c>
      <c r="B8" s="292"/>
      <c r="C8" s="292"/>
      <c r="D8" s="292"/>
      <c r="E8" s="292"/>
      <c r="F8" s="292"/>
      <c r="G8" s="292"/>
      <c r="H8" s="292"/>
      <c r="I8" s="292"/>
      <c r="J8" s="292"/>
      <c r="K8" s="292"/>
      <c r="L8" s="292"/>
      <c r="M8" s="292"/>
      <c r="N8" s="292"/>
      <c r="O8" s="292"/>
      <c r="P8" s="292"/>
      <c r="Q8" s="292"/>
      <c r="R8" s="292"/>
      <c r="S8" s="292"/>
      <c r="T8" s="109"/>
      <c r="U8" s="109"/>
      <c r="V8" s="109"/>
      <c r="W8" s="109"/>
      <c r="X8" s="109"/>
      <c r="Y8" s="109"/>
      <c r="Z8" s="109"/>
      <c r="AA8" s="109"/>
      <c r="AB8" s="109"/>
    </row>
    <row r="9" spans="1:28" s="14" customFormat="1" ht="18.75" x14ac:dyDescent="0.2">
      <c r="A9" s="298" t="s">
        <v>6</v>
      </c>
      <c r="B9" s="298"/>
      <c r="C9" s="298"/>
      <c r="D9" s="298"/>
      <c r="E9" s="298"/>
      <c r="F9" s="298"/>
      <c r="G9" s="298"/>
      <c r="H9" s="298"/>
      <c r="I9" s="298"/>
      <c r="J9" s="298"/>
      <c r="K9" s="298"/>
      <c r="L9" s="298"/>
      <c r="M9" s="298"/>
      <c r="N9" s="298"/>
      <c r="O9" s="298"/>
      <c r="P9" s="298"/>
      <c r="Q9" s="298"/>
      <c r="R9" s="298"/>
      <c r="S9" s="298"/>
      <c r="T9" s="109"/>
      <c r="U9" s="109"/>
      <c r="V9" s="109"/>
      <c r="W9" s="109"/>
      <c r="X9" s="109"/>
      <c r="Y9" s="109"/>
      <c r="Z9" s="109"/>
      <c r="AA9" s="109"/>
      <c r="AB9" s="109"/>
    </row>
    <row r="10" spans="1:28" s="14" customFormat="1" ht="18.75" x14ac:dyDescent="0.2">
      <c r="A10" s="294"/>
      <c r="B10" s="294"/>
      <c r="C10" s="294"/>
      <c r="D10" s="294"/>
      <c r="E10" s="294"/>
      <c r="F10" s="294"/>
      <c r="G10" s="294"/>
      <c r="H10" s="294"/>
      <c r="I10" s="294"/>
      <c r="J10" s="294"/>
      <c r="K10" s="294"/>
      <c r="L10" s="294"/>
      <c r="M10" s="294"/>
      <c r="N10" s="294"/>
      <c r="O10" s="294"/>
      <c r="P10" s="294"/>
      <c r="Q10" s="294"/>
      <c r="R10" s="294"/>
      <c r="S10" s="294"/>
      <c r="T10" s="109"/>
      <c r="U10" s="109"/>
      <c r="V10" s="109"/>
      <c r="W10" s="109"/>
      <c r="X10" s="109"/>
      <c r="Y10" s="109"/>
      <c r="Z10" s="109"/>
      <c r="AA10" s="109"/>
      <c r="AB10" s="109"/>
    </row>
    <row r="11" spans="1:28" s="14" customFormat="1" ht="18.75" x14ac:dyDescent="0.2">
      <c r="A11" s="292" t="str">
        <f>'1. паспорт местоположение'!A12:C12</f>
        <v>L 21-23</v>
      </c>
      <c r="B11" s="292"/>
      <c r="C11" s="292"/>
      <c r="D11" s="292"/>
      <c r="E11" s="292"/>
      <c r="F11" s="292"/>
      <c r="G11" s="292"/>
      <c r="H11" s="292"/>
      <c r="I11" s="292"/>
      <c r="J11" s="292"/>
      <c r="K11" s="292"/>
      <c r="L11" s="292"/>
      <c r="M11" s="292"/>
      <c r="N11" s="292"/>
      <c r="O11" s="292"/>
      <c r="P11" s="292"/>
      <c r="Q11" s="292"/>
      <c r="R11" s="292"/>
      <c r="S11" s="292"/>
      <c r="T11" s="109"/>
      <c r="U11" s="109"/>
      <c r="V11" s="109"/>
      <c r="W11" s="109"/>
      <c r="X11" s="109"/>
      <c r="Y11" s="109"/>
      <c r="Z11" s="109"/>
      <c r="AA11" s="109"/>
      <c r="AB11" s="109"/>
    </row>
    <row r="12" spans="1:28" s="14" customFormat="1" ht="18.75" x14ac:dyDescent="0.2">
      <c r="A12" s="298" t="s">
        <v>5</v>
      </c>
      <c r="B12" s="298"/>
      <c r="C12" s="298"/>
      <c r="D12" s="298"/>
      <c r="E12" s="298"/>
      <c r="F12" s="298"/>
      <c r="G12" s="298"/>
      <c r="H12" s="298"/>
      <c r="I12" s="298"/>
      <c r="J12" s="298"/>
      <c r="K12" s="298"/>
      <c r="L12" s="298"/>
      <c r="M12" s="298"/>
      <c r="N12" s="298"/>
      <c r="O12" s="298"/>
      <c r="P12" s="298"/>
      <c r="Q12" s="298"/>
      <c r="R12" s="298"/>
      <c r="S12" s="298"/>
      <c r="T12" s="109"/>
      <c r="U12" s="109"/>
      <c r="V12" s="109"/>
      <c r="W12" s="109"/>
      <c r="X12" s="109"/>
      <c r="Y12" s="109"/>
      <c r="Z12" s="109"/>
      <c r="AA12" s="109"/>
      <c r="AB12" s="109"/>
    </row>
    <row r="13" spans="1:28" s="14" customFormat="1" ht="15.75" customHeight="1" x14ac:dyDescent="0.2">
      <c r="A13" s="299"/>
      <c r="B13" s="299"/>
      <c r="C13" s="299"/>
      <c r="D13" s="299"/>
      <c r="E13" s="299"/>
      <c r="F13" s="299"/>
      <c r="G13" s="299"/>
      <c r="H13" s="299"/>
      <c r="I13" s="299"/>
      <c r="J13" s="299"/>
      <c r="K13" s="299"/>
      <c r="L13" s="299"/>
      <c r="M13" s="299"/>
      <c r="N13" s="299"/>
      <c r="O13" s="299"/>
      <c r="P13" s="299"/>
      <c r="Q13" s="299"/>
      <c r="R13" s="299"/>
      <c r="S13" s="299"/>
      <c r="T13" s="110"/>
      <c r="U13" s="110"/>
      <c r="V13" s="110"/>
      <c r="W13" s="110"/>
      <c r="X13" s="110"/>
      <c r="Y13" s="110"/>
      <c r="Z13" s="110"/>
      <c r="AA13" s="110"/>
      <c r="AB13" s="110"/>
    </row>
    <row r="14" spans="1:28" s="108" customFormat="1" ht="15.75" x14ac:dyDescent="0.2">
      <c r="A14" s="292" t="str">
        <f>'1. паспорт местоположение'!A15:C15</f>
        <v>Програмное обеспечение АИСКУЭ для выхода на ОРЭМ</v>
      </c>
      <c r="B14" s="292"/>
      <c r="C14" s="292"/>
      <c r="D14" s="292"/>
      <c r="E14" s="292"/>
      <c r="F14" s="292"/>
      <c r="G14" s="292"/>
      <c r="H14" s="292"/>
      <c r="I14" s="292"/>
      <c r="J14" s="292"/>
      <c r="K14" s="292"/>
      <c r="L14" s="292"/>
      <c r="M14" s="292"/>
      <c r="N14" s="292"/>
      <c r="O14" s="292"/>
      <c r="P14" s="292"/>
      <c r="Q14" s="292"/>
      <c r="R14" s="292"/>
      <c r="S14" s="292"/>
      <c r="T14" s="111"/>
      <c r="U14" s="111"/>
      <c r="V14" s="111"/>
      <c r="W14" s="111"/>
      <c r="X14" s="111"/>
      <c r="Y14" s="111"/>
      <c r="Z14" s="111"/>
      <c r="AA14" s="111"/>
      <c r="AB14" s="111"/>
    </row>
    <row r="15" spans="1:28" s="108" customFormat="1" ht="15" customHeight="1" x14ac:dyDescent="0.2">
      <c r="A15" s="298" t="s">
        <v>4</v>
      </c>
      <c r="B15" s="298"/>
      <c r="C15" s="298"/>
      <c r="D15" s="298"/>
      <c r="E15" s="298"/>
      <c r="F15" s="298"/>
      <c r="G15" s="298"/>
      <c r="H15" s="298"/>
      <c r="I15" s="298"/>
      <c r="J15" s="298"/>
      <c r="K15" s="298"/>
      <c r="L15" s="298"/>
      <c r="M15" s="298"/>
      <c r="N15" s="298"/>
      <c r="O15" s="298"/>
      <c r="P15" s="298"/>
      <c r="Q15" s="298"/>
      <c r="R15" s="298"/>
      <c r="S15" s="298"/>
      <c r="T15" s="112"/>
      <c r="U15" s="112"/>
      <c r="V15" s="112"/>
      <c r="W15" s="112"/>
      <c r="X15" s="112"/>
      <c r="Y15" s="112"/>
      <c r="Z15" s="112"/>
      <c r="AA15" s="112"/>
      <c r="AB15" s="112"/>
    </row>
    <row r="16" spans="1:28" s="108" customFormat="1" ht="15" customHeight="1" x14ac:dyDescent="0.2">
      <c r="A16" s="299"/>
      <c r="B16" s="299"/>
      <c r="C16" s="299"/>
      <c r="D16" s="299"/>
      <c r="E16" s="299"/>
      <c r="F16" s="299"/>
      <c r="G16" s="299"/>
      <c r="H16" s="299"/>
      <c r="I16" s="299"/>
      <c r="J16" s="299"/>
      <c r="K16" s="299"/>
      <c r="L16" s="299"/>
      <c r="M16" s="299"/>
      <c r="N16" s="299"/>
      <c r="O16" s="299"/>
      <c r="P16" s="299"/>
      <c r="Q16" s="299"/>
      <c r="R16" s="299"/>
      <c r="S16" s="299"/>
      <c r="T16" s="110"/>
      <c r="U16" s="110"/>
      <c r="V16" s="110"/>
      <c r="W16" s="110"/>
      <c r="X16" s="110"/>
      <c r="Y16" s="110"/>
    </row>
    <row r="17" spans="1:28" s="108" customFormat="1" ht="45.75" customHeight="1" x14ac:dyDescent="0.2">
      <c r="A17" s="300" t="s">
        <v>381</v>
      </c>
      <c r="B17" s="300"/>
      <c r="C17" s="300"/>
      <c r="D17" s="300"/>
      <c r="E17" s="300"/>
      <c r="F17" s="300"/>
      <c r="G17" s="300"/>
      <c r="H17" s="300"/>
      <c r="I17" s="300"/>
      <c r="J17" s="300"/>
      <c r="K17" s="300"/>
      <c r="L17" s="300"/>
      <c r="M17" s="300"/>
      <c r="N17" s="300"/>
      <c r="O17" s="300"/>
      <c r="P17" s="300"/>
      <c r="Q17" s="300"/>
      <c r="R17" s="300"/>
      <c r="S17" s="300"/>
      <c r="T17" s="113"/>
      <c r="U17" s="113"/>
      <c r="V17" s="113"/>
      <c r="W17" s="113"/>
      <c r="X17" s="113"/>
      <c r="Y17" s="113"/>
      <c r="Z17" s="113"/>
      <c r="AA17" s="113"/>
      <c r="AB17" s="113"/>
    </row>
    <row r="18" spans="1:28" s="108"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110"/>
      <c r="U18" s="110"/>
      <c r="V18" s="110"/>
      <c r="W18" s="110"/>
      <c r="X18" s="110"/>
      <c r="Y18" s="110"/>
    </row>
    <row r="19" spans="1:28" s="108" customFormat="1" ht="54" customHeight="1" x14ac:dyDescent="0.2">
      <c r="A19" s="293" t="s">
        <v>3</v>
      </c>
      <c r="B19" s="293" t="s">
        <v>94</v>
      </c>
      <c r="C19" s="295" t="s">
        <v>302</v>
      </c>
      <c r="D19" s="293" t="s">
        <v>301</v>
      </c>
      <c r="E19" s="293" t="s">
        <v>93</v>
      </c>
      <c r="F19" s="293" t="s">
        <v>92</v>
      </c>
      <c r="G19" s="293" t="s">
        <v>297</v>
      </c>
      <c r="H19" s="293" t="s">
        <v>91</v>
      </c>
      <c r="I19" s="293" t="s">
        <v>90</v>
      </c>
      <c r="J19" s="293" t="s">
        <v>89</v>
      </c>
      <c r="K19" s="293" t="s">
        <v>88</v>
      </c>
      <c r="L19" s="293" t="s">
        <v>87</v>
      </c>
      <c r="M19" s="293" t="s">
        <v>86</v>
      </c>
      <c r="N19" s="293" t="s">
        <v>85</v>
      </c>
      <c r="O19" s="293" t="s">
        <v>84</v>
      </c>
      <c r="P19" s="293" t="s">
        <v>83</v>
      </c>
      <c r="Q19" s="293" t="s">
        <v>300</v>
      </c>
      <c r="R19" s="293"/>
      <c r="S19" s="297" t="s">
        <v>375</v>
      </c>
      <c r="T19" s="110"/>
      <c r="U19" s="110"/>
      <c r="V19" s="110"/>
      <c r="W19" s="110"/>
      <c r="X19" s="110"/>
      <c r="Y19" s="110"/>
    </row>
    <row r="20" spans="1:28" s="108" customFormat="1" ht="180.75" customHeight="1" x14ac:dyDescent="0.2">
      <c r="A20" s="293"/>
      <c r="B20" s="293"/>
      <c r="C20" s="296"/>
      <c r="D20" s="293"/>
      <c r="E20" s="293"/>
      <c r="F20" s="293"/>
      <c r="G20" s="293"/>
      <c r="H20" s="293"/>
      <c r="I20" s="293"/>
      <c r="J20" s="293"/>
      <c r="K20" s="293"/>
      <c r="L20" s="293"/>
      <c r="M20" s="293"/>
      <c r="N20" s="293"/>
      <c r="O20" s="293"/>
      <c r="P20" s="293"/>
      <c r="Q20" s="114" t="s">
        <v>298</v>
      </c>
      <c r="R20" s="115" t="s">
        <v>299</v>
      </c>
      <c r="S20" s="297"/>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87.75" customHeight="1" x14ac:dyDescent="0.2">
      <c r="A22" s="114"/>
      <c r="B22" s="116"/>
      <c r="C22" s="116"/>
      <c r="D22" s="116"/>
      <c r="E22" s="116"/>
      <c r="F22" s="116"/>
      <c r="G22" s="116"/>
      <c r="H22" s="116"/>
      <c r="I22" s="116"/>
      <c r="J22" s="116"/>
      <c r="K22" s="116"/>
      <c r="L22" s="116"/>
      <c r="M22" s="116"/>
      <c r="N22" s="116"/>
      <c r="O22" s="116"/>
      <c r="P22" s="116"/>
      <c r="Q22" s="116"/>
      <c r="R22" s="116"/>
      <c r="S22" s="116"/>
      <c r="T22" s="116"/>
      <c r="U22" s="110"/>
      <c r="V22" s="110"/>
      <c r="W22" s="110"/>
      <c r="X22" s="110"/>
      <c r="Y22" s="110"/>
    </row>
    <row r="23" spans="1:28" ht="43.5" customHeight="1" x14ac:dyDescent="0.25"/>
    <row r="24" spans="1:28" ht="43.5" customHeight="1" x14ac:dyDescent="0.25"/>
    <row r="25" spans="1:28" ht="43.5" customHeight="1" x14ac:dyDescent="0.25"/>
    <row r="26" spans="1:28" ht="43.5" customHeight="1" x14ac:dyDescent="0.25"/>
    <row r="27" spans="1:28" ht="43.5" customHeight="1" x14ac:dyDescent="0.25"/>
    <row r="28" spans="1:28" ht="43.5" customHeight="1" x14ac:dyDescent="0.25"/>
    <row r="29" spans="1:28" ht="43.5" customHeight="1" x14ac:dyDescent="0.25"/>
    <row r="30" spans="1:28" ht="43.5"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80" zoomScaleNormal="60" zoomScaleSheetLayoutView="80" workbookViewId="0">
      <selection activeCell="G39" sqref="G39"/>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85" t="str">
        <f>'1. паспорт местоположение'!A5:C5</f>
        <v>Год раскрытия информации: 2023 год</v>
      </c>
      <c r="B6" s="285"/>
      <c r="C6" s="285"/>
      <c r="D6" s="285"/>
      <c r="E6" s="285"/>
      <c r="F6" s="285"/>
      <c r="G6" s="285"/>
      <c r="H6" s="285"/>
      <c r="I6" s="285"/>
      <c r="J6" s="285"/>
      <c r="K6" s="285"/>
      <c r="L6" s="285"/>
      <c r="M6" s="285"/>
      <c r="N6" s="285"/>
      <c r="O6" s="285"/>
      <c r="P6" s="285"/>
      <c r="Q6" s="285"/>
      <c r="R6" s="285"/>
      <c r="S6" s="285"/>
      <c r="T6" s="285"/>
    </row>
    <row r="7" spans="1:20" s="14" customFormat="1" x14ac:dyDescent="0.2">
      <c r="A7" s="107"/>
    </row>
    <row r="8" spans="1:20" s="14" customFormat="1" ht="18.75" x14ac:dyDescent="0.2">
      <c r="A8" s="294" t="s">
        <v>7</v>
      </c>
      <c r="B8" s="294"/>
      <c r="C8" s="294"/>
      <c r="D8" s="294"/>
      <c r="E8" s="294"/>
      <c r="F8" s="294"/>
      <c r="G8" s="294"/>
      <c r="H8" s="294"/>
      <c r="I8" s="294"/>
      <c r="J8" s="294"/>
      <c r="K8" s="294"/>
      <c r="L8" s="294"/>
      <c r="M8" s="294"/>
      <c r="N8" s="294"/>
      <c r="O8" s="294"/>
      <c r="P8" s="294"/>
      <c r="Q8" s="294"/>
      <c r="R8" s="294"/>
      <c r="S8" s="294"/>
      <c r="T8" s="294"/>
    </row>
    <row r="9" spans="1:20" s="14" customFormat="1" ht="18.75" x14ac:dyDescent="0.2">
      <c r="A9" s="294"/>
      <c r="B9" s="294"/>
      <c r="C9" s="294"/>
      <c r="D9" s="294"/>
      <c r="E9" s="294"/>
      <c r="F9" s="294"/>
      <c r="G9" s="294"/>
      <c r="H9" s="294"/>
      <c r="I9" s="294"/>
      <c r="J9" s="294"/>
      <c r="K9" s="294"/>
      <c r="L9" s="294"/>
      <c r="M9" s="294"/>
      <c r="N9" s="294"/>
      <c r="O9" s="294"/>
      <c r="P9" s="294"/>
      <c r="Q9" s="294"/>
      <c r="R9" s="294"/>
      <c r="S9" s="294"/>
      <c r="T9" s="294"/>
    </row>
    <row r="10" spans="1:20" s="14" customFormat="1" ht="18.75" customHeight="1" x14ac:dyDescent="0.2">
      <c r="A10" s="292" t="str">
        <f>'1. паспорт местоположение'!A9:C9</f>
        <v xml:space="preserve">Акционерное общество "Западная энергетическая компания" </v>
      </c>
      <c r="B10" s="292"/>
      <c r="C10" s="292"/>
      <c r="D10" s="292"/>
      <c r="E10" s="292"/>
      <c r="F10" s="292"/>
      <c r="G10" s="292"/>
      <c r="H10" s="292"/>
      <c r="I10" s="292"/>
      <c r="J10" s="292"/>
      <c r="K10" s="292"/>
      <c r="L10" s="292"/>
      <c r="M10" s="292"/>
      <c r="N10" s="292"/>
      <c r="O10" s="292"/>
      <c r="P10" s="292"/>
      <c r="Q10" s="292"/>
      <c r="R10" s="292"/>
      <c r="S10" s="292"/>
      <c r="T10" s="292"/>
    </row>
    <row r="11" spans="1:20" s="14" customFormat="1" ht="18.75" customHeight="1" x14ac:dyDescent="0.2">
      <c r="A11" s="298" t="s">
        <v>6</v>
      </c>
      <c r="B11" s="298"/>
      <c r="C11" s="298"/>
      <c r="D11" s="298"/>
      <c r="E11" s="298"/>
      <c r="F11" s="298"/>
      <c r="G11" s="298"/>
      <c r="H11" s="298"/>
      <c r="I11" s="298"/>
      <c r="J11" s="298"/>
      <c r="K11" s="298"/>
      <c r="L11" s="298"/>
      <c r="M11" s="298"/>
      <c r="N11" s="298"/>
      <c r="O11" s="298"/>
      <c r="P11" s="298"/>
      <c r="Q11" s="298"/>
      <c r="R11" s="298"/>
      <c r="S11" s="298"/>
      <c r="T11" s="298"/>
    </row>
    <row r="12" spans="1:20" s="14" customFormat="1" ht="18.75" x14ac:dyDescent="0.2">
      <c r="A12" s="294"/>
      <c r="B12" s="294"/>
      <c r="C12" s="294"/>
      <c r="D12" s="294"/>
      <c r="E12" s="294"/>
      <c r="F12" s="294"/>
      <c r="G12" s="294"/>
      <c r="H12" s="294"/>
      <c r="I12" s="294"/>
      <c r="J12" s="294"/>
      <c r="K12" s="294"/>
      <c r="L12" s="294"/>
      <c r="M12" s="294"/>
      <c r="N12" s="294"/>
      <c r="O12" s="294"/>
      <c r="P12" s="294"/>
      <c r="Q12" s="294"/>
      <c r="R12" s="294"/>
      <c r="S12" s="294"/>
      <c r="T12" s="294"/>
    </row>
    <row r="13" spans="1:20" s="14" customFormat="1" ht="18.75" customHeight="1" x14ac:dyDescent="0.2">
      <c r="A13" s="292" t="str">
        <f>'1. паспорт местоположение'!A12:C12</f>
        <v>L 21-23</v>
      </c>
      <c r="B13" s="292"/>
      <c r="C13" s="292"/>
      <c r="D13" s="292"/>
      <c r="E13" s="292"/>
      <c r="F13" s="292"/>
      <c r="G13" s="292"/>
      <c r="H13" s="292"/>
      <c r="I13" s="292"/>
      <c r="J13" s="292"/>
      <c r="K13" s="292"/>
      <c r="L13" s="292"/>
      <c r="M13" s="292"/>
      <c r="N13" s="292"/>
      <c r="O13" s="292"/>
      <c r="P13" s="292"/>
      <c r="Q13" s="292"/>
      <c r="R13" s="292"/>
      <c r="S13" s="292"/>
      <c r="T13" s="292"/>
    </row>
    <row r="14" spans="1:20" s="14" customFormat="1" ht="18.75" customHeight="1" x14ac:dyDescent="0.2">
      <c r="A14" s="298" t="s">
        <v>5</v>
      </c>
      <c r="B14" s="298"/>
      <c r="C14" s="298"/>
      <c r="D14" s="298"/>
      <c r="E14" s="298"/>
      <c r="F14" s="298"/>
      <c r="G14" s="298"/>
      <c r="H14" s="298"/>
      <c r="I14" s="298"/>
      <c r="J14" s="298"/>
      <c r="K14" s="298"/>
      <c r="L14" s="298"/>
      <c r="M14" s="298"/>
      <c r="N14" s="298"/>
      <c r="O14" s="298"/>
      <c r="P14" s="298"/>
      <c r="Q14" s="298"/>
      <c r="R14" s="298"/>
      <c r="S14" s="298"/>
      <c r="T14" s="298"/>
    </row>
    <row r="15" spans="1:20" s="14" customFormat="1" ht="15.75" customHeight="1" x14ac:dyDescent="0.2">
      <c r="A15" s="299"/>
      <c r="B15" s="299"/>
      <c r="C15" s="299"/>
      <c r="D15" s="299"/>
      <c r="E15" s="299"/>
      <c r="F15" s="299"/>
      <c r="G15" s="299"/>
      <c r="H15" s="299"/>
      <c r="I15" s="299"/>
      <c r="J15" s="299"/>
      <c r="K15" s="299"/>
      <c r="L15" s="299"/>
      <c r="M15" s="299"/>
      <c r="N15" s="299"/>
      <c r="O15" s="299"/>
      <c r="P15" s="299"/>
      <c r="Q15" s="299"/>
      <c r="R15" s="299"/>
      <c r="S15" s="299"/>
      <c r="T15" s="299"/>
    </row>
    <row r="16" spans="1:20" s="108" customFormat="1" x14ac:dyDescent="0.2">
      <c r="A16" s="292" t="str">
        <f>'1. паспорт местоположение'!A15:C15</f>
        <v>Програмное обеспечение АИСКУЭ для выхода на ОРЭМ</v>
      </c>
      <c r="B16" s="292"/>
      <c r="C16" s="292"/>
      <c r="D16" s="292"/>
      <c r="E16" s="292"/>
      <c r="F16" s="292"/>
      <c r="G16" s="292"/>
      <c r="H16" s="292"/>
      <c r="I16" s="292"/>
      <c r="J16" s="292"/>
      <c r="K16" s="292"/>
      <c r="L16" s="292"/>
      <c r="M16" s="292"/>
      <c r="N16" s="292"/>
      <c r="O16" s="292"/>
      <c r="P16" s="292"/>
      <c r="Q16" s="292"/>
      <c r="R16" s="292"/>
      <c r="S16" s="292"/>
      <c r="T16" s="292"/>
    </row>
    <row r="17" spans="1:113" s="108" customFormat="1" ht="15" customHeight="1" x14ac:dyDescent="0.2">
      <c r="A17" s="298" t="s">
        <v>4</v>
      </c>
      <c r="B17" s="298"/>
      <c r="C17" s="298"/>
      <c r="D17" s="298"/>
      <c r="E17" s="298"/>
      <c r="F17" s="298"/>
      <c r="G17" s="298"/>
      <c r="H17" s="298"/>
      <c r="I17" s="298"/>
      <c r="J17" s="298"/>
      <c r="K17" s="298"/>
      <c r="L17" s="298"/>
      <c r="M17" s="298"/>
      <c r="N17" s="298"/>
      <c r="O17" s="298"/>
      <c r="P17" s="298"/>
      <c r="Q17" s="298"/>
      <c r="R17" s="298"/>
      <c r="S17" s="298"/>
      <c r="T17" s="298"/>
    </row>
    <row r="18" spans="1:113" s="108" customFormat="1" ht="15" customHeight="1" x14ac:dyDescent="0.2">
      <c r="A18" s="299"/>
      <c r="B18" s="299"/>
      <c r="C18" s="299"/>
      <c r="D18" s="299"/>
      <c r="E18" s="299"/>
      <c r="F18" s="299"/>
      <c r="G18" s="299"/>
      <c r="H18" s="299"/>
      <c r="I18" s="299"/>
      <c r="J18" s="299"/>
      <c r="K18" s="299"/>
      <c r="L18" s="299"/>
      <c r="M18" s="299"/>
      <c r="N18" s="299"/>
      <c r="O18" s="299"/>
      <c r="P18" s="299"/>
      <c r="Q18" s="299"/>
      <c r="R18" s="299"/>
      <c r="S18" s="299"/>
      <c r="T18" s="299"/>
    </row>
    <row r="19" spans="1:113" s="108" customFormat="1" ht="15" customHeight="1" x14ac:dyDescent="0.2">
      <c r="A19" s="316" t="s">
        <v>386</v>
      </c>
      <c r="B19" s="316"/>
      <c r="C19" s="316"/>
      <c r="D19" s="316"/>
      <c r="E19" s="316"/>
      <c r="F19" s="316"/>
      <c r="G19" s="316"/>
      <c r="H19" s="316"/>
      <c r="I19" s="316"/>
      <c r="J19" s="316"/>
      <c r="K19" s="316"/>
      <c r="L19" s="316"/>
      <c r="M19" s="316"/>
      <c r="N19" s="316"/>
      <c r="O19" s="316"/>
      <c r="P19" s="316"/>
      <c r="Q19" s="316"/>
      <c r="R19" s="316"/>
      <c r="S19" s="316"/>
      <c r="T19" s="316"/>
    </row>
    <row r="20" spans="1:113" s="27" customFormat="1" ht="21" customHeight="1" x14ac:dyDescent="0.25">
      <c r="A20" s="317"/>
      <c r="B20" s="317"/>
      <c r="C20" s="317"/>
      <c r="D20" s="317"/>
      <c r="E20" s="317"/>
      <c r="F20" s="317"/>
      <c r="G20" s="317"/>
      <c r="H20" s="317"/>
      <c r="I20" s="317"/>
      <c r="J20" s="317"/>
      <c r="K20" s="317"/>
      <c r="L20" s="317"/>
      <c r="M20" s="317"/>
      <c r="N20" s="317"/>
      <c r="O20" s="317"/>
      <c r="P20" s="317"/>
      <c r="Q20" s="317"/>
      <c r="R20" s="317"/>
      <c r="S20" s="317"/>
      <c r="T20" s="317"/>
    </row>
    <row r="21" spans="1:113" ht="46.5" customHeight="1" x14ac:dyDescent="0.25">
      <c r="A21" s="310" t="s">
        <v>3</v>
      </c>
      <c r="B21" s="303" t="s">
        <v>200</v>
      </c>
      <c r="C21" s="304"/>
      <c r="D21" s="307" t="s">
        <v>116</v>
      </c>
      <c r="E21" s="303" t="s">
        <v>413</v>
      </c>
      <c r="F21" s="304"/>
      <c r="G21" s="303" t="s">
        <v>239</v>
      </c>
      <c r="H21" s="304"/>
      <c r="I21" s="303" t="s">
        <v>115</v>
      </c>
      <c r="J21" s="304"/>
      <c r="K21" s="307" t="s">
        <v>114</v>
      </c>
      <c r="L21" s="303" t="s">
        <v>113</v>
      </c>
      <c r="M21" s="304"/>
      <c r="N21" s="303" t="s">
        <v>441</v>
      </c>
      <c r="O21" s="304"/>
      <c r="P21" s="307" t="s">
        <v>112</v>
      </c>
      <c r="Q21" s="313" t="s">
        <v>111</v>
      </c>
      <c r="R21" s="314"/>
      <c r="S21" s="313" t="s">
        <v>110</v>
      </c>
      <c r="T21" s="315"/>
    </row>
    <row r="22" spans="1:113" ht="204.75" customHeight="1" x14ac:dyDescent="0.25">
      <c r="A22" s="311"/>
      <c r="B22" s="305"/>
      <c r="C22" s="306"/>
      <c r="D22" s="309"/>
      <c r="E22" s="305"/>
      <c r="F22" s="306"/>
      <c r="G22" s="305"/>
      <c r="H22" s="306"/>
      <c r="I22" s="305"/>
      <c r="J22" s="306"/>
      <c r="K22" s="308"/>
      <c r="L22" s="305"/>
      <c r="M22" s="306"/>
      <c r="N22" s="305"/>
      <c r="O22" s="306"/>
      <c r="P22" s="308"/>
      <c r="Q22" s="54" t="s">
        <v>109</v>
      </c>
      <c r="R22" s="54" t="s">
        <v>385</v>
      </c>
      <c r="S22" s="54" t="s">
        <v>108</v>
      </c>
      <c r="T22" s="54" t="s">
        <v>107</v>
      </c>
    </row>
    <row r="23" spans="1:113" ht="51.75" customHeight="1" x14ac:dyDescent="0.25">
      <c r="A23" s="312"/>
      <c r="B23" s="54" t="s">
        <v>105</v>
      </c>
      <c r="C23" s="54" t="s">
        <v>106</v>
      </c>
      <c r="D23" s="308"/>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x14ac:dyDescent="0.25">
      <c r="A25" s="93" t="s">
        <v>540</v>
      </c>
      <c r="B25" s="93" t="s">
        <v>540</v>
      </c>
      <c r="C25" s="93" t="s">
        <v>540</v>
      </c>
      <c r="D25" s="93" t="s">
        <v>540</v>
      </c>
      <c r="E25" s="93" t="s">
        <v>540</v>
      </c>
      <c r="F25" s="93" t="s">
        <v>540</v>
      </c>
      <c r="G25" s="93" t="s">
        <v>540</v>
      </c>
      <c r="H25" s="93" t="s">
        <v>540</v>
      </c>
      <c r="I25" s="93" t="s">
        <v>540</v>
      </c>
      <c r="J25" s="93" t="s">
        <v>540</v>
      </c>
      <c r="K25" s="93" t="s">
        <v>540</v>
      </c>
      <c r="L25" s="93" t="s">
        <v>540</v>
      </c>
      <c r="M25" s="93" t="s">
        <v>540</v>
      </c>
      <c r="N25" s="93" t="s">
        <v>540</v>
      </c>
      <c r="O25" s="93" t="s">
        <v>540</v>
      </c>
      <c r="P25" s="93" t="s">
        <v>540</v>
      </c>
      <c r="Q25" s="93" t="s">
        <v>540</v>
      </c>
      <c r="R25" s="93" t="s">
        <v>540</v>
      </c>
      <c r="S25" s="93" t="s">
        <v>540</v>
      </c>
      <c r="T25" s="93" t="s">
        <v>540</v>
      </c>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02" t="s">
        <v>419</v>
      </c>
      <c r="C28" s="302"/>
      <c r="D28" s="302"/>
      <c r="E28" s="302"/>
      <c r="F28" s="302"/>
      <c r="G28" s="302"/>
      <c r="H28" s="302"/>
      <c r="I28" s="302"/>
      <c r="J28" s="302"/>
      <c r="K28" s="302"/>
      <c r="L28" s="302"/>
      <c r="M28" s="302"/>
      <c r="N28" s="302"/>
      <c r="O28" s="302"/>
      <c r="P28" s="302"/>
      <c r="Q28" s="302"/>
      <c r="R28" s="302"/>
    </row>
    <row r="30" spans="1:113" x14ac:dyDescent="0.25">
      <c r="B30" s="28" t="s">
        <v>384</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 zoomScale="80" zoomScaleSheetLayoutView="80" workbookViewId="0">
      <selection activeCell="A25" sqref="A25:AA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285" t="str">
        <f>'1. паспорт местоположение'!A5:C5</f>
        <v>Год раскрытия информации: 2023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294" t="s">
        <v>7</v>
      </c>
      <c r="F7" s="294"/>
      <c r="G7" s="294"/>
      <c r="H7" s="294"/>
      <c r="I7" s="294"/>
      <c r="J7" s="294"/>
      <c r="K7" s="294"/>
      <c r="L7" s="294"/>
      <c r="M7" s="294"/>
      <c r="N7" s="294"/>
      <c r="O7" s="294"/>
      <c r="P7" s="294"/>
      <c r="Q7" s="294"/>
      <c r="R7" s="294"/>
      <c r="S7" s="294"/>
      <c r="T7" s="294"/>
      <c r="U7" s="294"/>
      <c r="V7" s="294"/>
      <c r="W7" s="294"/>
      <c r="X7" s="294"/>
      <c r="Y7" s="294"/>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292" t="str">
        <f>'1. паспорт местоположение'!A9</f>
        <v xml:space="preserve">Акционерное общество "Западная энергетическая компания" </v>
      </c>
      <c r="F9" s="292"/>
      <c r="G9" s="292"/>
      <c r="H9" s="292"/>
      <c r="I9" s="292"/>
      <c r="J9" s="292"/>
      <c r="K9" s="292"/>
      <c r="L9" s="292"/>
      <c r="M9" s="292"/>
      <c r="N9" s="292"/>
      <c r="O9" s="292"/>
      <c r="P9" s="292"/>
      <c r="Q9" s="292"/>
      <c r="R9" s="292"/>
      <c r="S9" s="292"/>
      <c r="T9" s="292"/>
      <c r="U9" s="292"/>
      <c r="V9" s="292"/>
      <c r="W9" s="292"/>
      <c r="X9" s="292"/>
      <c r="Y9" s="292"/>
    </row>
    <row r="10" spans="1:27" s="14" customFormat="1" ht="18.75" customHeight="1" x14ac:dyDescent="0.2">
      <c r="E10" s="298" t="s">
        <v>6</v>
      </c>
      <c r="F10" s="298"/>
      <c r="G10" s="298"/>
      <c r="H10" s="298"/>
      <c r="I10" s="298"/>
      <c r="J10" s="298"/>
      <c r="K10" s="298"/>
      <c r="L10" s="298"/>
      <c r="M10" s="298"/>
      <c r="N10" s="298"/>
      <c r="O10" s="298"/>
      <c r="P10" s="298"/>
      <c r="Q10" s="298"/>
      <c r="R10" s="298"/>
      <c r="S10" s="298"/>
      <c r="T10" s="298"/>
      <c r="U10" s="298"/>
      <c r="V10" s="298"/>
      <c r="W10" s="298"/>
      <c r="X10" s="298"/>
      <c r="Y10" s="298"/>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292" t="str">
        <f>'1. паспорт местоположение'!A12</f>
        <v>L 21-23</v>
      </c>
      <c r="F12" s="292"/>
      <c r="G12" s="292"/>
      <c r="H12" s="292"/>
      <c r="I12" s="292"/>
      <c r="J12" s="292"/>
      <c r="K12" s="292"/>
      <c r="L12" s="292"/>
      <c r="M12" s="292"/>
      <c r="N12" s="292"/>
      <c r="O12" s="292"/>
      <c r="P12" s="292"/>
      <c r="Q12" s="292"/>
      <c r="R12" s="292"/>
      <c r="S12" s="292"/>
      <c r="T12" s="292"/>
      <c r="U12" s="292"/>
      <c r="V12" s="292"/>
      <c r="W12" s="292"/>
      <c r="X12" s="292"/>
      <c r="Y12" s="292"/>
    </row>
    <row r="13" spans="1:27" s="14" customFormat="1" ht="18.75" customHeight="1" x14ac:dyDescent="0.2">
      <c r="E13" s="298" t="s">
        <v>5</v>
      </c>
      <c r="F13" s="298"/>
      <c r="G13" s="298"/>
      <c r="H13" s="298"/>
      <c r="I13" s="298"/>
      <c r="J13" s="298"/>
      <c r="K13" s="298"/>
      <c r="L13" s="298"/>
      <c r="M13" s="298"/>
      <c r="N13" s="298"/>
      <c r="O13" s="298"/>
      <c r="P13" s="298"/>
      <c r="Q13" s="298"/>
      <c r="R13" s="298"/>
      <c r="S13" s="298"/>
      <c r="T13" s="298"/>
      <c r="U13" s="298"/>
      <c r="V13" s="298"/>
      <c r="W13" s="298"/>
      <c r="X13" s="298"/>
      <c r="Y13" s="298"/>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292" t="str">
        <f>'1. паспорт местоположение'!A15</f>
        <v>Програмное обеспечение АИСКУЭ для выхода на ОРЭМ</v>
      </c>
      <c r="F15" s="292"/>
      <c r="G15" s="292"/>
      <c r="H15" s="292"/>
      <c r="I15" s="292"/>
      <c r="J15" s="292"/>
      <c r="K15" s="292"/>
      <c r="L15" s="292"/>
      <c r="M15" s="292"/>
      <c r="N15" s="292"/>
      <c r="O15" s="292"/>
      <c r="P15" s="292"/>
      <c r="Q15" s="292"/>
      <c r="R15" s="292"/>
      <c r="S15" s="292"/>
      <c r="T15" s="292"/>
      <c r="U15" s="292"/>
      <c r="V15" s="292"/>
      <c r="W15" s="292"/>
      <c r="X15" s="292"/>
      <c r="Y15" s="292"/>
    </row>
    <row r="16" spans="1:27" s="108" customFormat="1" ht="15" customHeight="1" x14ac:dyDescent="0.2">
      <c r="E16" s="298" t="s">
        <v>4</v>
      </c>
      <c r="F16" s="298"/>
      <c r="G16" s="298"/>
      <c r="H16" s="298"/>
      <c r="I16" s="298"/>
      <c r="J16" s="298"/>
      <c r="K16" s="298"/>
      <c r="L16" s="298"/>
      <c r="M16" s="298"/>
      <c r="N16" s="298"/>
      <c r="O16" s="298"/>
      <c r="P16" s="298"/>
      <c r="Q16" s="298"/>
      <c r="R16" s="298"/>
      <c r="S16" s="298"/>
      <c r="T16" s="298"/>
      <c r="U16" s="298"/>
      <c r="V16" s="298"/>
      <c r="W16" s="298"/>
      <c r="X16" s="298"/>
      <c r="Y16" s="298"/>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16"/>
      <c r="F18" s="316"/>
      <c r="G18" s="316"/>
      <c r="H18" s="316"/>
      <c r="I18" s="316"/>
      <c r="J18" s="316"/>
      <c r="K18" s="316"/>
      <c r="L18" s="316"/>
      <c r="M18" s="316"/>
      <c r="N18" s="316"/>
      <c r="O18" s="316"/>
      <c r="P18" s="316"/>
      <c r="Q18" s="316"/>
      <c r="R18" s="316"/>
      <c r="S18" s="316"/>
      <c r="T18" s="316"/>
      <c r="U18" s="316"/>
      <c r="V18" s="316"/>
      <c r="W18" s="316"/>
      <c r="X18" s="316"/>
      <c r="Y18" s="316"/>
    </row>
    <row r="19" spans="1:27" ht="25.5" customHeight="1" x14ac:dyDescent="0.25">
      <c r="A19" s="316" t="s">
        <v>388</v>
      </c>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316"/>
    </row>
    <row r="20" spans="1:27" s="27" customFormat="1" ht="21" customHeight="1" x14ac:dyDescent="0.25"/>
    <row r="21" spans="1:27" ht="15.75" customHeight="1" x14ac:dyDescent="0.25">
      <c r="A21" s="307" t="s">
        <v>3</v>
      </c>
      <c r="B21" s="303" t="s">
        <v>395</v>
      </c>
      <c r="C21" s="304"/>
      <c r="D21" s="303" t="s">
        <v>397</v>
      </c>
      <c r="E21" s="304"/>
      <c r="F21" s="313" t="s">
        <v>88</v>
      </c>
      <c r="G21" s="315"/>
      <c r="H21" s="315"/>
      <c r="I21" s="314"/>
      <c r="J21" s="307" t="s">
        <v>398</v>
      </c>
      <c r="K21" s="303" t="s">
        <v>399</v>
      </c>
      <c r="L21" s="304"/>
      <c r="M21" s="303" t="s">
        <v>400</v>
      </c>
      <c r="N21" s="304"/>
      <c r="O21" s="303" t="s">
        <v>387</v>
      </c>
      <c r="P21" s="304"/>
      <c r="Q21" s="303" t="s">
        <v>121</v>
      </c>
      <c r="R21" s="304"/>
      <c r="S21" s="307" t="s">
        <v>120</v>
      </c>
      <c r="T21" s="307" t="s">
        <v>401</v>
      </c>
      <c r="U21" s="307" t="s">
        <v>396</v>
      </c>
      <c r="V21" s="303" t="s">
        <v>119</v>
      </c>
      <c r="W21" s="304"/>
      <c r="X21" s="313" t="s">
        <v>111</v>
      </c>
      <c r="Y21" s="315"/>
      <c r="Z21" s="313" t="s">
        <v>110</v>
      </c>
      <c r="AA21" s="315"/>
    </row>
    <row r="22" spans="1:27" ht="216" customHeight="1" x14ac:dyDescent="0.25">
      <c r="A22" s="309"/>
      <c r="B22" s="305"/>
      <c r="C22" s="306"/>
      <c r="D22" s="305"/>
      <c r="E22" s="306"/>
      <c r="F22" s="313" t="s">
        <v>118</v>
      </c>
      <c r="G22" s="314"/>
      <c r="H22" s="313" t="s">
        <v>117</v>
      </c>
      <c r="I22" s="314"/>
      <c r="J22" s="308"/>
      <c r="K22" s="305"/>
      <c r="L22" s="306"/>
      <c r="M22" s="305"/>
      <c r="N22" s="306"/>
      <c r="O22" s="305"/>
      <c r="P22" s="306"/>
      <c r="Q22" s="305"/>
      <c r="R22" s="306"/>
      <c r="S22" s="308"/>
      <c r="T22" s="308"/>
      <c r="U22" s="308"/>
      <c r="V22" s="305"/>
      <c r="W22" s="306"/>
      <c r="X22" s="54" t="s">
        <v>109</v>
      </c>
      <c r="Y22" s="54" t="s">
        <v>385</v>
      </c>
      <c r="Z22" s="54" t="s">
        <v>108</v>
      </c>
      <c r="AA22" s="54" t="s">
        <v>107</v>
      </c>
    </row>
    <row r="23" spans="1:27" ht="60" customHeight="1" x14ac:dyDescent="0.25">
      <c r="A23" s="308"/>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t="s">
        <v>540</v>
      </c>
      <c r="B25" s="93" t="s">
        <v>540</v>
      </c>
      <c r="C25" s="93" t="s">
        <v>540</v>
      </c>
      <c r="D25" s="93" t="s">
        <v>540</v>
      </c>
      <c r="E25" s="93" t="s">
        <v>540</v>
      </c>
      <c r="F25" s="93" t="s">
        <v>540</v>
      </c>
      <c r="G25" s="93" t="s">
        <v>540</v>
      </c>
      <c r="H25" s="93" t="s">
        <v>540</v>
      </c>
      <c r="I25" s="93" t="s">
        <v>540</v>
      </c>
      <c r="J25" s="93" t="s">
        <v>540</v>
      </c>
      <c r="K25" s="93" t="s">
        <v>540</v>
      </c>
      <c r="L25" s="93" t="s">
        <v>540</v>
      </c>
      <c r="M25" s="93" t="s">
        <v>540</v>
      </c>
      <c r="N25" s="93" t="s">
        <v>540</v>
      </c>
      <c r="O25" s="93" t="s">
        <v>540</v>
      </c>
      <c r="P25" s="93" t="s">
        <v>540</v>
      </c>
      <c r="Q25" s="93" t="s">
        <v>540</v>
      </c>
      <c r="R25" s="93" t="s">
        <v>540</v>
      </c>
      <c r="S25" s="93" t="s">
        <v>540</v>
      </c>
      <c r="T25" s="93" t="s">
        <v>540</v>
      </c>
      <c r="U25" s="93" t="s">
        <v>540</v>
      </c>
      <c r="V25" s="93" t="s">
        <v>540</v>
      </c>
      <c r="W25" s="93" t="s">
        <v>540</v>
      </c>
      <c r="X25" s="93" t="s">
        <v>540</v>
      </c>
      <c r="Y25" s="93" t="s">
        <v>540</v>
      </c>
      <c r="Z25" s="93" t="s">
        <v>540</v>
      </c>
      <c r="AA25" s="93" t="s">
        <v>540</v>
      </c>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B28" sqref="B28"/>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285" t="str">
        <f>'1. паспорт местоположение'!A5:C5</f>
        <v>Год раскрытия информации: 2023 год</v>
      </c>
      <c r="B5" s="285"/>
      <c r="C5" s="285"/>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7"/>
      <c r="G6" s="12"/>
    </row>
    <row r="7" spans="1:29" s="14" customFormat="1" ht="18.75" x14ac:dyDescent="0.2">
      <c r="A7" s="294" t="s">
        <v>7</v>
      </c>
      <c r="B7" s="294"/>
      <c r="C7" s="294"/>
      <c r="D7" s="109"/>
      <c r="E7" s="109"/>
      <c r="F7" s="109"/>
      <c r="G7" s="109"/>
      <c r="H7" s="109"/>
      <c r="I7" s="109"/>
      <c r="J7" s="109"/>
      <c r="K7" s="109"/>
      <c r="L7" s="109"/>
      <c r="M7" s="109"/>
      <c r="N7" s="109"/>
      <c r="O7" s="109"/>
      <c r="P7" s="109"/>
      <c r="Q7" s="109"/>
      <c r="R7" s="109"/>
      <c r="S7" s="109"/>
      <c r="T7" s="109"/>
      <c r="U7" s="109"/>
    </row>
    <row r="8" spans="1:29" s="14" customFormat="1" ht="18.75" x14ac:dyDescent="0.2">
      <c r="A8" s="294"/>
      <c r="B8" s="294"/>
      <c r="C8" s="294"/>
      <c r="D8" s="120"/>
      <c r="E8" s="120"/>
      <c r="F8" s="120"/>
      <c r="G8" s="120"/>
      <c r="H8" s="109"/>
      <c r="I8" s="109"/>
      <c r="J8" s="109"/>
      <c r="K8" s="109"/>
      <c r="L8" s="109"/>
      <c r="M8" s="109"/>
      <c r="N8" s="109"/>
      <c r="O8" s="109"/>
      <c r="P8" s="109"/>
      <c r="Q8" s="109"/>
      <c r="R8" s="109"/>
      <c r="S8" s="109"/>
      <c r="T8" s="109"/>
      <c r="U8" s="109"/>
    </row>
    <row r="9" spans="1:29" s="14" customFormat="1" ht="18.75" x14ac:dyDescent="0.2">
      <c r="A9" s="292" t="str">
        <f>'1. паспорт местоположение'!A9:C9</f>
        <v xml:space="preserve">Акционерное общество "Западная энергетическая компания" </v>
      </c>
      <c r="B9" s="292"/>
      <c r="C9" s="292"/>
      <c r="D9" s="111"/>
      <c r="E9" s="111"/>
      <c r="F9" s="111"/>
      <c r="G9" s="111"/>
      <c r="H9" s="109"/>
      <c r="I9" s="109"/>
      <c r="J9" s="109"/>
      <c r="K9" s="109"/>
      <c r="L9" s="109"/>
      <c r="M9" s="109"/>
      <c r="N9" s="109"/>
      <c r="O9" s="109"/>
      <c r="P9" s="109"/>
      <c r="Q9" s="109"/>
      <c r="R9" s="109"/>
      <c r="S9" s="109"/>
      <c r="T9" s="109"/>
      <c r="U9" s="109"/>
    </row>
    <row r="10" spans="1:29" s="14" customFormat="1" ht="18.75" x14ac:dyDescent="0.2">
      <c r="A10" s="298" t="s">
        <v>6</v>
      </c>
      <c r="B10" s="298"/>
      <c r="C10" s="298"/>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294"/>
      <c r="B11" s="294"/>
      <c r="C11" s="294"/>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292" t="str">
        <f>'1. паспорт местоположение'!A12:C12</f>
        <v>L 21-23</v>
      </c>
      <c r="B12" s="292"/>
      <c r="C12" s="292"/>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298" t="s">
        <v>5</v>
      </c>
      <c r="B13" s="298"/>
      <c r="C13" s="298"/>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299"/>
      <c r="B14" s="299"/>
      <c r="C14" s="299"/>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18" t="str">
        <f>'1. паспорт местоположение'!A15:C15</f>
        <v>Програмное обеспечение АИСКУЭ для выхода на ОРЭМ</v>
      </c>
      <c r="B15" s="318"/>
      <c r="C15" s="318"/>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298" t="s">
        <v>4</v>
      </c>
      <c r="B16" s="298"/>
      <c r="C16" s="298"/>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299"/>
      <c r="B17" s="299"/>
      <c r="C17" s="299"/>
      <c r="D17" s="110"/>
      <c r="E17" s="110"/>
      <c r="F17" s="110"/>
      <c r="G17" s="110"/>
      <c r="H17" s="110"/>
      <c r="I17" s="110"/>
      <c r="J17" s="110"/>
      <c r="K17" s="110"/>
      <c r="L17" s="110"/>
      <c r="M17" s="110"/>
      <c r="N17" s="110"/>
      <c r="O17" s="110"/>
      <c r="P17" s="110"/>
      <c r="Q17" s="110"/>
      <c r="R17" s="110"/>
    </row>
    <row r="18" spans="1:21" s="108" customFormat="1" ht="27.75" customHeight="1" x14ac:dyDescent="0.2">
      <c r="A18" s="300" t="s">
        <v>380</v>
      </c>
      <c r="B18" s="300"/>
      <c r="C18" s="300"/>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393</v>
      </c>
      <c r="C22" s="183" t="str">
        <f>A15</f>
        <v>Програмное обеспечение АИСКУЭ для выхода на ОРЭМ</v>
      </c>
      <c r="D22" s="112"/>
      <c r="E22" s="112"/>
      <c r="F22" s="110"/>
      <c r="G22" s="110"/>
      <c r="H22" s="110"/>
      <c r="I22" s="110"/>
      <c r="J22" s="110"/>
      <c r="K22" s="110"/>
      <c r="L22" s="110"/>
      <c r="M22" s="110"/>
      <c r="N22" s="110"/>
      <c r="O22" s="110"/>
      <c r="P22" s="110"/>
    </row>
    <row r="23" spans="1:21" ht="123" customHeight="1" x14ac:dyDescent="0.25">
      <c r="A23" s="122" t="s">
        <v>61</v>
      </c>
      <c r="B23" s="123" t="s">
        <v>58</v>
      </c>
      <c r="C23" s="124" t="s">
        <v>585</v>
      </c>
    </row>
    <row r="24" spans="1:21" ht="63" customHeight="1" x14ac:dyDescent="0.25">
      <c r="A24" s="122" t="s">
        <v>60</v>
      </c>
      <c r="B24" s="123" t="s">
        <v>562</v>
      </c>
      <c r="C24" s="25" t="str">
        <f>A15</f>
        <v>Програмное обеспечение АИСКУЭ для выхода на ОРЭМ</v>
      </c>
    </row>
    <row r="25" spans="1:21" ht="63" customHeight="1" x14ac:dyDescent="0.25">
      <c r="A25" s="122" t="s">
        <v>59</v>
      </c>
      <c r="B25" s="123" t="s">
        <v>412</v>
      </c>
      <c r="C25" s="124" t="s">
        <v>586</v>
      </c>
    </row>
    <row r="26" spans="1:21" ht="42.75" customHeight="1" x14ac:dyDescent="0.25">
      <c r="A26" s="122" t="s">
        <v>57</v>
      </c>
      <c r="B26" s="123" t="s">
        <v>208</v>
      </c>
      <c r="C26" s="121" t="s">
        <v>436</v>
      </c>
    </row>
    <row r="27" spans="1:21" ht="110.25" x14ac:dyDescent="0.25">
      <c r="A27" s="122" t="s">
        <v>56</v>
      </c>
      <c r="B27" s="123" t="s">
        <v>394</v>
      </c>
      <c r="C27" s="121" t="s">
        <v>588</v>
      </c>
    </row>
    <row r="28" spans="1:21" ht="42.75" customHeight="1" x14ac:dyDescent="0.25">
      <c r="A28" s="122" t="s">
        <v>54</v>
      </c>
      <c r="B28" s="123" t="s">
        <v>55</v>
      </c>
      <c r="C28" s="124">
        <v>2021</v>
      </c>
    </row>
    <row r="29" spans="1:21" ht="42.75" customHeight="1" x14ac:dyDescent="0.25">
      <c r="A29" s="122" t="s">
        <v>52</v>
      </c>
      <c r="B29" s="121" t="s">
        <v>53</v>
      </c>
      <c r="C29" s="124">
        <v>2021</v>
      </c>
    </row>
    <row r="30" spans="1:21" ht="42.75" customHeight="1" x14ac:dyDescent="0.25">
      <c r="A30" s="122" t="s">
        <v>70</v>
      </c>
      <c r="B30" s="121" t="s">
        <v>51</v>
      </c>
      <c r="C30" s="121" t="s">
        <v>587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285" t="str">
        <f>'1. паспорт местоположение'!A5:C5</f>
        <v>Год раскрытия информации: 2023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row>
    <row r="6" spans="1:28" ht="18.75" x14ac:dyDescent="0.25">
      <c r="A6" s="294" t="s">
        <v>7</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109"/>
      <c r="AB6" s="109"/>
    </row>
    <row r="7" spans="1:28" ht="18.75" x14ac:dyDescent="0.25">
      <c r="A7" s="294"/>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109"/>
      <c r="AB7" s="109"/>
    </row>
    <row r="8" spans="1:28" ht="15.75" x14ac:dyDescent="0.25">
      <c r="A8" s="292" t="str">
        <f>'1. паспорт местоположение'!A9:C9</f>
        <v xml:space="preserve">Акционерное общество "Западная энергетическая компания" </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111"/>
      <c r="AB8" s="111"/>
    </row>
    <row r="9" spans="1:28" ht="15.75" x14ac:dyDescent="0.25">
      <c r="A9" s="298" t="s">
        <v>6</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112"/>
      <c r="AB9" s="112"/>
    </row>
    <row r="10" spans="1:28" ht="18.75" x14ac:dyDescent="0.25">
      <c r="A10" s="294"/>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109"/>
      <c r="AB10" s="109"/>
    </row>
    <row r="11" spans="1:28" ht="15.75" x14ac:dyDescent="0.25">
      <c r="A11" s="292" t="str">
        <f>'1. паспорт местоположение'!A12:C12</f>
        <v>L 21-23</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111"/>
      <c r="AB11" s="111"/>
    </row>
    <row r="12" spans="1:28" ht="15.75" x14ac:dyDescent="0.25">
      <c r="A12" s="298" t="s">
        <v>5</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112"/>
      <c r="AB12" s="112"/>
    </row>
    <row r="13" spans="1:28" ht="18.75" x14ac:dyDescent="0.25">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126"/>
      <c r="AB13" s="126"/>
    </row>
    <row r="14" spans="1:28" ht="15.75" x14ac:dyDescent="0.25">
      <c r="A14" s="292" t="str">
        <f>'1. паспорт местоположение'!A15:C15</f>
        <v>Програмное обеспечение АИСКУЭ для выхода на ОРЭМ</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111"/>
      <c r="AB14" s="111"/>
    </row>
    <row r="15" spans="1:28" ht="15.75" x14ac:dyDescent="0.25">
      <c r="A15" s="298" t="s">
        <v>4</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112"/>
      <c r="AB15" s="112"/>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127"/>
      <c r="AB16" s="127"/>
    </row>
    <row r="17" spans="1:2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127"/>
      <c r="AB17" s="127"/>
    </row>
    <row r="18" spans="1:2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127"/>
      <c r="AB18" s="127"/>
    </row>
    <row r="19" spans="1:2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127"/>
      <c r="AB19" s="127"/>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127"/>
      <c r="AB20" s="127"/>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127"/>
      <c r="AB21" s="127"/>
    </row>
    <row r="22" spans="1:28" x14ac:dyDescent="0.25">
      <c r="A22" s="320" t="s">
        <v>411</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128"/>
      <c r="AB22" s="128"/>
    </row>
    <row r="23" spans="1:28" ht="32.25" customHeight="1" x14ac:dyDescent="0.25">
      <c r="A23" s="322" t="s">
        <v>295</v>
      </c>
      <c r="B23" s="323"/>
      <c r="C23" s="323"/>
      <c r="D23" s="323"/>
      <c r="E23" s="323"/>
      <c r="F23" s="323"/>
      <c r="G23" s="323"/>
      <c r="H23" s="323"/>
      <c r="I23" s="323"/>
      <c r="J23" s="323"/>
      <c r="K23" s="323"/>
      <c r="L23" s="324"/>
      <c r="M23" s="321" t="s">
        <v>296</v>
      </c>
      <c r="N23" s="321"/>
      <c r="O23" s="321"/>
      <c r="P23" s="321"/>
      <c r="Q23" s="321"/>
      <c r="R23" s="321"/>
      <c r="S23" s="321"/>
      <c r="T23" s="321"/>
      <c r="U23" s="321"/>
      <c r="V23" s="321"/>
      <c r="W23" s="321"/>
      <c r="X23" s="321"/>
      <c r="Y23" s="321"/>
      <c r="Z23" s="321"/>
    </row>
    <row r="24" spans="1:28" ht="151.5" customHeight="1" x14ac:dyDescent="0.25">
      <c r="A24" s="129" t="s">
        <v>210</v>
      </c>
      <c r="B24" s="130" t="s">
        <v>230</v>
      </c>
      <c r="C24" s="129" t="s">
        <v>293</v>
      </c>
      <c r="D24" s="129" t="s">
        <v>211</v>
      </c>
      <c r="E24" s="129" t="s">
        <v>294</v>
      </c>
      <c r="F24" s="129" t="s">
        <v>442</v>
      </c>
      <c r="G24" s="129" t="s">
        <v>443</v>
      </c>
      <c r="H24" s="129" t="s">
        <v>212</v>
      </c>
      <c r="I24" s="129" t="s">
        <v>444</v>
      </c>
      <c r="J24" s="129" t="s">
        <v>235</v>
      </c>
      <c r="K24" s="130" t="s">
        <v>229</v>
      </c>
      <c r="L24" s="130" t="s">
        <v>213</v>
      </c>
      <c r="M24" s="131" t="s">
        <v>242</v>
      </c>
      <c r="N24" s="130" t="s">
        <v>445</v>
      </c>
      <c r="O24" s="129" t="s">
        <v>446</v>
      </c>
      <c r="P24" s="129" t="s">
        <v>447</v>
      </c>
      <c r="Q24" s="129" t="s">
        <v>448</v>
      </c>
      <c r="R24" s="129" t="s">
        <v>212</v>
      </c>
      <c r="S24" s="129" t="s">
        <v>449</v>
      </c>
      <c r="T24" s="129" t="s">
        <v>450</v>
      </c>
      <c r="U24" s="129" t="s">
        <v>451</v>
      </c>
      <c r="V24" s="129" t="s">
        <v>448</v>
      </c>
      <c r="W24" s="132" t="s">
        <v>452</v>
      </c>
      <c r="X24" s="132" t="s">
        <v>453</v>
      </c>
      <c r="Y24" s="132" t="s">
        <v>454</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455</v>
      </c>
      <c r="D26" s="135" t="s">
        <v>456</v>
      </c>
      <c r="E26" s="135" t="s">
        <v>457</v>
      </c>
      <c r="F26" s="135" t="s">
        <v>458</v>
      </c>
      <c r="G26" s="135" t="s">
        <v>459</v>
      </c>
      <c r="H26" s="135" t="s">
        <v>212</v>
      </c>
      <c r="I26" s="135" t="s">
        <v>460</v>
      </c>
      <c r="J26" s="135" t="s">
        <v>461</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462</v>
      </c>
      <c r="G27" s="135" t="s">
        <v>463</v>
      </c>
      <c r="H27" s="136" t="s">
        <v>212</v>
      </c>
      <c r="I27" s="135" t="s">
        <v>464</v>
      </c>
      <c r="J27" s="135" t="s">
        <v>465</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466</v>
      </c>
      <c r="G28" s="135" t="s">
        <v>467</v>
      </c>
      <c r="H28" s="136" t="s">
        <v>212</v>
      </c>
      <c r="I28" s="135" t="s">
        <v>236</v>
      </c>
      <c r="J28" s="135" t="s">
        <v>468</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469</v>
      </c>
      <c r="G29" s="135" t="s">
        <v>470</v>
      </c>
      <c r="H29" s="136" t="s">
        <v>212</v>
      </c>
      <c r="I29" s="135" t="s">
        <v>237</v>
      </c>
      <c r="J29" s="135" t="s">
        <v>471</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472</v>
      </c>
      <c r="G30" s="135" t="s">
        <v>473</v>
      </c>
      <c r="H30" s="136" t="s">
        <v>212</v>
      </c>
      <c r="I30" s="135" t="s">
        <v>238</v>
      </c>
      <c r="J30" s="135" t="s">
        <v>474</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475</v>
      </c>
      <c r="D32" s="135" t="s">
        <v>476</v>
      </c>
      <c r="E32" s="135" t="s">
        <v>477</v>
      </c>
      <c r="F32" s="135" t="s">
        <v>478</v>
      </c>
      <c r="G32" s="135" t="s">
        <v>479</v>
      </c>
      <c r="H32" s="135" t="s">
        <v>212</v>
      </c>
      <c r="I32" s="135" t="s">
        <v>480</v>
      </c>
      <c r="J32" s="135" t="s">
        <v>481</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80" zoomScaleSheetLayoutView="80" workbookViewId="0">
      <selection activeCell="B22" sqref="A22: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285" t="str">
        <f>'1. паспорт местоположение'!A5:C5</f>
        <v>Год раскрытия информации: 2023 год</v>
      </c>
      <c r="B5" s="285"/>
      <c r="C5" s="285"/>
      <c r="D5" s="285"/>
      <c r="E5" s="285"/>
      <c r="F5" s="285"/>
      <c r="G5" s="285"/>
      <c r="H5" s="285"/>
      <c r="I5" s="285"/>
      <c r="J5" s="285"/>
      <c r="K5" s="285"/>
      <c r="L5" s="285"/>
      <c r="M5" s="285"/>
      <c r="N5" s="285"/>
      <c r="O5" s="285"/>
      <c r="P5" s="86"/>
      <c r="Q5" s="86"/>
      <c r="R5" s="86"/>
      <c r="S5" s="86"/>
      <c r="T5" s="86"/>
      <c r="U5" s="86"/>
      <c r="V5" s="86"/>
      <c r="W5" s="86"/>
      <c r="X5" s="86"/>
      <c r="Y5" s="86"/>
      <c r="Z5" s="86"/>
      <c r="AA5" s="86"/>
      <c r="AB5" s="86"/>
    </row>
    <row r="6" spans="1:28" s="14" customFormat="1" ht="18.75" x14ac:dyDescent="0.3">
      <c r="A6" s="107"/>
      <c r="B6" s="107"/>
      <c r="L6" s="12"/>
    </row>
    <row r="7" spans="1:28" s="14" customFormat="1" ht="18.75" x14ac:dyDescent="0.2">
      <c r="A7" s="294" t="s">
        <v>7</v>
      </c>
      <c r="B7" s="294"/>
      <c r="C7" s="294"/>
      <c r="D7" s="294"/>
      <c r="E7" s="294"/>
      <c r="F7" s="294"/>
      <c r="G7" s="294"/>
      <c r="H7" s="294"/>
      <c r="I7" s="294"/>
      <c r="J7" s="294"/>
      <c r="K7" s="294"/>
      <c r="L7" s="294"/>
      <c r="M7" s="294"/>
      <c r="N7" s="294"/>
      <c r="O7" s="294"/>
      <c r="P7" s="109"/>
      <c r="Q7" s="109"/>
      <c r="R7" s="109"/>
      <c r="S7" s="109"/>
      <c r="T7" s="109"/>
      <c r="U7" s="109"/>
      <c r="V7" s="109"/>
      <c r="W7" s="109"/>
      <c r="X7" s="109"/>
      <c r="Y7" s="109"/>
      <c r="Z7" s="109"/>
    </row>
    <row r="8" spans="1:28" s="14" customFormat="1" ht="18.75" x14ac:dyDescent="0.2">
      <c r="A8" s="294"/>
      <c r="B8" s="294"/>
      <c r="C8" s="294"/>
      <c r="D8" s="294"/>
      <c r="E8" s="294"/>
      <c r="F8" s="294"/>
      <c r="G8" s="294"/>
      <c r="H8" s="294"/>
      <c r="I8" s="294"/>
      <c r="J8" s="294"/>
      <c r="K8" s="294"/>
      <c r="L8" s="294"/>
      <c r="M8" s="294"/>
      <c r="N8" s="294"/>
      <c r="O8" s="294"/>
      <c r="P8" s="109"/>
      <c r="Q8" s="109"/>
      <c r="R8" s="109"/>
      <c r="S8" s="109"/>
      <c r="T8" s="109"/>
      <c r="U8" s="109"/>
      <c r="V8" s="109"/>
      <c r="W8" s="109"/>
      <c r="X8" s="109"/>
      <c r="Y8" s="109"/>
      <c r="Z8" s="109"/>
    </row>
    <row r="9" spans="1:28" s="14" customFormat="1" ht="18.75" x14ac:dyDescent="0.2">
      <c r="A9" s="292" t="str">
        <f>'1. паспорт местоположение'!A9:C9</f>
        <v xml:space="preserve">Акционерное общество "Западная энергетическая компания" </v>
      </c>
      <c r="B9" s="292"/>
      <c r="C9" s="292"/>
      <c r="D9" s="292"/>
      <c r="E9" s="292"/>
      <c r="F9" s="292"/>
      <c r="G9" s="292"/>
      <c r="H9" s="292"/>
      <c r="I9" s="292"/>
      <c r="J9" s="292"/>
      <c r="K9" s="292"/>
      <c r="L9" s="292"/>
      <c r="M9" s="292"/>
      <c r="N9" s="292"/>
      <c r="O9" s="292"/>
      <c r="P9" s="109"/>
      <c r="Q9" s="109"/>
      <c r="R9" s="109"/>
      <c r="S9" s="109"/>
      <c r="T9" s="109"/>
      <c r="U9" s="109"/>
      <c r="V9" s="109"/>
      <c r="W9" s="109"/>
      <c r="X9" s="109"/>
      <c r="Y9" s="109"/>
      <c r="Z9" s="109"/>
    </row>
    <row r="10" spans="1:28" s="14" customFormat="1" ht="18.75" x14ac:dyDescent="0.2">
      <c r="A10" s="298" t="s">
        <v>6</v>
      </c>
      <c r="B10" s="298"/>
      <c r="C10" s="298"/>
      <c r="D10" s="298"/>
      <c r="E10" s="298"/>
      <c r="F10" s="298"/>
      <c r="G10" s="298"/>
      <c r="H10" s="298"/>
      <c r="I10" s="298"/>
      <c r="J10" s="298"/>
      <c r="K10" s="298"/>
      <c r="L10" s="298"/>
      <c r="M10" s="298"/>
      <c r="N10" s="298"/>
      <c r="O10" s="298"/>
      <c r="P10" s="109"/>
      <c r="Q10" s="109"/>
      <c r="R10" s="109"/>
      <c r="S10" s="109"/>
      <c r="T10" s="109"/>
      <c r="U10" s="109"/>
      <c r="V10" s="109"/>
      <c r="W10" s="109"/>
      <c r="X10" s="109"/>
      <c r="Y10" s="109"/>
      <c r="Z10" s="109"/>
    </row>
    <row r="11" spans="1:28" s="14" customFormat="1" ht="18.75" x14ac:dyDescent="0.2">
      <c r="A11" s="294"/>
      <c r="B11" s="294"/>
      <c r="C11" s="294"/>
      <c r="D11" s="294"/>
      <c r="E11" s="294"/>
      <c r="F11" s="294"/>
      <c r="G11" s="294"/>
      <c r="H11" s="294"/>
      <c r="I11" s="294"/>
      <c r="J11" s="294"/>
      <c r="K11" s="294"/>
      <c r="L11" s="294"/>
      <c r="M11" s="294"/>
      <c r="N11" s="294"/>
      <c r="O11" s="294"/>
      <c r="P11" s="109"/>
      <c r="Q11" s="109"/>
      <c r="R11" s="109"/>
      <c r="S11" s="109"/>
      <c r="T11" s="109"/>
      <c r="U11" s="109"/>
      <c r="V11" s="109"/>
      <c r="W11" s="109"/>
      <c r="X11" s="109"/>
      <c r="Y11" s="109"/>
      <c r="Z11" s="109"/>
    </row>
    <row r="12" spans="1:28" s="14" customFormat="1" ht="18.75" x14ac:dyDescent="0.2">
      <c r="A12" s="292" t="str">
        <f>'1. паспорт местоположение'!A12:C12</f>
        <v>L 21-23</v>
      </c>
      <c r="B12" s="292"/>
      <c r="C12" s="292"/>
      <c r="D12" s="292"/>
      <c r="E12" s="292"/>
      <c r="F12" s="292"/>
      <c r="G12" s="292"/>
      <c r="H12" s="292"/>
      <c r="I12" s="292"/>
      <c r="J12" s="292"/>
      <c r="K12" s="292"/>
      <c r="L12" s="292"/>
      <c r="M12" s="292"/>
      <c r="N12" s="292"/>
      <c r="O12" s="292"/>
      <c r="P12" s="109"/>
      <c r="Q12" s="109"/>
      <c r="R12" s="109"/>
      <c r="S12" s="109"/>
      <c r="T12" s="109"/>
      <c r="U12" s="109"/>
      <c r="V12" s="109"/>
      <c r="W12" s="109"/>
      <c r="X12" s="109"/>
      <c r="Y12" s="109"/>
      <c r="Z12" s="109"/>
    </row>
    <row r="13" spans="1:28" s="14" customFormat="1" ht="18.75" x14ac:dyDescent="0.2">
      <c r="A13" s="298" t="s">
        <v>5</v>
      </c>
      <c r="B13" s="298"/>
      <c r="C13" s="298"/>
      <c r="D13" s="298"/>
      <c r="E13" s="298"/>
      <c r="F13" s="298"/>
      <c r="G13" s="298"/>
      <c r="H13" s="298"/>
      <c r="I13" s="298"/>
      <c r="J13" s="298"/>
      <c r="K13" s="298"/>
      <c r="L13" s="298"/>
      <c r="M13" s="298"/>
      <c r="N13" s="298"/>
      <c r="O13" s="298"/>
      <c r="P13" s="109"/>
      <c r="Q13" s="109"/>
      <c r="R13" s="109"/>
      <c r="S13" s="109"/>
      <c r="T13" s="109"/>
      <c r="U13" s="109"/>
      <c r="V13" s="109"/>
      <c r="W13" s="109"/>
      <c r="X13" s="109"/>
      <c r="Y13" s="109"/>
      <c r="Z13" s="109"/>
    </row>
    <row r="14" spans="1:28" s="14" customFormat="1" ht="15.75" customHeight="1" x14ac:dyDescent="0.2">
      <c r="A14" s="299"/>
      <c r="B14" s="299"/>
      <c r="C14" s="299"/>
      <c r="D14" s="299"/>
      <c r="E14" s="299"/>
      <c r="F14" s="299"/>
      <c r="G14" s="299"/>
      <c r="H14" s="299"/>
      <c r="I14" s="299"/>
      <c r="J14" s="299"/>
      <c r="K14" s="299"/>
      <c r="L14" s="299"/>
      <c r="M14" s="299"/>
      <c r="N14" s="299"/>
      <c r="O14" s="299"/>
      <c r="P14" s="110"/>
      <c r="Q14" s="110"/>
      <c r="R14" s="110"/>
      <c r="S14" s="110"/>
      <c r="T14" s="110"/>
      <c r="U14" s="110"/>
      <c r="V14" s="110"/>
      <c r="W14" s="110"/>
      <c r="X14" s="110"/>
      <c r="Y14" s="110"/>
      <c r="Z14" s="110"/>
    </row>
    <row r="15" spans="1:28" s="108" customFormat="1" ht="15.75" x14ac:dyDescent="0.2">
      <c r="A15" s="292" t="str">
        <f>'1. паспорт местоположение'!A15:C15</f>
        <v>Програмное обеспечение АИСКУЭ для выхода на ОРЭМ</v>
      </c>
      <c r="B15" s="292"/>
      <c r="C15" s="292"/>
      <c r="D15" s="292"/>
      <c r="E15" s="292"/>
      <c r="F15" s="292"/>
      <c r="G15" s="292"/>
      <c r="H15" s="292"/>
      <c r="I15" s="292"/>
      <c r="J15" s="292"/>
      <c r="K15" s="292"/>
      <c r="L15" s="292"/>
      <c r="M15" s="292"/>
      <c r="N15" s="292"/>
      <c r="O15" s="292"/>
      <c r="P15" s="111"/>
      <c r="Q15" s="111"/>
      <c r="R15" s="111"/>
      <c r="S15" s="111"/>
      <c r="T15" s="111"/>
      <c r="U15" s="111"/>
      <c r="V15" s="111"/>
      <c r="W15" s="111"/>
      <c r="X15" s="111"/>
      <c r="Y15" s="111"/>
      <c r="Z15" s="111"/>
    </row>
    <row r="16" spans="1:28" s="108" customFormat="1" ht="15" customHeight="1" x14ac:dyDescent="0.2">
      <c r="A16" s="298" t="s">
        <v>4</v>
      </c>
      <c r="B16" s="298"/>
      <c r="C16" s="298"/>
      <c r="D16" s="298"/>
      <c r="E16" s="298"/>
      <c r="F16" s="298"/>
      <c r="G16" s="298"/>
      <c r="H16" s="298"/>
      <c r="I16" s="298"/>
      <c r="J16" s="298"/>
      <c r="K16" s="298"/>
      <c r="L16" s="298"/>
      <c r="M16" s="298"/>
      <c r="N16" s="298"/>
      <c r="O16" s="298"/>
      <c r="P16" s="112"/>
      <c r="Q16" s="112"/>
      <c r="R16" s="112"/>
      <c r="S16" s="112"/>
      <c r="T16" s="112"/>
      <c r="U16" s="112"/>
      <c r="V16" s="112"/>
      <c r="W16" s="112"/>
      <c r="X16" s="112"/>
      <c r="Y16" s="112"/>
      <c r="Z16" s="112"/>
    </row>
    <row r="17" spans="1:26" s="108" customFormat="1" ht="15" customHeight="1" x14ac:dyDescent="0.2">
      <c r="A17" s="299"/>
      <c r="B17" s="299"/>
      <c r="C17" s="299"/>
      <c r="D17" s="299"/>
      <c r="E17" s="299"/>
      <c r="F17" s="299"/>
      <c r="G17" s="299"/>
      <c r="H17" s="299"/>
      <c r="I17" s="299"/>
      <c r="J17" s="299"/>
      <c r="K17" s="299"/>
      <c r="L17" s="299"/>
      <c r="M17" s="299"/>
      <c r="N17" s="299"/>
      <c r="O17" s="299"/>
      <c r="P17" s="110"/>
      <c r="Q17" s="110"/>
      <c r="R17" s="110"/>
      <c r="S17" s="110"/>
      <c r="T17" s="110"/>
      <c r="U17" s="110"/>
      <c r="V17" s="110"/>
      <c r="W17" s="110"/>
    </row>
    <row r="18" spans="1:26" s="108" customFormat="1" ht="91.5" customHeight="1" x14ac:dyDescent="0.2">
      <c r="A18" s="325" t="s">
        <v>389</v>
      </c>
      <c r="B18" s="325"/>
      <c r="C18" s="325"/>
      <c r="D18" s="325"/>
      <c r="E18" s="325"/>
      <c r="F18" s="325"/>
      <c r="G18" s="325"/>
      <c r="H18" s="325"/>
      <c r="I18" s="325"/>
      <c r="J18" s="325"/>
      <c r="K18" s="325"/>
      <c r="L18" s="325"/>
      <c r="M18" s="325"/>
      <c r="N18" s="325"/>
      <c r="O18" s="325"/>
      <c r="P18" s="113"/>
      <c r="Q18" s="113"/>
      <c r="R18" s="113"/>
      <c r="S18" s="113"/>
      <c r="T18" s="113"/>
      <c r="U18" s="113"/>
      <c r="V18" s="113"/>
      <c r="W18" s="113"/>
      <c r="X18" s="113"/>
      <c r="Y18" s="113"/>
      <c r="Z18" s="113"/>
    </row>
    <row r="19" spans="1:26" s="108" customFormat="1" ht="78" customHeight="1" x14ac:dyDescent="0.2">
      <c r="A19" s="326" t="s">
        <v>3</v>
      </c>
      <c r="B19" s="326" t="s">
        <v>82</v>
      </c>
      <c r="C19" s="326" t="s">
        <v>81</v>
      </c>
      <c r="D19" s="326" t="s">
        <v>73</v>
      </c>
      <c r="E19" s="327" t="s">
        <v>80</v>
      </c>
      <c r="F19" s="328"/>
      <c r="G19" s="328"/>
      <c r="H19" s="328"/>
      <c r="I19" s="329"/>
      <c r="J19" s="326" t="s">
        <v>79</v>
      </c>
      <c r="K19" s="326"/>
      <c r="L19" s="326"/>
      <c r="M19" s="326"/>
      <c r="N19" s="326"/>
      <c r="O19" s="326"/>
      <c r="P19" s="110"/>
      <c r="Q19" s="110"/>
      <c r="R19" s="110"/>
      <c r="S19" s="110"/>
      <c r="T19" s="110"/>
      <c r="U19" s="110"/>
      <c r="V19" s="110"/>
      <c r="W19" s="110"/>
    </row>
    <row r="20" spans="1:26" s="108" customFormat="1" ht="51" customHeight="1" x14ac:dyDescent="0.2">
      <c r="A20" s="326"/>
      <c r="B20" s="326"/>
      <c r="C20" s="326"/>
      <c r="D20" s="326"/>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86" t="s">
        <v>540</v>
      </c>
      <c r="B22" s="186" t="s">
        <v>540</v>
      </c>
      <c r="C22" s="186" t="s">
        <v>540</v>
      </c>
      <c r="D22" s="186" t="s">
        <v>540</v>
      </c>
      <c r="E22" s="186" t="s">
        <v>540</v>
      </c>
      <c r="F22" s="186" t="s">
        <v>540</v>
      </c>
      <c r="G22" s="186" t="s">
        <v>540</v>
      </c>
      <c r="H22" s="186" t="s">
        <v>540</v>
      </c>
      <c r="I22" s="186" t="s">
        <v>540</v>
      </c>
      <c r="J22" s="186" t="s">
        <v>540</v>
      </c>
      <c r="K22" s="186" t="s">
        <v>540</v>
      </c>
      <c r="L22" s="186" t="s">
        <v>540</v>
      </c>
      <c r="M22" s="186" t="s">
        <v>540</v>
      </c>
      <c r="N22" s="186" t="s">
        <v>540</v>
      </c>
      <c r="O22" s="186" t="s">
        <v>540</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40" workbookViewId="0">
      <selection activeCell="H58" sqref="H58"/>
    </sheetView>
  </sheetViews>
  <sheetFormatPr defaultRowHeight="12.75" x14ac:dyDescent="0.2"/>
  <cols>
    <col min="1" max="1" width="66.140625" style="203" customWidth="1"/>
    <col min="2" max="2" width="17.140625" style="203" customWidth="1"/>
    <col min="3" max="3" width="13.85546875" style="203" customWidth="1"/>
    <col min="4" max="5" width="13.5703125" style="203" customWidth="1"/>
    <col min="6" max="6" width="14.5703125" style="203" customWidth="1"/>
    <col min="7" max="7" width="13.42578125" style="203" customWidth="1"/>
    <col min="8" max="12" width="15.42578125" style="203" customWidth="1"/>
    <col min="13" max="13" width="15.42578125" style="203" hidden="1" customWidth="1"/>
    <col min="14" max="14" width="15.42578125" style="273" hidden="1" customWidth="1"/>
    <col min="15" max="19" width="15.42578125" style="203" hidden="1" customWidth="1"/>
    <col min="20" max="29" width="17.28515625" style="203" hidden="1" customWidth="1"/>
    <col min="30" max="31" width="17.28515625" style="193" hidden="1" customWidth="1"/>
    <col min="32" max="16384" width="9.140625" style="193"/>
  </cols>
  <sheetData>
    <row r="1" spans="1:45" x14ac:dyDescent="0.2">
      <c r="A1" s="190"/>
      <c r="B1" s="191"/>
      <c r="C1" s="191"/>
      <c r="D1" s="191"/>
      <c r="E1" s="191"/>
      <c r="F1" s="191"/>
      <c r="G1" s="191"/>
      <c r="H1" s="191"/>
      <c r="I1" s="191"/>
      <c r="J1" s="191"/>
      <c r="K1" s="192"/>
      <c r="L1" s="191"/>
      <c r="M1" s="191"/>
      <c r="N1" s="191"/>
      <c r="O1" s="191"/>
      <c r="P1" s="192" t="s">
        <v>66</v>
      </c>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P1" s="194"/>
      <c r="AQ1" s="194"/>
      <c r="AR1" s="195"/>
      <c r="AS1" s="195"/>
    </row>
    <row r="2" spans="1:45" x14ac:dyDescent="0.2">
      <c r="A2" s="190"/>
      <c r="B2" s="191"/>
      <c r="C2" s="191"/>
      <c r="D2" s="191"/>
      <c r="E2" s="191"/>
      <c r="F2" s="191"/>
      <c r="G2" s="191"/>
      <c r="H2" s="191"/>
      <c r="I2" s="191"/>
      <c r="J2" s="191"/>
      <c r="K2" s="196"/>
      <c r="L2" s="191"/>
      <c r="M2" s="191"/>
      <c r="N2" s="191"/>
      <c r="O2" s="191"/>
      <c r="P2" s="196" t="s">
        <v>8</v>
      </c>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P2" s="194"/>
      <c r="AQ2" s="194"/>
      <c r="AR2" s="195"/>
      <c r="AS2" s="195"/>
    </row>
    <row r="3" spans="1:45" x14ac:dyDescent="0.2">
      <c r="A3" s="197"/>
      <c r="B3" s="191"/>
      <c r="C3" s="191"/>
      <c r="D3" s="191"/>
      <c r="E3" s="191"/>
      <c r="F3" s="191"/>
      <c r="G3" s="191"/>
      <c r="H3" s="191"/>
      <c r="I3" s="191"/>
      <c r="J3" s="191"/>
      <c r="K3" s="196"/>
      <c r="L3" s="191"/>
      <c r="M3" s="191"/>
      <c r="N3" s="191"/>
      <c r="O3" s="191"/>
      <c r="P3" s="196" t="s">
        <v>440</v>
      </c>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P3" s="194"/>
      <c r="AQ3" s="194"/>
      <c r="AR3" s="195"/>
      <c r="AS3" s="195"/>
    </row>
    <row r="4" spans="1:45" x14ac:dyDescent="0.2">
      <c r="A4" s="198"/>
      <c r="B4" s="190"/>
      <c r="C4" s="190"/>
      <c r="D4" s="190"/>
      <c r="E4" s="190"/>
      <c r="F4" s="190"/>
      <c r="G4" s="190"/>
      <c r="H4" s="190"/>
      <c r="I4" s="190"/>
      <c r="J4" s="190"/>
      <c r="K4" s="196"/>
      <c r="L4" s="190"/>
      <c r="M4" s="190"/>
      <c r="N4" s="190"/>
      <c r="O4" s="190"/>
      <c r="P4" s="190"/>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4"/>
      <c r="AQ4" s="194"/>
      <c r="AR4" s="195"/>
      <c r="AS4" s="195"/>
    </row>
    <row r="5" spans="1:45" x14ac:dyDescent="0.2">
      <c r="A5" s="331" t="str">
        <f>'1. паспорт местоположение'!A5:C5</f>
        <v>Год раскрытия информации: 2023 год</v>
      </c>
      <c r="B5" s="331"/>
      <c r="C5" s="331"/>
      <c r="D5" s="331"/>
      <c r="E5" s="331"/>
      <c r="F5" s="331"/>
      <c r="G5" s="331"/>
      <c r="H5" s="331"/>
      <c r="I5" s="331"/>
      <c r="J5" s="331"/>
      <c r="K5" s="331"/>
      <c r="L5" s="331"/>
      <c r="M5" s="331"/>
      <c r="N5" s="331"/>
      <c r="O5" s="331"/>
      <c r="P5" s="331"/>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4"/>
      <c r="AQ5" s="194"/>
      <c r="AR5" s="195"/>
      <c r="AS5" s="195"/>
    </row>
    <row r="6" spans="1:45" x14ac:dyDescent="0.2">
      <c r="A6" s="198"/>
      <c r="B6" s="190"/>
      <c r="C6" s="190"/>
      <c r="D6" s="190"/>
      <c r="E6" s="190"/>
      <c r="F6" s="190"/>
      <c r="G6" s="190"/>
      <c r="H6" s="190"/>
      <c r="I6" s="190"/>
      <c r="J6" s="190"/>
      <c r="K6" s="196"/>
      <c r="L6" s="190"/>
      <c r="M6" s="190"/>
      <c r="N6" s="190"/>
      <c r="O6" s="190"/>
      <c r="P6" s="190"/>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4"/>
      <c r="AQ6" s="194"/>
      <c r="AR6" s="195"/>
      <c r="AS6" s="195"/>
    </row>
    <row r="7" spans="1:45" x14ac:dyDescent="0.2">
      <c r="A7" s="331" t="s">
        <v>7</v>
      </c>
      <c r="B7" s="331"/>
      <c r="C7" s="331"/>
      <c r="D7" s="331"/>
      <c r="E7" s="331"/>
      <c r="F7" s="331"/>
      <c r="G7" s="331"/>
      <c r="H7" s="331"/>
      <c r="I7" s="331"/>
      <c r="J7" s="331"/>
      <c r="K7" s="331"/>
      <c r="L7" s="331"/>
      <c r="M7" s="331"/>
      <c r="N7" s="331"/>
      <c r="O7" s="331"/>
      <c r="P7" s="331"/>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194"/>
      <c r="AQ7" s="194"/>
      <c r="AR7" s="195"/>
      <c r="AS7" s="195"/>
    </row>
    <row r="8" spans="1:45" x14ac:dyDescent="0.2">
      <c r="A8" s="201"/>
      <c r="B8" s="201"/>
      <c r="C8" s="201"/>
      <c r="D8" s="201"/>
      <c r="E8" s="201"/>
      <c r="F8" s="201"/>
      <c r="G8" s="201"/>
      <c r="H8" s="201"/>
      <c r="I8" s="201"/>
      <c r="J8" s="201"/>
      <c r="K8" s="201"/>
      <c r="L8" s="199"/>
      <c r="M8" s="199"/>
      <c r="N8" s="199"/>
      <c r="O8" s="199"/>
      <c r="P8" s="199"/>
      <c r="Q8" s="200"/>
      <c r="R8" s="200"/>
      <c r="S8" s="200"/>
      <c r="T8" s="200"/>
      <c r="U8" s="200"/>
      <c r="V8" s="200"/>
      <c r="W8" s="200"/>
      <c r="X8" s="200"/>
      <c r="Y8" s="200"/>
      <c r="Z8" s="191"/>
      <c r="AA8" s="191"/>
      <c r="AB8" s="191"/>
      <c r="AC8" s="191"/>
      <c r="AD8" s="191"/>
      <c r="AE8" s="191"/>
      <c r="AF8" s="191"/>
      <c r="AG8" s="191"/>
      <c r="AH8" s="191"/>
      <c r="AI8" s="191"/>
      <c r="AJ8" s="191"/>
      <c r="AK8" s="191"/>
      <c r="AL8" s="191"/>
      <c r="AM8" s="191"/>
      <c r="AN8" s="191"/>
      <c r="AO8" s="191"/>
      <c r="AP8" s="194"/>
      <c r="AQ8" s="194"/>
      <c r="AR8" s="195"/>
      <c r="AS8" s="195"/>
    </row>
    <row r="9" spans="1:45" x14ac:dyDescent="0.2">
      <c r="A9" s="332" t="str">
        <f>'1. паспорт местоположение'!A9:C9</f>
        <v xml:space="preserve">Акционерное общество "Западная энергетическая компания" </v>
      </c>
      <c r="B9" s="332"/>
      <c r="C9" s="332"/>
      <c r="D9" s="332"/>
      <c r="E9" s="332"/>
      <c r="F9" s="332"/>
      <c r="G9" s="332"/>
      <c r="H9" s="332"/>
      <c r="I9" s="332"/>
      <c r="J9" s="332"/>
      <c r="K9" s="332"/>
      <c r="L9" s="332"/>
      <c r="M9" s="332"/>
      <c r="N9" s="332"/>
      <c r="O9" s="332"/>
      <c r="P9" s="33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194"/>
      <c r="AQ9" s="194"/>
      <c r="AR9" s="195"/>
      <c r="AS9" s="195"/>
    </row>
    <row r="10" spans="1:45" x14ac:dyDescent="0.2">
      <c r="A10" s="330" t="s">
        <v>6</v>
      </c>
      <c r="B10" s="330"/>
      <c r="C10" s="330"/>
      <c r="D10" s="330"/>
      <c r="E10" s="330"/>
      <c r="F10" s="330"/>
      <c r="G10" s="330"/>
      <c r="H10" s="330"/>
      <c r="I10" s="330"/>
      <c r="J10" s="330"/>
      <c r="K10" s="330"/>
      <c r="L10" s="330"/>
      <c r="M10" s="330"/>
      <c r="N10" s="330"/>
      <c r="O10" s="330"/>
      <c r="P10" s="330"/>
      <c r="AD10" s="203"/>
      <c r="AE10" s="203"/>
      <c r="AF10" s="203"/>
      <c r="AG10" s="203"/>
      <c r="AH10" s="203"/>
      <c r="AI10" s="203"/>
      <c r="AJ10" s="203"/>
      <c r="AK10" s="203"/>
      <c r="AL10" s="203"/>
      <c r="AM10" s="203"/>
      <c r="AN10" s="203"/>
      <c r="AO10" s="203"/>
      <c r="AP10" s="194"/>
      <c r="AQ10" s="194"/>
      <c r="AR10" s="195"/>
      <c r="AS10" s="195"/>
    </row>
    <row r="11" spans="1:45" x14ac:dyDescent="0.2">
      <c r="A11" s="201"/>
      <c r="B11" s="201"/>
      <c r="C11" s="201"/>
      <c r="D11" s="201"/>
      <c r="E11" s="201"/>
      <c r="F11" s="201"/>
      <c r="G11" s="201"/>
      <c r="H11" s="201"/>
      <c r="I11" s="201"/>
      <c r="J11" s="201"/>
      <c r="K11" s="201"/>
      <c r="L11" s="199"/>
      <c r="M11" s="199"/>
      <c r="N11" s="199"/>
      <c r="O11" s="199"/>
      <c r="P11" s="199"/>
      <c r="Q11" s="200"/>
      <c r="R11" s="200"/>
      <c r="S11" s="200"/>
      <c r="T11" s="200"/>
      <c r="U11" s="200"/>
      <c r="V11" s="200"/>
      <c r="W11" s="200"/>
      <c r="X11" s="200"/>
      <c r="Y11" s="200"/>
      <c r="Z11" s="191"/>
      <c r="AA11" s="191"/>
      <c r="AB11" s="191"/>
      <c r="AC11" s="191"/>
      <c r="AD11" s="191"/>
      <c r="AE11" s="191"/>
      <c r="AF11" s="191"/>
      <c r="AG11" s="191"/>
      <c r="AH11" s="191"/>
      <c r="AI11" s="191"/>
      <c r="AJ11" s="191"/>
      <c r="AK11" s="191"/>
      <c r="AL11" s="191"/>
      <c r="AM11" s="191"/>
      <c r="AN11" s="191"/>
      <c r="AO11" s="191"/>
      <c r="AP11" s="194"/>
      <c r="AQ11" s="194"/>
      <c r="AR11" s="195"/>
      <c r="AS11" s="195"/>
    </row>
    <row r="12" spans="1:45" x14ac:dyDescent="0.2">
      <c r="A12" s="332" t="str">
        <f>'1. паспорт местоположение'!A12:C12</f>
        <v>L 21-23</v>
      </c>
      <c r="B12" s="332"/>
      <c r="C12" s="332"/>
      <c r="D12" s="332"/>
      <c r="E12" s="332"/>
      <c r="F12" s="332"/>
      <c r="G12" s="332"/>
      <c r="H12" s="332"/>
      <c r="I12" s="332"/>
      <c r="J12" s="332"/>
      <c r="K12" s="332"/>
      <c r="L12" s="332"/>
      <c r="M12" s="332"/>
      <c r="N12" s="332"/>
      <c r="O12" s="332"/>
      <c r="P12" s="33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194"/>
      <c r="AQ12" s="194"/>
      <c r="AR12" s="195"/>
      <c r="AS12" s="195"/>
    </row>
    <row r="13" spans="1:45" x14ac:dyDescent="0.2">
      <c r="A13" s="330" t="s">
        <v>5</v>
      </c>
      <c r="B13" s="330"/>
      <c r="C13" s="330"/>
      <c r="D13" s="330"/>
      <c r="E13" s="330"/>
      <c r="F13" s="330"/>
      <c r="G13" s="330"/>
      <c r="H13" s="330"/>
      <c r="I13" s="330"/>
      <c r="J13" s="330"/>
      <c r="K13" s="330"/>
      <c r="L13" s="330"/>
      <c r="M13" s="330"/>
      <c r="N13" s="330"/>
      <c r="O13" s="330"/>
      <c r="P13" s="330"/>
      <c r="AD13" s="203"/>
      <c r="AE13" s="203"/>
      <c r="AF13" s="203"/>
      <c r="AG13" s="203"/>
      <c r="AH13" s="203"/>
      <c r="AI13" s="203"/>
      <c r="AJ13" s="203"/>
      <c r="AK13" s="203"/>
      <c r="AL13" s="203"/>
      <c r="AM13" s="203"/>
      <c r="AN13" s="203"/>
      <c r="AO13" s="203"/>
      <c r="AP13" s="194"/>
      <c r="AQ13" s="194"/>
      <c r="AR13" s="195"/>
      <c r="AS13" s="195"/>
    </row>
    <row r="14" spans="1:45" x14ac:dyDescent="0.2">
      <c r="A14" s="204"/>
      <c r="B14" s="204"/>
      <c r="C14" s="204"/>
      <c r="D14" s="204"/>
      <c r="E14" s="204"/>
      <c r="F14" s="204"/>
      <c r="G14" s="204"/>
      <c r="H14" s="204"/>
      <c r="I14" s="204"/>
      <c r="J14" s="204"/>
      <c r="K14" s="204"/>
      <c r="L14" s="204"/>
      <c r="M14" s="204"/>
      <c r="N14" s="204"/>
      <c r="O14" s="204"/>
      <c r="P14" s="204"/>
      <c r="Q14" s="205"/>
      <c r="R14" s="205"/>
      <c r="S14" s="205"/>
      <c r="T14" s="205"/>
      <c r="U14" s="205"/>
      <c r="V14" s="205"/>
      <c r="W14" s="205"/>
      <c r="X14" s="205"/>
      <c r="Y14" s="205"/>
      <c r="Z14" s="191"/>
      <c r="AA14" s="191"/>
      <c r="AB14" s="191"/>
      <c r="AC14" s="191"/>
      <c r="AD14" s="191"/>
      <c r="AE14" s="191"/>
      <c r="AF14" s="191"/>
      <c r="AG14" s="191"/>
      <c r="AH14" s="191"/>
      <c r="AI14" s="191"/>
      <c r="AJ14" s="191"/>
      <c r="AK14" s="191"/>
      <c r="AL14" s="191"/>
      <c r="AM14" s="191"/>
      <c r="AN14" s="191"/>
      <c r="AO14" s="191"/>
      <c r="AP14" s="194"/>
      <c r="AQ14" s="194"/>
      <c r="AR14" s="195"/>
      <c r="AS14" s="195"/>
    </row>
    <row r="15" spans="1:45" x14ac:dyDescent="0.2">
      <c r="A15" s="337" t="str">
        <f>'1. паспорт местоположение'!A15:C15</f>
        <v>Програмное обеспечение АИСКУЭ для выхода на ОРЭМ</v>
      </c>
      <c r="B15" s="337"/>
      <c r="C15" s="337"/>
      <c r="D15" s="337"/>
      <c r="E15" s="337"/>
      <c r="F15" s="337"/>
      <c r="G15" s="337"/>
      <c r="H15" s="337"/>
      <c r="I15" s="337"/>
      <c r="J15" s="337"/>
      <c r="K15" s="337"/>
      <c r="L15" s="337"/>
      <c r="M15" s="337"/>
      <c r="N15" s="337"/>
      <c r="O15" s="337"/>
      <c r="P15" s="337"/>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194"/>
      <c r="AQ15" s="194"/>
      <c r="AR15" s="195"/>
      <c r="AS15" s="195"/>
    </row>
    <row r="16" spans="1:45" x14ac:dyDescent="0.2">
      <c r="A16" s="338" t="s">
        <v>4</v>
      </c>
      <c r="B16" s="338"/>
      <c r="C16" s="338"/>
      <c r="D16" s="338"/>
      <c r="E16" s="338"/>
      <c r="F16" s="338"/>
      <c r="G16" s="338"/>
      <c r="H16" s="338"/>
      <c r="I16" s="338"/>
      <c r="J16" s="338"/>
      <c r="K16" s="338"/>
      <c r="L16" s="338"/>
      <c r="M16" s="338"/>
      <c r="N16" s="338"/>
      <c r="O16" s="338"/>
      <c r="P16" s="338"/>
      <c r="AD16" s="203"/>
      <c r="AE16" s="203"/>
      <c r="AF16" s="203"/>
      <c r="AG16" s="203"/>
      <c r="AH16" s="203"/>
      <c r="AI16" s="203"/>
      <c r="AJ16" s="203"/>
      <c r="AK16" s="203"/>
      <c r="AL16" s="203"/>
      <c r="AM16" s="203"/>
      <c r="AN16" s="203"/>
      <c r="AO16" s="203"/>
      <c r="AP16" s="194"/>
      <c r="AQ16" s="194"/>
      <c r="AR16" s="195"/>
      <c r="AS16" s="195"/>
    </row>
    <row r="17" spans="1:4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7"/>
      <c r="X17" s="207"/>
      <c r="Y17" s="207"/>
      <c r="Z17" s="207"/>
      <c r="AA17" s="207"/>
      <c r="AB17" s="207"/>
      <c r="AC17" s="207"/>
      <c r="AD17" s="207"/>
      <c r="AE17" s="207"/>
      <c r="AF17" s="207"/>
      <c r="AG17" s="207"/>
      <c r="AH17" s="207"/>
      <c r="AI17" s="207"/>
      <c r="AJ17" s="207"/>
      <c r="AK17" s="207"/>
      <c r="AL17" s="207"/>
      <c r="AM17" s="207"/>
      <c r="AN17" s="207"/>
      <c r="AO17" s="207"/>
      <c r="AP17" s="194"/>
      <c r="AQ17" s="194"/>
      <c r="AR17" s="195"/>
      <c r="AS17" s="195"/>
    </row>
    <row r="18" spans="1:45" x14ac:dyDescent="0.2">
      <c r="A18" s="339" t="s">
        <v>390</v>
      </c>
      <c r="B18" s="339"/>
      <c r="C18" s="339"/>
      <c r="D18" s="339"/>
      <c r="E18" s="339"/>
      <c r="F18" s="339"/>
      <c r="G18" s="339"/>
      <c r="H18" s="339"/>
      <c r="I18" s="339"/>
      <c r="J18" s="339"/>
      <c r="K18" s="339"/>
      <c r="L18" s="339"/>
      <c r="M18" s="339"/>
      <c r="N18" s="339"/>
      <c r="O18" s="339"/>
      <c r="P18" s="339"/>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194"/>
      <c r="AQ18" s="194"/>
      <c r="AR18" s="195"/>
      <c r="AS18" s="195"/>
    </row>
    <row r="19" spans="1:45" x14ac:dyDescent="0.2">
      <c r="A19" s="208"/>
      <c r="B19" s="208"/>
      <c r="C19" s="208"/>
      <c r="D19" s="208"/>
      <c r="E19" s="208"/>
      <c r="F19" s="208"/>
      <c r="G19" s="208"/>
      <c r="H19" s="208"/>
      <c r="I19" s="208"/>
      <c r="J19" s="208"/>
      <c r="K19" s="208"/>
      <c r="L19" s="208"/>
      <c r="M19" s="208"/>
      <c r="N19" s="208"/>
      <c r="O19" s="208"/>
      <c r="P19" s="208"/>
      <c r="Q19" s="202"/>
      <c r="R19" s="202"/>
      <c r="S19" s="202"/>
      <c r="T19" s="202"/>
      <c r="U19" s="202"/>
      <c r="V19" s="202"/>
      <c r="W19" s="202"/>
      <c r="X19" s="202"/>
      <c r="Y19" s="202"/>
      <c r="Z19" s="202"/>
      <c r="AA19" s="202"/>
      <c r="AB19" s="202"/>
      <c r="AC19" s="202"/>
      <c r="AD19" s="202"/>
      <c r="AE19" s="202"/>
      <c r="AF19" s="202"/>
      <c r="AG19" s="202"/>
      <c r="AH19" s="202"/>
      <c r="AI19" s="202"/>
      <c r="AJ19" s="202"/>
      <c r="AK19" s="202"/>
      <c r="AL19" s="202"/>
      <c r="AM19" s="202"/>
      <c r="AN19" s="202"/>
      <c r="AO19" s="202"/>
      <c r="AP19" s="194"/>
      <c r="AQ19" s="194"/>
      <c r="AR19" s="195"/>
      <c r="AS19" s="195"/>
    </row>
    <row r="20" spans="1:45" x14ac:dyDescent="0.2">
      <c r="A20" s="208"/>
      <c r="B20" s="208"/>
      <c r="C20" s="208"/>
      <c r="D20" s="208"/>
      <c r="E20" s="208"/>
      <c r="F20" s="208"/>
      <c r="G20" s="208"/>
      <c r="H20" s="208"/>
      <c r="I20" s="208"/>
      <c r="J20" s="208"/>
      <c r="K20" s="208"/>
      <c r="L20" s="208"/>
      <c r="M20" s="208"/>
      <c r="N20" s="208"/>
      <c r="O20" s="208"/>
      <c r="P20" s="208"/>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2"/>
      <c r="AP20" s="194"/>
      <c r="AQ20" s="194"/>
      <c r="AR20" s="195"/>
      <c r="AS20" s="195"/>
    </row>
    <row r="21" spans="1:45" x14ac:dyDescent="0.2">
      <c r="A21" s="209"/>
      <c r="N21" s="203"/>
      <c r="AP21" s="194"/>
      <c r="AQ21" s="194"/>
      <c r="AR21" s="195"/>
      <c r="AS21" s="195"/>
    </row>
    <row r="22" spans="1:45" x14ac:dyDescent="0.2">
      <c r="A22" s="200"/>
      <c r="N22" s="203"/>
      <c r="AP22" s="194"/>
      <c r="AQ22" s="194"/>
      <c r="AR22" s="195"/>
      <c r="AS22" s="195"/>
    </row>
    <row r="23" spans="1:45" ht="13.5" thickBot="1" x14ac:dyDescent="0.25">
      <c r="A23" s="210" t="s">
        <v>288</v>
      </c>
      <c r="B23" s="210" t="s">
        <v>1</v>
      </c>
      <c r="D23" s="211"/>
      <c r="N23" s="203"/>
    </row>
    <row r="24" spans="1:45" ht="15" x14ac:dyDescent="0.2">
      <c r="A24" s="212" t="s">
        <v>426</v>
      </c>
      <c r="B24" s="185">
        <f>'6.2. Паспорт фин осв ввод'!D30*1000000</f>
        <v>1415201.22</v>
      </c>
      <c r="N24" s="203"/>
    </row>
    <row r="25" spans="1:45" x14ac:dyDescent="0.2">
      <c r="A25" s="213" t="s">
        <v>286</v>
      </c>
      <c r="B25" s="214">
        <v>0</v>
      </c>
      <c r="N25" s="203"/>
    </row>
    <row r="26" spans="1:45" x14ac:dyDescent="0.2">
      <c r="A26" s="213" t="s">
        <v>284</v>
      </c>
      <c r="B26" s="214">
        <v>30</v>
      </c>
      <c r="D26" s="200" t="s">
        <v>287</v>
      </c>
      <c r="N26" s="203"/>
    </row>
    <row r="27" spans="1:45" ht="13.5" thickBot="1" x14ac:dyDescent="0.25">
      <c r="A27" s="215" t="s">
        <v>282</v>
      </c>
      <c r="B27" s="216">
        <v>1</v>
      </c>
      <c r="D27" s="333" t="s">
        <v>285</v>
      </c>
      <c r="E27" s="334"/>
      <c r="F27" s="335"/>
      <c r="G27" s="217" t="str">
        <f>IF(SUM(B89:AG89)=0,"не окупается",SUM(B89:AG89))</f>
        <v>не окупается</v>
      </c>
      <c r="H27" s="218"/>
      <c r="N27" s="203"/>
    </row>
    <row r="28" spans="1:45" ht="15" x14ac:dyDescent="0.2">
      <c r="A28" s="212" t="s">
        <v>281</v>
      </c>
      <c r="B28" s="185">
        <f>B24*0.001</f>
        <v>1415.2012199999999</v>
      </c>
      <c r="D28" s="333" t="s">
        <v>283</v>
      </c>
      <c r="E28" s="334"/>
      <c r="F28" s="335"/>
      <c r="G28" s="217" t="str">
        <f>IF(SUM(B90:AG90)=0,"не окупается",SUM(B90:AG90))</f>
        <v>не окупается</v>
      </c>
      <c r="H28" s="218"/>
      <c r="N28" s="203"/>
    </row>
    <row r="29" spans="1:45" x14ac:dyDescent="0.2">
      <c r="A29" s="213" t="s">
        <v>427</v>
      </c>
      <c r="B29" s="214">
        <v>6</v>
      </c>
      <c r="D29" s="333" t="s">
        <v>566</v>
      </c>
      <c r="E29" s="334"/>
      <c r="F29" s="335"/>
      <c r="G29" s="219">
        <f>L87</f>
        <v>-1601702.640905703</v>
      </c>
      <c r="H29" s="220"/>
      <c r="N29" s="203"/>
    </row>
    <row r="30" spans="1:45" x14ac:dyDescent="0.2">
      <c r="A30" s="213" t="s">
        <v>280</v>
      </c>
      <c r="B30" s="214">
        <v>6</v>
      </c>
      <c r="D30" s="333"/>
      <c r="E30" s="334"/>
      <c r="F30" s="335"/>
      <c r="G30" s="221"/>
      <c r="H30" s="222"/>
      <c r="N30" s="203"/>
    </row>
    <row r="31" spans="1:45" x14ac:dyDescent="0.2">
      <c r="A31" s="213" t="s">
        <v>259</v>
      </c>
      <c r="B31" s="214">
        <v>0</v>
      </c>
      <c r="N31" s="203"/>
    </row>
    <row r="32" spans="1:45" x14ac:dyDescent="0.2">
      <c r="A32" s="213" t="s">
        <v>279</v>
      </c>
      <c r="B32" s="214">
        <v>1</v>
      </c>
      <c r="N32" s="203"/>
    </row>
    <row r="33" spans="1:31" x14ac:dyDescent="0.2">
      <c r="A33" s="213" t="s">
        <v>278</v>
      </c>
      <c r="B33" s="214">
        <v>1</v>
      </c>
      <c r="N33" s="203"/>
    </row>
    <row r="34" spans="1:31" x14ac:dyDescent="0.2">
      <c r="A34" s="223" t="s">
        <v>567</v>
      </c>
      <c r="B34" s="214">
        <f>B24*0.03</f>
        <v>42456.036599999999</v>
      </c>
      <c r="N34" s="203"/>
    </row>
    <row r="35" spans="1:31" ht="13.5" thickBot="1" x14ac:dyDescent="0.25">
      <c r="A35" s="215" t="s">
        <v>253</v>
      </c>
      <c r="B35" s="224">
        <v>0.2</v>
      </c>
      <c r="N35" s="203"/>
    </row>
    <row r="36" spans="1:31" x14ac:dyDescent="0.2">
      <c r="A36" s="212" t="s">
        <v>428</v>
      </c>
      <c r="B36" s="225">
        <v>0</v>
      </c>
      <c r="N36" s="203"/>
    </row>
    <row r="37" spans="1:31" x14ac:dyDescent="0.2">
      <c r="A37" s="213" t="s">
        <v>277</v>
      </c>
      <c r="B37" s="214"/>
      <c r="N37" s="203"/>
    </row>
    <row r="38" spans="1:31" ht="13.5" thickBot="1" x14ac:dyDescent="0.25">
      <c r="A38" s="223" t="s">
        <v>276</v>
      </c>
      <c r="B38" s="226"/>
      <c r="N38" s="203"/>
    </row>
    <row r="39" spans="1:31" x14ac:dyDescent="0.2">
      <c r="A39" s="227" t="s">
        <v>429</v>
      </c>
      <c r="B39" s="228">
        <v>1</v>
      </c>
      <c r="N39" s="203"/>
    </row>
    <row r="40" spans="1:31" x14ac:dyDescent="0.2">
      <c r="A40" s="229" t="s">
        <v>275</v>
      </c>
      <c r="B40" s="230"/>
      <c r="N40" s="203"/>
    </row>
    <row r="41" spans="1:31" x14ac:dyDescent="0.2">
      <c r="A41" s="229" t="s">
        <v>274</v>
      </c>
      <c r="B41" s="231"/>
      <c r="N41" s="203"/>
    </row>
    <row r="42" spans="1:31" x14ac:dyDescent="0.2">
      <c r="A42" s="229" t="s">
        <v>273</v>
      </c>
      <c r="B42" s="231">
        <v>0</v>
      </c>
      <c r="N42" s="203"/>
    </row>
    <row r="43" spans="1:31" x14ac:dyDescent="0.2">
      <c r="A43" s="229" t="s">
        <v>272</v>
      </c>
      <c r="B43" s="232">
        <v>9.8699999999999996E-2</v>
      </c>
      <c r="N43" s="203"/>
    </row>
    <row r="44" spans="1:31" x14ac:dyDescent="0.2">
      <c r="A44" s="229" t="s">
        <v>271</v>
      </c>
      <c r="B44" s="233">
        <v>1</v>
      </c>
      <c r="N44" s="203"/>
    </row>
    <row r="45" spans="1:31" ht="13.5" thickBot="1" x14ac:dyDescent="0.25">
      <c r="A45" s="234" t="s">
        <v>568</v>
      </c>
      <c r="B45" s="233">
        <f>B44*B43+B42*B41*(1-B35)</f>
        <v>9.8699999999999996E-2</v>
      </c>
      <c r="C45" s="235"/>
      <c r="N45" s="203"/>
    </row>
    <row r="46" spans="1:31" x14ac:dyDescent="0.2">
      <c r="A46" s="236" t="s">
        <v>270</v>
      </c>
      <c r="B46" s="237">
        <v>1</v>
      </c>
      <c r="C46" s="237">
        <v>2</v>
      </c>
      <c r="D46" s="237">
        <v>3</v>
      </c>
      <c r="E46" s="237">
        <v>4</v>
      </c>
      <c r="F46" s="237">
        <v>5</v>
      </c>
      <c r="G46" s="237">
        <v>6</v>
      </c>
      <c r="H46" s="237">
        <v>7</v>
      </c>
      <c r="I46" s="237">
        <v>8</v>
      </c>
      <c r="J46" s="237">
        <v>9</v>
      </c>
      <c r="K46" s="237">
        <v>10</v>
      </c>
      <c r="L46" s="237">
        <v>11</v>
      </c>
      <c r="M46" s="237">
        <v>12</v>
      </c>
      <c r="N46" s="237">
        <v>13</v>
      </c>
      <c r="O46" s="237">
        <v>14</v>
      </c>
      <c r="P46" s="237">
        <v>15</v>
      </c>
      <c r="Q46" s="237">
        <v>16</v>
      </c>
      <c r="R46" s="237">
        <v>17</v>
      </c>
      <c r="S46" s="237">
        <v>18</v>
      </c>
      <c r="T46" s="237">
        <v>19</v>
      </c>
      <c r="U46" s="237">
        <v>20</v>
      </c>
      <c r="V46" s="237">
        <v>21</v>
      </c>
      <c r="W46" s="237">
        <v>22</v>
      </c>
      <c r="X46" s="237">
        <v>23</v>
      </c>
      <c r="Y46" s="237">
        <v>24</v>
      </c>
      <c r="Z46" s="237">
        <v>25</v>
      </c>
      <c r="AA46" s="237">
        <v>26</v>
      </c>
      <c r="AB46" s="237">
        <v>27</v>
      </c>
      <c r="AC46" s="238">
        <v>28</v>
      </c>
      <c r="AD46" s="238">
        <v>29</v>
      </c>
      <c r="AE46" s="238">
        <v>30</v>
      </c>
    </row>
    <row r="47" spans="1:31" x14ac:dyDescent="0.2">
      <c r="A47" s="239" t="s">
        <v>269</v>
      </c>
      <c r="B47" s="240">
        <v>5.6000000000000001E-2</v>
      </c>
      <c r="C47" s="240">
        <v>4.9000000000000002E-2</v>
      </c>
      <c r="D47" s="240">
        <v>0.13900000000000001</v>
      </c>
      <c r="E47" s="240">
        <v>5.8999999999999997E-2</v>
      </c>
      <c r="F47" s="241">
        <v>5.2999999999999999E-2</v>
      </c>
      <c r="G47" s="241">
        <v>4.8000000000000001E-2</v>
      </c>
      <c r="H47" s="241">
        <v>4.7E-2</v>
      </c>
      <c r="I47" s="241">
        <v>4.7E-2</v>
      </c>
      <c r="J47" s="241">
        <v>4.7E-2</v>
      </c>
      <c r="K47" s="241">
        <v>4.7E-2</v>
      </c>
      <c r="L47" s="241">
        <v>4.7E-2</v>
      </c>
      <c r="M47" s="241">
        <v>4.7E-2</v>
      </c>
      <c r="N47" s="241">
        <v>4.7E-2</v>
      </c>
      <c r="O47" s="241">
        <v>4.7E-2</v>
      </c>
      <c r="P47" s="241">
        <v>4.7E-2</v>
      </c>
      <c r="Q47" s="241">
        <v>4.7E-2</v>
      </c>
      <c r="R47" s="241">
        <v>4.7E-2</v>
      </c>
      <c r="S47" s="241">
        <v>4.7E-2</v>
      </c>
      <c r="T47" s="241">
        <v>4.7E-2</v>
      </c>
      <c r="U47" s="241">
        <v>4.7E-2</v>
      </c>
      <c r="V47" s="241">
        <v>4.7E-2</v>
      </c>
      <c r="W47" s="241">
        <v>4.7E-2</v>
      </c>
      <c r="X47" s="241">
        <v>4.7E-2</v>
      </c>
      <c r="Y47" s="241">
        <v>4.7E-2</v>
      </c>
      <c r="Z47" s="241">
        <v>4.7E-2</v>
      </c>
      <c r="AA47" s="241">
        <v>4.7E-2</v>
      </c>
      <c r="AB47" s="241">
        <v>4.7E-2</v>
      </c>
      <c r="AC47" s="241">
        <v>4.7E-2</v>
      </c>
      <c r="AD47" s="241">
        <v>4.7E-2</v>
      </c>
      <c r="AE47" s="241">
        <v>4.7E-2</v>
      </c>
    </row>
    <row r="48" spans="1:31" x14ac:dyDescent="0.2">
      <c r="A48" s="239" t="s">
        <v>268</v>
      </c>
      <c r="B48" s="241">
        <f>B47</f>
        <v>5.6000000000000001E-2</v>
      </c>
      <c r="C48" s="241">
        <f t="shared" ref="C48:AE48" si="0">(1+B48)*(1+C47)-1</f>
        <v>0.10774400000000006</v>
      </c>
      <c r="D48" s="241">
        <f t="shared" si="0"/>
        <v>0.26172041600000018</v>
      </c>
      <c r="E48" s="241">
        <f t="shared" si="0"/>
        <v>0.33616192054400007</v>
      </c>
      <c r="F48" s="241">
        <f t="shared" si="0"/>
        <v>0.40697850233283206</v>
      </c>
      <c r="G48" s="241">
        <f t="shared" si="0"/>
        <v>0.47451347044480796</v>
      </c>
      <c r="H48" s="241">
        <f t="shared" si="0"/>
        <v>0.54381560355571379</v>
      </c>
      <c r="I48" s="241">
        <f t="shared" si="0"/>
        <v>0.61637493692283218</v>
      </c>
      <c r="J48" s="241">
        <f t="shared" si="0"/>
        <v>0.69234455895820513</v>
      </c>
      <c r="K48" s="241">
        <f t="shared" si="0"/>
        <v>0.77188475322924055</v>
      </c>
      <c r="L48" s="241">
        <f t="shared" si="0"/>
        <v>0.85516333663101474</v>
      </c>
      <c r="M48" s="241">
        <f t="shared" si="0"/>
        <v>0.94235601345267228</v>
      </c>
      <c r="N48" s="241">
        <f t="shared" si="0"/>
        <v>1.0336467460849477</v>
      </c>
      <c r="O48" s="241">
        <f t="shared" si="0"/>
        <v>1.1292281431509399</v>
      </c>
      <c r="P48" s="241">
        <f t="shared" si="0"/>
        <v>1.2293018658790338</v>
      </c>
      <c r="Q48" s="241">
        <f t="shared" si="0"/>
        <v>1.3340790535753482</v>
      </c>
      <c r="R48" s="241">
        <f t="shared" si="0"/>
        <v>1.4437807690933893</v>
      </c>
      <c r="S48" s="241">
        <f t="shared" si="0"/>
        <v>1.5586384652407785</v>
      </c>
      <c r="T48" s="241">
        <f t="shared" si="0"/>
        <v>1.6788944731070949</v>
      </c>
      <c r="U48" s="241">
        <f t="shared" si="0"/>
        <v>1.804802513343128</v>
      </c>
      <c r="V48" s="241">
        <f t="shared" si="0"/>
        <v>1.9366282314702548</v>
      </c>
      <c r="W48" s="241">
        <f t="shared" si="0"/>
        <v>2.0746497583493566</v>
      </c>
      <c r="X48" s="241">
        <f t="shared" si="0"/>
        <v>2.2191582969917762</v>
      </c>
      <c r="Y48" s="241">
        <f t="shared" si="0"/>
        <v>2.3704587369503893</v>
      </c>
      <c r="Z48" s="241">
        <f t="shared" si="0"/>
        <v>2.5288702975870576</v>
      </c>
      <c r="AA48" s="241">
        <f t="shared" si="0"/>
        <v>2.6947272015736492</v>
      </c>
      <c r="AB48" s="241">
        <f t="shared" si="0"/>
        <v>2.8683793800476103</v>
      </c>
      <c r="AC48" s="241">
        <f t="shared" si="0"/>
        <v>3.050193210909848</v>
      </c>
      <c r="AD48" s="241">
        <f t="shared" si="0"/>
        <v>3.2405522918226106</v>
      </c>
      <c r="AE48" s="241">
        <f t="shared" si="0"/>
        <v>3.4398582495382728</v>
      </c>
    </row>
    <row r="49" spans="1:31" ht="13.5" thickBot="1" x14ac:dyDescent="0.25">
      <c r="A49" s="242" t="s">
        <v>430</v>
      </c>
      <c r="B49" s="243">
        <f>B24*1.2/2*0</f>
        <v>0</v>
      </c>
      <c r="C49" s="243">
        <f>8.829*1000*0.6</f>
        <v>5297.4</v>
      </c>
      <c r="D49" s="243">
        <v>0</v>
      </c>
      <c r="E49" s="243">
        <v>0</v>
      </c>
      <c r="F49" s="243">
        <v>0</v>
      </c>
      <c r="G49" s="243">
        <v>0</v>
      </c>
      <c r="H49" s="243">
        <v>0</v>
      </c>
      <c r="I49" s="243">
        <v>0</v>
      </c>
      <c r="J49" s="243">
        <v>0</v>
      </c>
      <c r="K49" s="243">
        <v>0</v>
      </c>
      <c r="L49" s="243">
        <v>0</v>
      </c>
      <c r="M49" s="243">
        <v>0</v>
      </c>
      <c r="N49" s="243">
        <v>0</v>
      </c>
      <c r="O49" s="243">
        <v>0</v>
      </c>
      <c r="P49" s="243">
        <v>0</v>
      </c>
      <c r="Q49" s="243">
        <v>0</v>
      </c>
      <c r="R49" s="243">
        <v>0</v>
      </c>
      <c r="S49" s="243">
        <v>0</v>
      </c>
      <c r="T49" s="243">
        <v>0</v>
      </c>
      <c r="U49" s="243">
        <v>0</v>
      </c>
      <c r="V49" s="243">
        <v>0</v>
      </c>
      <c r="W49" s="243">
        <v>0</v>
      </c>
      <c r="X49" s="243">
        <v>0</v>
      </c>
      <c r="Y49" s="243">
        <v>0</v>
      </c>
      <c r="Z49" s="243">
        <v>0</v>
      </c>
      <c r="AA49" s="243">
        <v>0</v>
      </c>
      <c r="AB49" s="243">
        <v>0</v>
      </c>
      <c r="AC49" s="243">
        <v>0</v>
      </c>
      <c r="AD49" s="243">
        <v>0</v>
      </c>
      <c r="AE49" s="243">
        <v>0</v>
      </c>
    </row>
    <row r="50" spans="1:31" ht="13.5" thickBot="1" x14ac:dyDescent="0.25">
      <c r="A50" s="244"/>
      <c r="N50" s="203"/>
      <c r="AC50" s="245"/>
      <c r="AD50" s="245"/>
      <c r="AE50" s="245"/>
    </row>
    <row r="51" spans="1:31" x14ac:dyDescent="0.2">
      <c r="A51" s="246" t="s">
        <v>267</v>
      </c>
      <c r="B51" s="237">
        <v>1</v>
      </c>
      <c r="C51" s="237">
        <v>2</v>
      </c>
      <c r="D51" s="237">
        <v>3</v>
      </c>
      <c r="E51" s="237">
        <v>4</v>
      </c>
      <c r="F51" s="237">
        <v>5</v>
      </c>
      <c r="G51" s="237">
        <v>6</v>
      </c>
      <c r="H51" s="237">
        <v>7</v>
      </c>
      <c r="I51" s="237">
        <v>8</v>
      </c>
      <c r="J51" s="237">
        <v>9</v>
      </c>
      <c r="K51" s="237">
        <v>10</v>
      </c>
      <c r="L51" s="237">
        <v>11</v>
      </c>
      <c r="M51" s="237">
        <v>12</v>
      </c>
      <c r="N51" s="237">
        <v>13</v>
      </c>
      <c r="O51" s="237">
        <v>14</v>
      </c>
      <c r="P51" s="237">
        <v>15</v>
      </c>
      <c r="Q51" s="237">
        <v>16</v>
      </c>
      <c r="R51" s="237">
        <v>17</v>
      </c>
      <c r="S51" s="237">
        <v>18</v>
      </c>
      <c r="T51" s="237">
        <v>19</v>
      </c>
      <c r="U51" s="237">
        <v>20</v>
      </c>
      <c r="V51" s="237">
        <v>21</v>
      </c>
      <c r="W51" s="237">
        <v>22</v>
      </c>
      <c r="X51" s="237">
        <v>23</v>
      </c>
      <c r="Y51" s="237">
        <v>24</v>
      </c>
      <c r="Z51" s="237">
        <v>25</v>
      </c>
      <c r="AA51" s="237">
        <v>26</v>
      </c>
      <c r="AB51" s="237">
        <v>27</v>
      </c>
      <c r="AC51" s="237">
        <v>28</v>
      </c>
      <c r="AD51" s="237">
        <v>29</v>
      </c>
      <c r="AE51" s="237">
        <v>30</v>
      </c>
    </row>
    <row r="52" spans="1:31" x14ac:dyDescent="0.2">
      <c r="A52" s="239" t="s">
        <v>266</v>
      </c>
      <c r="B52" s="247">
        <v>0</v>
      </c>
      <c r="C52" s="247">
        <v>0</v>
      </c>
      <c r="D52" s="247">
        <v>0</v>
      </c>
      <c r="E52" s="247">
        <v>0</v>
      </c>
      <c r="F52" s="247">
        <v>0</v>
      </c>
      <c r="G52" s="247">
        <v>0</v>
      </c>
      <c r="H52" s="247">
        <v>0</v>
      </c>
      <c r="I52" s="247">
        <v>0</v>
      </c>
      <c r="J52" s="247">
        <v>0</v>
      </c>
      <c r="K52" s="247">
        <v>0</v>
      </c>
      <c r="L52" s="247">
        <v>0</v>
      </c>
      <c r="M52" s="247">
        <v>0</v>
      </c>
      <c r="N52" s="247">
        <v>0</v>
      </c>
      <c r="O52" s="247">
        <v>0</v>
      </c>
      <c r="P52" s="247">
        <v>0</v>
      </c>
      <c r="Q52" s="247">
        <v>0</v>
      </c>
      <c r="R52" s="247">
        <v>0</v>
      </c>
      <c r="S52" s="247">
        <v>0</v>
      </c>
      <c r="T52" s="247">
        <v>0</v>
      </c>
      <c r="U52" s="247">
        <v>0</v>
      </c>
      <c r="V52" s="247">
        <v>0</v>
      </c>
      <c r="W52" s="247">
        <v>0</v>
      </c>
      <c r="X52" s="247">
        <v>0</v>
      </c>
      <c r="Y52" s="247">
        <v>0</v>
      </c>
      <c r="Z52" s="247">
        <v>0</v>
      </c>
      <c r="AA52" s="247">
        <v>0</v>
      </c>
      <c r="AB52" s="247">
        <v>0</v>
      </c>
      <c r="AC52" s="248">
        <v>0</v>
      </c>
      <c r="AD52" s="248">
        <v>0</v>
      </c>
      <c r="AE52" s="248">
        <v>0</v>
      </c>
    </row>
    <row r="53" spans="1:31" x14ac:dyDescent="0.2">
      <c r="A53" s="239" t="s">
        <v>265</v>
      </c>
      <c r="B53" s="247">
        <v>0</v>
      </c>
      <c r="C53" s="247">
        <v>0</v>
      </c>
      <c r="D53" s="247">
        <v>0</v>
      </c>
      <c r="E53" s="247">
        <v>0</v>
      </c>
      <c r="F53" s="247">
        <v>0</v>
      </c>
      <c r="G53" s="247">
        <v>0</v>
      </c>
      <c r="H53" s="247">
        <v>0</v>
      </c>
      <c r="I53" s="247">
        <v>0</v>
      </c>
      <c r="J53" s="247">
        <v>0</v>
      </c>
      <c r="K53" s="247">
        <v>0</v>
      </c>
      <c r="L53" s="247">
        <v>0</v>
      </c>
      <c r="M53" s="247">
        <v>0</v>
      </c>
      <c r="N53" s="247">
        <v>0</v>
      </c>
      <c r="O53" s="247">
        <v>0</v>
      </c>
      <c r="P53" s="247">
        <v>0</v>
      </c>
      <c r="Q53" s="247">
        <v>0</v>
      </c>
      <c r="R53" s="247">
        <v>0</v>
      </c>
      <c r="S53" s="247">
        <v>0</v>
      </c>
      <c r="T53" s="247">
        <v>0</v>
      </c>
      <c r="U53" s="247">
        <v>0</v>
      </c>
      <c r="V53" s="247">
        <v>0</v>
      </c>
      <c r="W53" s="247">
        <v>0</v>
      </c>
      <c r="X53" s="247">
        <v>0</v>
      </c>
      <c r="Y53" s="247">
        <v>0</v>
      </c>
      <c r="Z53" s="247">
        <v>0</v>
      </c>
      <c r="AA53" s="247">
        <v>0</v>
      </c>
      <c r="AB53" s="247">
        <v>0</v>
      </c>
      <c r="AC53" s="248">
        <v>0</v>
      </c>
      <c r="AD53" s="248">
        <v>0</v>
      </c>
      <c r="AE53" s="248">
        <v>0</v>
      </c>
    </row>
    <row r="54" spans="1:31" x14ac:dyDescent="0.2">
      <c r="A54" s="239" t="s">
        <v>264</v>
      </c>
      <c r="B54" s="247">
        <v>0</v>
      </c>
      <c r="C54" s="247">
        <v>0</v>
      </c>
      <c r="D54" s="247">
        <v>0</v>
      </c>
      <c r="E54" s="247">
        <v>0</v>
      </c>
      <c r="F54" s="247">
        <v>0</v>
      </c>
      <c r="G54" s="247">
        <v>0</v>
      </c>
      <c r="H54" s="247">
        <v>0</v>
      </c>
      <c r="I54" s="247">
        <v>0</v>
      </c>
      <c r="J54" s="247">
        <v>0</v>
      </c>
      <c r="K54" s="247">
        <v>0</v>
      </c>
      <c r="L54" s="247">
        <v>0</v>
      </c>
      <c r="M54" s="247">
        <v>0</v>
      </c>
      <c r="N54" s="247">
        <v>0</v>
      </c>
      <c r="O54" s="247">
        <v>0</v>
      </c>
      <c r="P54" s="247">
        <v>0</v>
      </c>
      <c r="Q54" s="247">
        <v>0</v>
      </c>
      <c r="R54" s="247">
        <v>0</v>
      </c>
      <c r="S54" s="247">
        <v>0</v>
      </c>
      <c r="T54" s="247">
        <v>0</v>
      </c>
      <c r="U54" s="247">
        <v>0</v>
      </c>
      <c r="V54" s="247">
        <v>0</v>
      </c>
      <c r="W54" s="247">
        <v>0</v>
      </c>
      <c r="X54" s="247">
        <v>0</v>
      </c>
      <c r="Y54" s="247">
        <v>0</v>
      </c>
      <c r="Z54" s="247">
        <v>0</v>
      </c>
      <c r="AA54" s="247">
        <v>0</v>
      </c>
      <c r="AB54" s="247">
        <v>0</v>
      </c>
      <c r="AC54" s="248">
        <v>0</v>
      </c>
      <c r="AD54" s="248">
        <v>0</v>
      </c>
      <c r="AE54" s="248">
        <v>0</v>
      </c>
    </row>
    <row r="55" spans="1:31" ht="13.5" thickBot="1" x14ac:dyDescent="0.25">
      <c r="A55" s="242" t="s">
        <v>263</v>
      </c>
      <c r="B55" s="249">
        <v>0</v>
      </c>
      <c r="C55" s="249">
        <v>0</v>
      </c>
      <c r="D55" s="249">
        <v>0</v>
      </c>
      <c r="E55" s="249">
        <v>0</v>
      </c>
      <c r="F55" s="249">
        <v>0</v>
      </c>
      <c r="G55" s="249">
        <v>0</v>
      </c>
      <c r="H55" s="249">
        <v>0</v>
      </c>
      <c r="I55" s="249">
        <v>0</v>
      </c>
      <c r="J55" s="249">
        <v>0</v>
      </c>
      <c r="K55" s="249">
        <v>0</v>
      </c>
      <c r="L55" s="249">
        <v>0</v>
      </c>
      <c r="M55" s="249">
        <v>0</v>
      </c>
      <c r="N55" s="249">
        <v>0</v>
      </c>
      <c r="O55" s="249">
        <v>0</v>
      </c>
      <c r="P55" s="249">
        <v>0</v>
      </c>
      <c r="Q55" s="249">
        <v>0</v>
      </c>
      <c r="R55" s="249">
        <v>0</v>
      </c>
      <c r="S55" s="249">
        <v>0</v>
      </c>
      <c r="T55" s="249">
        <v>0</v>
      </c>
      <c r="U55" s="249">
        <v>0</v>
      </c>
      <c r="V55" s="249">
        <v>0</v>
      </c>
      <c r="W55" s="249">
        <v>0</v>
      </c>
      <c r="X55" s="249">
        <v>0</v>
      </c>
      <c r="Y55" s="249">
        <v>0</v>
      </c>
      <c r="Z55" s="249">
        <v>0</v>
      </c>
      <c r="AA55" s="249">
        <v>0</v>
      </c>
      <c r="AB55" s="249">
        <v>0</v>
      </c>
      <c r="AC55" s="250">
        <v>0</v>
      </c>
      <c r="AD55" s="250">
        <v>0</v>
      </c>
      <c r="AE55" s="250">
        <v>0</v>
      </c>
    </row>
    <row r="56" spans="1:31" ht="13.5" thickBot="1" x14ac:dyDescent="0.25">
      <c r="A56" s="244"/>
      <c r="B56" s="251"/>
      <c r="C56" s="251"/>
      <c r="D56" s="251"/>
      <c r="E56" s="251"/>
      <c r="F56" s="251"/>
      <c r="G56" s="251"/>
      <c r="H56" s="251"/>
      <c r="I56" s="251"/>
      <c r="J56" s="251"/>
      <c r="K56" s="251"/>
      <c r="L56" s="251"/>
      <c r="M56" s="251"/>
      <c r="N56" s="251"/>
      <c r="O56" s="251"/>
      <c r="P56" s="251"/>
      <c r="Q56" s="251"/>
      <c r="R56" s="251"/>
      <c r="S56" s="251"/>
      <c r="T56" s="251"/>
      <c r="U56" s="251"/>
      <c r="V56" s="251"/>
      <c r="W56" s="251"/>
      <c r="X56" s="251"/>
      <c r="Y56" s="251"/>
      <c r="Z56" s="251"/>
      <c r="AA56" s="251"/>
      <c r="AB56" s="251"/>
      <c r="AC56" s="252"/>
      <c r="AD56" s="252"/>
      <c r="AE56" s="252"/>
    </row>
    <row r="57" spans="1:31" ht="13.5" thickBot="1" x14ac:dyDescent="0.25">
      <c r="A57" s="246" t="s">
        <v>431</v>
      </c>
      <c r="B57" s="237">
        <v>1</v>
      </c>
      <c r="C57" s="237">
        <v>2</v>
      </c>
      <c r="D57" s="237">
        <v>3</v>
      </c>
      <c r="E57" s="237">
        <v>4</v>
      </c>
      <c r="F57" s="237">
        <v>5</v>
      </c>
      <c r="G57" s="237">
        <v>6</v>
      </c>
      <c r="H57" s="237">
        <v>7</v>
      </c>
      <c r="I57" s="237">
        <v>8</v>
      </c>
      <c r="J57" s="237">
        <v>9</v>
      </c>
      <c r="K57" s="237">
        <v>10</v>
      </c>
      <c r="L57" s="237">
        <v>11</v>
      </c>
      <c r="M57" s="237">
        <v>12</v>
      </c>
      <c r="N57" s="237">
        <v>13</v>
      </c>
      <c r="O57" s="237">
        <v>14</v>
      </c>
      <c r="P57" s="237">
        <v>15</v>
      </c>
      <c r="Q57" s="237">
        <v>16</v>
      </c>
      <c r="R57" s="237">
        <v>17</v>
      </c>
      <c r="S57" s="237">
        <v>18</v>
      </c>
      <c r="T57" s="237">
        <v>19</v>
      </c>
      <c r="U57" s="237">
        <v>20</v>
      </c>
      <c r="V57" s="237">
        <v>21</v>
      </c>
      <c r="W57" s="237">
        <v>22</v>
      </c>
      <c r="X57" s="237">
        <v>23</v>
      </c>
      <c r="Y57" s="237">
        <v>24</v>
      </c>
      <c r="Z57" s="237">
        <v>25</v>
      </c>
      <c r="AA57" s="237">
        <v>26</v>
      </c>
      <c r="AB57" s="237">
        <v>27</v>
      </c>
      <c r="AC57" s="237">
        <v>28</v>
      </c>
      <c r="AD57" s="237">
        <v>29</v>
      </c>
      <c r="AE57" s="237">
        <v>30</v>
      </c>
    </row>
    <row r="58" spans="1:31" x14ac:dyDescent="0.2">
      <c r="A58" s="246" t="s">
        <v>262</v>
      </c>
      <c r="B58" s="237">
        <f t="shared" ref="B58:AE58" si="1">B49*$B$27</f>
        <v>0</v>
      </c>
      <c r="C58" s="237">
        <f t="shared" si="1"/>
        <v>5297.4</v>
      </c>
      <c r="D58" s="237">
        <f t="shared" si="1"/>
        <v>0</v>
      </c>
      <c r="E58" s="237">
        <f t="shared" si="1"/>
        <v>0</v>
      </c>
      <c r="F58" s="237">
        <f t="shared" si="1"/>
        <v>0</v>
      </c>
      <c r="G58" s="237">
        <f t="shared" si="1"/>
        <v>0</v>
      </c>
      <c r="H58" s="237">
        <f t="shared" si="1"/>
        <v>0</v>
      </c>
      <c r="I58" s="237">
        <f t="shared" si="1"/>
        <v>0</v>
      </c>
      <c r="J58" s="237">
        <f t="shared" si="1"/>
        <v>0</v>
      </c>
      <c r="K58" s="237">
        <f t="shared" si="1"/>
        <v>0</v>
      </c>
      <c r="L58" s="237">
        <f t="shared" si="1"/>
        <v>0</v>
      </c>
      <c r="M58" s="237">
        <f t="shared" si="1"/>
        <v>0</v>
      </c>
      <c r="N58" s="237">
        <f t="shared" si="1"/>
        <v>0</v>
      </c>
      <c r="O58" s="237">
        <f t="shared" si="1"/>
        <v>0</v>
      </c>
      <c r="P58" s="237">
        <f t="shared" si="1"/>
        <v>0</v>
      </c>
      <c r="Q58" s="237">
        <f t="shared" si="1"/>
        <v>0</v>
      </c>
      <c r="R58" s="237">
        <f t="shared" si="1"/>
        <v>0</v>
      </c>
      <c r="S58" s="237">
        <f t="shared" si="1"/>
        <v>0</v>
      </c>
      <c r="T58" s="237">
        <f t="shared" si="1"/>
        <v>0</v>
      </c>
      <c r="U58" s="237">
        <f t="shared" si="1"/>
        <v>0</v>
      </c>
      <c r="V58" s="237">
        <f t="shared" si="1"/>
        <v>0</v>
      </c>
      <c r="W58" s="237">
        <f t="shared" si="1"/>
        <v>0</v>
      </c>
      <c r="X58" s="237">
        <f t="shared" si="1"/>
        <v>0</v>
      </c>
      <c r="Y58" s="237">
        <f t="shared" si="1"/>
        <v>0</v>
      </c>
      <c r="Z58" s="237">
        <f t="shared" si="1"/>
        <v>0</v>
      </c>
      <c r="AA58" s="237">
        <f t="shared" si="1"/>
        <v>0</v>
      </c>
      <c r="AB58" s="237">
        <f t="shared" si="1"/>
        <v>0</v>
      </c>
      <c r="AC58" s="237">
        <f t="shared" si="1"/>
        <v>0</v>
      </c>
      <c r="AD58" s="237">
        <f t="shared" si="1"/>
        <v>0</v>
      </c>
      <c r="AE58" s="237">
        <f t="shared" si="1"/>
        <v>0</v>
      </c>
    </row>
    <row r="59" spans="1:31" x14ac:dyDescent="0.2">
      <c r="A59" s="239" t="s">
        <v>261</v>
      </c>
      <c r="B59" s="253">
        <f t="shared" ref="B59:AE59" si="2">SUM(B60:B65)</f>
        <v>0</v>
      </c>
      <c r="C59" s="253">
        <f t="shared" si="2"/>
        <v>-30096.612611999997</v>
      </c>
      <c r="D59" s="253">
        <f t="shared" si="2"/>
        <v>-29058.798383999994</v>
      </c>
      <c r="E59" s="253">
        <f t="shared" si="2"/>
        <v>-28020.984155999995</v>
      </c>
      <c r="F59" s="253">
        <f t="shared" si="2"/>
        <v>-26983.169927999992</v>
      </c>
      <c r="G59" s="253">
        <f t="shared" si="2"/>
        <v>-25945.355699999989</v>
      </c>
      <c r="H59" s="253">
        <f t="shared" si="2"/>
        <v>-26322.742691999989</v>
      </c>
      <c r="I59" s="253">
        <f t="shared" si="2"/>
        <v>-23869.727243999987</v>
      </c>
      <c r="J59" s="253">
        <f t="shared" si="2"/>
        <v>19624.123584000012</v>
      </c>
      <c r="K59" s="253">
        <f t="shared" si="2"/>
        <v>-21794.098787999988</v>
      </c>
      <c r="L59" s="253">
        <f t="shared" si="2"/>
        <v>-20756.284559999989</v>
      </c>
      <c r="M59" s="253">
        <f t="shared" si="2"/>
        <v>-42550.38334800001</v>
      </c>
      <c r="N59" s="253">
        <f t="shared" si="2"/>
        <v>-20095.857323999993</v>
      </c>
      <c r="O59" s="253">
        <f t="shared" si="2"/>
        <v>-17642.841875999995</v>
      </c>
      <c r="P59" s="253">
        <f t="shared" si="2"/>
        <v>-16605.027647999996</v>
      </c>
      <c r="Q59" s="253">
        <f t="shared" si="2"/>
        <v>-15567.213419999996</v>
      </c>
      <c r="R59" s="253">
        <f t="shared" si="2"/>
        <v>27926.637408000002</v>
      </c>
      <c r="S59" s="253">
        <f t="shared" si="2"/>
        <v>-13491.584963999998</v>
      </c>
      <c r="T59" s="253">
        <f t="shared" si="2"/>
        <v>-13868.971956000001</v>
      </c>
      <c r="U59" s="253">
        <f t="shared" si="2"/>
        <v>-11415.956507999999</v>
      </c>
      <c r="V59" s="253">
        <f t="shared" si="2"/>
        <v>-10378.14228</v>
      </c>
      <c r="W59" s="253">
        <f t="shared" si="2"/>
        <v>-9340.3280519999989</v>
      </c>
      <c r="X59" s="253">
        <f t="shared" si="2"/>
        <v>-8302.5138239999997</v>
      </c>
      <c r="Y59" s="253">
        <f t="shared" si="2"/>
        <v>-7264.6995959999986</v>
      </c>
      <c r="Z59" s="253">
        <f t="shared" si="2"/>
        <v>34813.950012000001</v>
      </c>
      <c r="AA59" s="253">
        <f t="shared" si="2"/>
        <v>-5189.0711399999982</v>
      </c>
      <c r="AB59" s="253">
        <f t="shared" si="2"/>
        <v>-4151.256911999998</v>
      </c>
      <c r="AC59" s="253">
        <f t="shared" si="2"/>
        <v>-3113.4426839999978</v>
      </c>
      <c r="AD59" s="253">
        <f t="shared" si="2"/>
        <v>-2075.6284559999981</v>
      </c>
      <c r="AE59" s="253">
        <f t="shared" si="2"/>
        <v>-1037.8142279999984</v>
      </c>
    </row>
    <row r="60" spans="1:31" x14ac:dyDescent="0.2">
      <c r="A60" s="254" t="s">
        <v>260</v>
      </c>
      <c r="B60" s="247"/>
      <c r="C60" s="247"/>
      <c r="D60" s="247"/>
      <c r="E60" s="247"/>
      <c r="F60" s="247"/>
      <c r="G60" s="247"/>
      <c r="H60" s="247">
        <f>-B28</f>
        <v>-1415.2012199999999</v>
      </c>
      <c r="I60" s="253">
        <v>0</v>
      </c>
      <c r="J60" s="247"/>
      <c r="K60" s="247"/>
      <c r="L60" s="247"/>
      <c r="M60" s="247"/>
      <c r="N60" s="247">
        <f>H60</f>
        <v>-1415.2012199999999</v>
      </c>
      <c r="O60" s="247"/>
      <c r="P60" s="247"/>
      <c r="Q60" s="247"/>
      <c r="R60" s="247"/>
      <c r="S60" s="247"/>
      <c r="T60" s="247">
        <f>N60</f>
        <v>-1415.2012199999999</v>
      </c>
      <c r="U60" s="247"/>
      <c r="V60" s="247"/>
      <c r="W60" s="247"/>
      <c r="X60" s="247"/>
      <c r="Y60" s="247"/>
      <c r="Z60" s="247">
        <f>T60</f>
        <v>-1415.2012199999999</v>
      </c>
      <c r="AA60" s="247"/>
      <c r="AB60" s="247"/>
      <c r="AC60" s="247"/>
      <c r="AD60" s="247"/>
      <c r="AE60" s="247"/>
    </row>
    <row r="61" spans="1:31" x14ac:dyDescent="0.2">
      <c r="A61" s="254" t="s">
        <v>259</v>
      </c>
      <c r="B61" s="247"/>
      <c r="C61" s="247"/>
      <c r="D61" s="247"/>
      <c r="E61" s="247"/>
      <c r="F61" s="247"/>
      <c r="G61" s="247"/>
      <c r="H61" s="247"/>
      <c r="I61" s="247"/>
      <c r="J61" s="247">
        <f>B34</f>
        <v>42456.036599999999</v>
      </c>
      <c r="K61" s="247"/>
      <c r="L61" s="247"/>
      <c r="M61" s="247"/>
      <c r="N61" s="247"/>
      <c r="O61" s="247"/>
      <c r="P61" s="247"/>
      <c r="Q61" s="247"/>
      <c r="R61" s="247">
        <f>J61</f>
        <v>42456.036599999999</v>
      </c>
      <c r="S61" s="247"/>
      <c r="T61" s="247"/>
      <c r="U61" s="247"/>
      <c r="V61" s="247"/>
      <c r="W61" s="247"/>
      <c r="X61" s="247"/>
      <c r="Y61" s="247"/>
      <c r="Z61" s="247">
        <f>R61</f>
        <v>42456.036599999999</v>
      </c>
      <c r="AA61" s="255">
        <f>S61</f>
        <v>0</v>
      </c>
      <c r="AB61" s="247"/>
      <c r="AC61" s="247"/>
      <c r="AD61" s="247"/>
      <c r="AE61" s="247"/>
    </row>
    <row r="62" spans="1:31" x14ac:dyDescent="0.2">
      <c r="A62" s="254" t="s">
        <v>567</v>
      </c>
      <c r="B62" s="247"/>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row>
    <row r="63" spans="1:31" x14ac:dyDescent="0.2">
      <c r="A63" s="254" t="s">
        <v>428</v>
      </c>
      <c r="B63" s="256">
        <v>0</v>
      </c>
      <c r="C63" s="256">
        <v>0</v>
      </c>
      <c r="D63" s="256">
        <v>0</v>
      </c>
      <c r="E63" s="256">
        <v>0</v>
      </c>
      <c r="F63" s="256">
        <v>0</v>
      </c>
      <c r="G63" s="256">
        <v>0</v>
      </c>
      <c r="H63" s="256">
        <v>0</v>
      </c>
      <c r="I63" s="256">
        <v>0</v>
      </c>
      <c r="J63" s="256">
        <v>0</v>
      </c>
      <c r="K63" s="256">
        <v>0</v>
      </c>
      <c r="L63" s="256">
        <v>0</v>
      </c>
      <c r="M63" s="256">
        <v>0</v>
      </c>
      <c r="N63" s="256">
        <v>0</v>
      </c>
      <c r="O63" s="256">
        <v>0</v>
      </c>
      <c r="P63" s="256">
        <v>0</v>
      </c>
      <c r="Q63" s="256">
        <v>0</v>
      </c>
      <c r="R63" s="256">
        <v>0</v>
      </c>
      <c r="S63" s="256">
        <v>0</v>
      </c>
      <c r="T63" s="256">
        <v>0</v>
      </c>
      <c r="U63" s="256">
        <v>0</v>
      </c>
      <c r="V63" s="256">
        <v>0</v>
      </c>
      <c r="W63" s="256">
        <v>0</v>
      </c>
      <c r="X63" s="256">
        <v>0</v>
      </c>
      <c r="Y63" s="256">
        <v>0</v>
      </c>
      <c r="Z63" s="256">
        <v>0</v>
      </c>
      <c r="AA63" s="256">
        <v>0</v>
      </c>
      <c r="AB63" s="256">
        <v>0</v>
      </c>
      <c r="AC63" s="256">
        <v>0</v>
      </c>
      <c r="AD63" s="256">
        <v>0</v>
      </c>
      <c r="AE63" s="256">
        <v>0</v>
      </c>
    </row>
    <row r="64" spans="1:31" x14ac:dyDescent="0.2">
      <c r="A64" s="254" t="s">
        <v>428</v>
      </c>
      <c r="B64" s="256">
        <v>0</v>
      </c>
      <c r="C64" s="256">
        <v>0</v>
      </c>
      <c r="D64" s="256">
        <v>0</v>
      </c>
      <c r="E64" s="256">
        <v>0</v>
      </c>
      <c r="F64" s="256">
        <v>0</v>
      </c>
      <c r="G64" s="256">
        <v>0</v>
      </c>
      <c r="H64" s="256">
        <v>0</v>
      </c>
      <c r="I64" s="256">
        <v>0</v>
      </c>
      <c r="J64" s="256">
        <v>0</v>
      </c>
      <c r="K64" s="256">
        <v>0</v>
      </c>
      <c r="L64" s="256">
        <v>0</v>
      </c>
      <c r="M64" s="256">
        <v>0</v>
      </c>
      <c r="N64" s="256">
        <v>0</v>
      </c>
      <c r="O64" s="256">
        <v>0</v>
      </c>
      <c r="P64" s="256">
        <v>0</v>
      </c>
      <c r="Q64" s="256">
        <v>0</v>
      </c>
      <c r="R64" s="256">
        <v>0</v>
      </c>
      <c r="S64" s="256">
        <v>0</v>
      </c>
      <c r="T64" s="256">
        <v>0</v>
      </c>
      <c r="U64" s="256">
        <v>0</v>
      </c>
      <c r="V64" s="256">
        <v>0</v>
      </c>
      <c r="W64" s="256">
        <v>0</v>
      </c>
      <c r="X64" s="256">
        <v>0</v>
      </c>
      <c r="Y64" s="256">
        <v>0</v>
      </c>
      <c r="Z64" s="256">
        <v>0</v>
      </c>
      <c r="AA64" s="256">
        <v>0</v>
      </c>
      <c r="AB64" s="256">
        <v>0</v>
      </c>
      <c r="AC64" s="256">
        <v>0</v>
      </c>
      <c r="AD64" s="256">
        <v>0</v>
      </c>
      <c r="AE64" s="256">
        <v>0</v>
      </c>
    </row>
    <row r="65" spans="1:31" x14ac:dyDescent="0.2">
      <c r="A65" s="254" t="s">
        <v>569</v>
      </c>
      <c r="B65" s="256">
        <v>0</v>
      </c>
      <c r="C65" s="256">
        <f>-($B$24+C67)*0.022</f>
        <v>-30096.612611999997</v>
      </c>
      <c r="D65" s="256">
        <f>-($B$24+D67+C67)*0.022</f>
        <v>-29058.798383999994</v>
      </c>
      <c r="E65" s="280">
        <f>-($B$24+E67+C67+D67)*0.022</f>
        <v>-28020.984155999995</v>
      </c>
      <c r="F65" s="280">
        <f>-($B$24+F67+D67+E67+C67)*0.022</f>
        <v>-26983.169927999992</v>
      </c>
      <c r="G65" s="280">
        <f>-($B$24+G67+E67+F67+D67+C67)*0.022</f>
        <v>-25945.355699999989</v>
      </c>
      <c r="H65" s="280">
        <f>-($B$24+H67+F67+G67+E67+C67+D67)*0.022</f>
        <v>-24907.54147199999</v>
      </c>
      <c r="I65" s="280">
        <f>-($B$24+C67+I67+G67+H67+F67+D67+E67)*0.022</f>
        <v>-23869.727243999987</v>
      </c>
      <c r="J65" s="280">
        <f>-($B$24+D67+J67+H67+I67+G67+E67+F67+C67)*0.022</f>
        <v>-22831.913015999988</v>
      </c>
      <c r="K65" s="280">
        <f>-($B$24+E67+K67+I67+J67+H67+F67+G67+C67+D67)*0.022</f>
        <v>-21794.098787999988</v>
      </c>
      <c r="L65" s="280">
        <f>-($B$24+F67+L67+J67+K67+I67+G67+H67+E67+D67+C67)*0.022</f>
        <v>-20756.284559999989</v>
      </c>
      <c r="M65" s="280">
        <f>(-$B$24+G67+M67+K67+L67+J67+H67+I67+F67+E67+D67+C67)*0.022</f>
        <v>-42550.38334800001</v>
      </c>
      <c r="N65" s="280">
        <f>-($B$24+H67+N67+L67+M67+K67+I67+J67+G67+F67+E67+C67+D67)*0.022</f>
        <v>-18680.656103999994</v>
      </c>
      <c r="O65" s="280">
        <f>-($B$24+I67+O67+M67+N67+L67+J67+K67+H67+G67+F67+D67+C67+E67)*0.022</f>
        <v>-17642.841875999995</v>
      </c>
      <c r="P65" s="280">
        <f>-($B$24+J67+P67+N67+O67+M67+K67+L67+I67+H67+G67+E67+F67+C67+D67)*0.022</f>
        <v>-16605.027647999996</v>
      </c>
      <c r="Q65" s="280">
        <f>-($B$24+K67+Q67+O67+P67+N67+L67+M67+J67+I67+H67+F67+G67+D67+C67+E67)*0.022</f>
        <v>-15567.213419999996</v>
      </c>
      <c r="R65" s="280">
        <f>-($B$24+L67+R67+P67+Q67+O67+M67+N67+K67+J67+I67+G67+H67+E67+D67+C67+F67)*0.022</f>
        <v>-14529.399191999997</v>
      </c>
      <c r="S65" s="280">
        <f>-($B$24+M67+S67+Q67+R67+P67+N67+O67+L67+K67+J67+H67+I67+F67+E67+D67+C67+G67)*0.022</f>
        <v>-13491.584963999998</v>
      </c>
      <c r="T65" s="280">
        <f>-($B$24+N67+T67+R67+S67+Q67+O67+P67+M67+L67+K67+I67+J67+G67+F67+E67+D67+C67+H67)*0.022</f>
        <v>-12453.770736</v>
      </c>
      <c r="U65" s="280">
        <f>-($B$24+O67+U67+S67+T67+R67+P67+Q67+N67+M67+L67+J67+K67+H67+G67+F67+E67+C67+D67++I67)*0.022</f>
        <v>-11415.956507999999</v>
      </c>
      <c r="V65" s="280">
        <f>-($B$24+P67+V67+T67+U67+S67+Q67+R67+O67+N67+M67+K67+L67+I67+H67+G67+F67+D67+E67+C67+J67)*0.022</f>
        <v>-10378.14228</v>
      </c>
      <c r="W65" s="280">
        <f>-($B$24+Q67+W67+U67+V67+T67+R67+S67+P67+O67+N67+L67+M67+J67+I67+H67+G67+E67+F67+D67+C67+K67)*0.022</f>
        <v>-9340.3280519999989</v>
      </c>
      <c r="X65" s="280">
        <f>-($B$24+R67+X67+V67+W67+U67+S67+T67+Q67+P67+O67+M67+N67+K67+J67+I67+H67+F67+G67+E67+D67+C67+L67)*0.022</f>
        <v>-8302.5138239999997</v>
      </c>
      <c r="Y65" s="280">
        <f>-($B$24+S67+Y67+W67+X67+V67+T67+U67+R67+Q67+P67+N67+O67+L67+K67+J67+I67+G67+H67+F67+E67+D67+C67+M67)*0.022</f>
        <v>-7264.6995959999986</v>
      </c>
      <c r="Z65" s="280">
        <f>-($B$24+T67+Z67+X67+Y67+W67+U67+V67+S67+R67+Q67+O67+P67+M67+L67+K67+J67+H67+I67+G67+F67+E67+D67+C67+N67)*0.022</f>
        <v>-6226.8853679999984</v>
      </c>
      <c r="AA65" s="280">
        <f>-($B$24+U67+AA67+Y67+Z67+X67+V67+W67+T67+S67+R67+P67+Q67+N67+M67+L67+K67+I67+J67+H67+G67+F67+E67+D67+C67+O67)*0.022</f>
        <v>-5189.0711399999982</v>
      </c>
      <c r="AB65" s="280">
        <f>-($B$24+V67+AB67+Z67+AA67+Y67+W67+X67+U67+T67+S67+Q67+R67+O67+N67+M67+L67+J67+K67+I67+H67+G67+F67+E67+D67+C67+P67)*0.022</f>
        <v>-4151.256911999998</v>
      </c>
      <c r="AC65" s="280">
        <f>-($B$24+W67+AC67+AA67+AB67+Z67+X67+Y67+V67+U67+T67+R67+S67+P67+O67+N67+M67+K67+L67+J67+I67+H67+G67+F67+E67+D67+C67+Q67)*0.022</f>
        <v>-3113.4426839999978</v>
      </c>
      <c r="AD65" s="280">
        <f>-($B$24+X67+AD67+AB67+AC67+AA67+Y67+Z67+W67+V67+U67+S67+T67+Q67+P67+O67+N67+L67+M67+K67+J67+I67+H67+G67+F67+E67+D67+C67+R67)*0.022</f>
        <v>-2075.6284559999981</v>
      </c>
      <c r="AE65" s="280">
        <f>-($B$24+Y67+AE67+AC67+AD67+AB67+Z67+AA67+X67+W67+V67+T67+U67+R67+Q67+P67+O67+M67+N67+L67+K67+J67+I67+H67+G67+F67+E67+D67+C67+S67)*0.022</f>
        <v>-1037.8142279999984</v>
      </c>
    </row>
    <row r="66" spans="1:31" x14ac:dyDescent="0.2">
      <c r="A66" s="257" t="s">
        <v>570</v>
      </c>
      <c r="B66" s="258">
        <f t="shared" ref="B66:AE66" si="3">B58+B59</f>
        <v>0</v>
      </c>
      <c r="C66" s="258">
        <f t="shared" si="3"/>
        <v>-24799.212611999996</v>
      </c>
      <c r="D66" s="258">
        <f t="shared" si="3"/>
        <v>-29058.798383999994</v>
      </c>
      <c r="E66" s="258">
        <f t="shared" si="3"/>
        <v>-28020.984155999995</v>
      </c>
      <c r="F66" s="258">
        <f t="shared" si="3"/>
        <v>-26983.169927999992</v>
      </c>
      <c r="G66" s="258">
        <f t="shared" si="3"/>
        <v>-25945.355699999989</v>
      </c>
      <c r="H66" s="258">
        <f t="shared" si="3"/>
        <v>-26322.742691999989</v>
      </c>
      <c r="I66" s="258">
        <f t="shared" si="3"/>
        <v>-23869.727243999987</v>
      </c>
      <c r="J66" s="258">
        <f t="shared" si="3"/>
        <v>19624.123584000012</v>
      </c>
      <c r="K66" s="258">
        <f t="shared" si="3"/>
        <v>-21794.098787999988</v>
      </c>
      <c r="L66" s="258">
        <f t="shared" si="3"/>
        <v>-20756.284559999989</v>
      </c>
      <c r="M66" s="258">
        <f t="shared" si="3"/>
        <v>-42550.38334800001</v>
      </c>
      <c r="N66" s="258">
        <f t="shared" si="3"/>
        <v>-20095.857323999993</v>
      </c>
      <c r="O66" s="258">
        <f t="shared" si="3"/>
        <v>-17642.841875999995</v>
      </c>
      <c r="P66" s="258">
        <f t="shared" si="3"/>
        <v>-16605.027647999996</v>
      </c>
      <c r="Q66" s="258">
        <f t="shared" si="3"/>
        <v>-15567.213419999996</v>
      </c>
      <c r="R66" s="258">
        <f t="shared" si="3"/>
        <v>27926.637408000002</v>
      </c>
      <c r="S66" s="258">
        <f t="shared" si="3"/>
        <v>-13491.584963999998</v>
      </c>
      <c r="T66" s="258">
        <f t="shared" si="3"/>
        <v>-13868.971956000001</v>
      </c>
      <c r="U66" s="258">
        <f t="shared" si="3"/>
        <v>-11415.956507999999</v>
      </c>
      <c r="V66" s="258">
        <f t="shared" si="3"/>
        <v>-10378.14228</v>
      </c>
      <c r="W66" s="258">
        <f t="shared" si="3"/>
        <v>-9340.3280519999989</v>
      </c>
      <c r="X66" s="258">
        <f t="shared" si="3"/>
        <v>-8302.5138239999997</v>
      </c>
      <c r="Y66" s="258">
        <f t="shared" si="3"/>
        <v>-7264.6995959999986</v>
      </c>
      <c r="Z66" s="258">
        <f t="shared" si="3"/>
        <v>34813.950012000001</v>
      </c>
      <c r="AA66" s="258">
        <f t="shared" si="3"/>
        <v>-5189.0711399999982</v>
      </c>
      <c r="AB66" s="258">
        <f t="shared" si="3"/>
        <v>-4151.256911999998</v>
      </c>
      <c r="AC66" s="258">
        <f t="shared" si="3"/>
        <v>-3113.4426839999978</v>
      </c>
      <c r="AD66" s="258">
        <f t="shared" si="3"/>
        <v>-2075.6284559999981</v>
      </c>
      <c r="AE66" s="258">
        <f t="shared" si="3"/>
        <v>-1037.8142279999984</v>
      </c>
    </row>
    <row r="67" spans="1:31" x14ac:dyDescent="0.2">
      <c r="A67" s="254" t="s">
        <v>255</v>
      </c>
      <c r="B67" s="259">
        <v>0</v>
      </c>
      <c r="C67" s="259">
        <f>-($B$24)*$B$27/$B$26</f>
        <v>-47173.373999999996</v>
      </c>
      <c r="D67" s="259">
        <f>C67</f>
        <v>-47173.373999999996</v>
      </c>
      <c r="E67" s="259">
        <f t="shared" ref="E67:AE67" si="4">D67</f>
        <v>-47173.373999999996</v>
      </c>
      <c r="F67" s="259">
        <f t="shared" si="4"/>
        <v>-47173.373999999996</v>
      </c>
      <c r="G67" s="259">
        <f t="shared" si="4"/>
        <v>-47173.373999999996</v>
      </c>
      <c r="H67" s="259">
        <f t="shared" si="4"/>
        <v>-47173.373999999996</v>
      </c>
      <c r="I67" s="259">
        <f t="shared" si="4"/>
        <v>-47173.373999999996</v>
      </c>
      <c r="J67" s="259">
        <f t="shared" si="4"/>
        <v>-47173.373999999996</v>
      </c>
      <c r="K67" s="259">
        <f t="shared" si="4"/>
        <v>-47173.373999999996</v>
      </c>
      <c r="L67" s="259">
        <f t="shared" si="4"/>
        <v>-47173.373999999996</v>
      </c>
      <c r="M67" s="259">
        <f t="shared" si="4"/>
        <v>-47173.373999999996</v>
      </c>
      <c r="N67" s="259">
        <f t="shared" si="4"/>
        <v>-47173.373999999996</v>
      </c>
      <c r="O67" s="259">
        <f t="shared" si="4"/>
        <v>-47173.373999999996</v>
      </c>
      <c r="P67" s="259">
        <f t="shared" si="4"/>
        <v>-47173.373999999996</v>
      </c>
      <c r="Q67" s="259">
        <f t="shared" si="4"/>
        <v>-47173.373999999996</v>
      </c>
      <c r="R67" s="259">
        <f t="shared" si="4"/>
        <v>-47173.373999999996</v>
      </c>
      <c r="S67" s="259">
        <f t="shared" si="4"/>
        <v>-47173.373999999996</v>
      </c>
      <c r="T67" s="259">
        <f t="shared" si="4"/>
        <v>-47173.373999999996</v>
      </c>
      <c r="U67" s="259">
        <f t="shared" si="4"/>
        <v>-47173.373999999996</v>
      </c>
      <c r="V67" s="259">
        <f t="shared" si="4"/>
        <v>-47173.373999999996</v>
      </c>
      <c r="W67" s="259">
        <f t="shared" si="4"/>
        <v>-47173.373999999996</v>
      </c>
      <c r="X67" s="259">
        <f t="shared" si="4"/>
        <v>-47173.373999999996</v>
      </c>
      <c r="Y67" s="259">
        <f t="shared" si="4"/>
        <v>-47173.373999999996</v>
      </c>
      <c r="Z67" s="259">
        <f t="shared" si="4"/>
        <v>-47173.373999999996</v>
      </c>
      <c r="AA67" s="259">
        <f t="shared" si="4"/>
        <v>-47173.373999999996</v>
      </c>
      <c r="AB67" s="259">
        <f t="shared" si="4"/>
        <v>-47173.373999999996</v>
      </c>
      <c r="AC67" s="259">
        <f t="shared" si="4"/>
        <v>-47173.373999999996</v>
      </c>
      <c r="AD67" s="259">
        <f t="shared" si="4"/>
        <v>-47173.373999999996</v>
      </c>
      <c r="AE67" s="259">
        <f t="shared" si="4"/>
        <v>-47173.373999999996</v>
      </c>
    </row>
    <row r="68" spans="1:31" x14ac:dyDescent="0.2">
      <c r="A68" s="257" t="s">
        <v>571</v>
      </c>
      <c r="B68" s="258">
        <f t="shared" ref="B68:AE68" si="5">B66+B67</f>
        <v>0</v>
      </c>
      <c r="C68" s="258">
        <f>C66+C67</f>
        <v>-71972.586611999985</v>
      </c>
      <c r="D68" s="258">
        <f t="shared" si="5"/>
        <v>-76232.17238399999</v>
      </c>
      <c r="E68" s="258">
        <f t="shared" si="5"/>
        <v>-75194.358155999988</v>
      </c>
      <c r="F68" s="258">
        <f t="shared" si="5"/>
        <v>-74156.543927999985</v>
      </c>
      <c r="G68" s="258">
        <f t="shared" si="5"/>
        <v>-73118.729699999982</v>
      </c>
      <c r="H68" s="258">
        <f t="shared" si="5"/>
        <v>-73496.116691999981</v>
      </c>
      <c r="I68" s="258">
        <f t="shared" si="5"/>
        <v>-71043.10124399999</v>
      </c>
      <c r="J68" s="258">
        <f t="shared" si="5"/>
        <v>-27549.250415999984</v>
      </c>
      <c r="K68" s="258">
        <f t="shared" si="5"/>
        <v>-68967.472787999985</v>
      </c>
      <c r="L68" s="258">
        <f t="shared" si="5"/>
        <v>-67929.658559999982</v>
      </c>
      <c r="M68" s="258">
        <f t="shared" si="5"/>
        <v>-89723.757348000014</v>
      </c>
      <c r="N68" s="258">
        <f t="shared" si="5"/>
        <v>-67269.231323999993</v>
      </c>
      <c r="O68" s="258">
        <f t="shared" si="5"/>
        <v>-64816.215875999987</v>
      </c>
      <c r="P68" s="258">
        <f t="shared" si="5"/>
        <v>-63778.401647999992</v>
      </c>
      <c r="Q68" s="258">
        <f t="shared" si="5"/>
        <v>-62740.587419999996</v>
      </c>
      <c r="R68" s="258">
        <f t="shared" si="5"/>
        <v>-19246.736591999994</v>
      </c>
      <c r="S68" s="258">
        <f t="shared" si="5"/>
        <v>-60664.95896399999</v>
      </c>
      <c r="T68" s="258">
        <f t="shared" si="5"/>
        <v>-61042.345955999997</v>
      </c>
      <c r="U68" s="258">
        <f t="shared" si="5"/>
        <v>-58589.330507999999</v>
      </c>
      <c r="V68" s="258">
        <f t="shared" si="5"/>
        <v>-57551.516279999996</v>
      </c>
      <c r="W68" s="258">
        <f t="shared" si="5"/>
        <v>-56513.702051999993</v>
      </c>
      <c r="X68" s="258">
        <f t="shared" si="5"/>
        <v>-55475.887823999998</v>
      </c>
      <c r="Y68" s="258">
        <f t="shared" si="5"/>
        <v>-54438.073595999995</v>
      </c>
      <c r="Z68" s="258">
        <f t="shared" si="5"/>
        <v>-12359.423987999995</v>
      </c>
      <c r="AA68" s="258">
        <f t="shared" si="5"/>
        <v>-52362.445139999996</v>
      </c>
      <c r="AB68" s="258">
        <f t="shared" si="5"/>
        <v>-51324.630911999993</v>
      </c>
      <c r="AC68" s="258">
        <f t="shared" si="5"/>
        <v>-50286.81668399999</v>
      </c>
      <c r="AD68" s="258">
        <f t="shared" si="5"/>
        <v>-49249.002455999995</v>
      </c>
      <c r="AE68" s="258">
        <f t="shared" si="5"/>
        <v>-48211.188227999992</v>
      </c>
    </row>
    <row r="69" spans="1:31" x14ac:dyDescent="0.2">
      <c r="A69" s="254" t="s">
        <v>254</v>
      </c>
      <c r="B69" s="256">
        <v>0</v>
      </c>
      <c r="C69" s="256">
        <v>0</v>
      </c>
      <c r="D69" s="256">
        <v>0</v>
      </c>
      <c r="E69" s="256">
        <v>0</v>
      </c>
      <c r="F69" s="256">
        <v>0</v>
      </c>
      <c r="G69" s="256">
        <v>0</v>
      </c>
      <c r="H69" s="256">
        <v>0</v>
      </c>
      <c r="I69" s="256">
        <v>0</v>
      </c>
      <c r="J69" s="256">
        <v>0</v>
      </c>
      <c r="K69" s="256">
        <v>0</v>
      </c>
      <c r="L69" s="256">
        <v>0</v>
      </c>
      <c r="M69" s="256">
        <v>0</v>
      </c>
      <c r="N69" s="256">
        <v>0</v>
      </c>
      <c r="O69" s="256">
        <v>0</v>
      </c>
      <c r="P69" s="256">
        <v>0</v>
      </c>
      <c r="Q69" s="256">
        <v>0</v>
      </c>
      <c r="R69" s="256">
        <v>0</v>
      </c>
      <c r="S69" s="256">
        <v>0</v>
      </c>
      <c r="T69" s="256">
        <v>0</v>
      </c>
      <c r="U69" s="256">
        <v>0</v>
      </c>
      <c r="V69" s="256">
        <v>0</v>
      </c>
      <c r="W69" s="256">
        <v>0</v>
      </c>
      <c r="X69" s="256">
        <v>0</v>
      </c>
      <c r="Y69" s="256">
        <v>0</v>
      </c>
      <c r="Z69" s="256">
        <v>0</v>
      </c>
      <c r="AA69" s="256">
        <v>0</v>
      </c>
      <c r="AB69" s="256">
        <v>0</v>
      </c>
      <c r="AC69" s="256">
        <v>0</v>
      </c>
      <c r="AD69" s="256">
        <v>0</v>
      </c>
      <c r="AE69" s="256">
        <v>0</v>
      </c>
    </row>
    <row r="70" spans="1:31" x14ac:dyDescent="0.2">
      <c r="A70" s="257" t="s">
        <v>258</v>
      </c>
      <c r="B70" s="258">
        <f t="shared" ref="B70:AE70" si="6">B68+B69</f>
        <v>0</v>
      </c>
      <c r="C70" s="258">
        <f t="shared" si="6"/>
        <v>-71972.586611999985</v>
      </c>
      <c r="D70" s="258">
        <f t="shared" si="6"/>
        <v>-76232.17238399999</v>
      </c>
      <c r="E70" s="258">
        <f t="shared" si="6"/>
        <v>-75194.358155999988</v>
      </c>
      <c r="F70" s="258">
        <f t="shared" si="6"/>
        <v>-74156.543927999985</v>
      </c>
      <c r="G70" s="258">
        <f t="shared" si="6"/>
        <v>-73118.729699999982</v>
      </c>
      <c r="H70" s="258">
        <f t="shared" si="6"/>
        <v>-73496.116691999981</v>
      </c>
      <c r="I70" s="258">
        <f t="shared" si="6"/>
        <v>-71043.10124399999</v>
      </c>
      <c r="J70" s="258">
        <f t="shared" si="6"/>
        <v>-27549.250415999984</v>
      </c>
      <c r="K70" s="258">
        <f t="shared" si="6"/>
        <v>-68967.472787999985</v>
      </c>
      <c r="L70" s="258">
        <f t="shared" si="6"/>
        <v>-67929.658559999982</v>
      </c>
      <c r="M70" s="258">
        <f t="shared" si="6"/>
        <v>-89723.757348000014</v>
      </c>
      <c r="N70" s="258">
        <f t="shared" si="6"/>
        <v>-67269.231323999993</v>
      </c>
      <c r="O70" s="258">
        <f t="shared" si="6"/>
        <v>-64816.215875999987</v>
      </c>
      <c r="P70" s="258">
        <f t="shared" si="6"/>
        <v>-63778.401647999992</v>
      </c>
      <c r="Q70" s="258">
        <f t="shared" si="6"/>
        <v>-62740.587419999996</v>
      </c>
      <c r="R70" s="258">
        <f t="shared" si="6"/>
        <v>-19246.736591999994</v>
      </c>
      <c r="S70" s="258">
        <f t="shared" si="6"/>
        <v>-60664.95896399999</v>
      </c>
      <c r="T70" s="258">
        <f t="shared" si="6"/>
        <v>-61042.345955999997</v>
      </c>
      <c r="U70" s="258">
        <f t="shared" si="6"/>
        <v>-58589.330507999999</v>
      </c>
      <c r="V70" s="258">
        <f t="shared" si="6"/>
        <v>-57551.516279999996</v>
      </c>
      <c r="W70" s="258">
        <f t="shared" si="6"/>
        <v>-56513.702051999993</v>
      </c>
      <c r="X70" s="258">
        <f t="shared" si="6"/>
        <v>-55475.887823999998</v>
      </c>
      <c r="Y70" s="258">
        <f t="shared" si="6"/>
        <v>-54438.073595999995</v>
      </c>
      <c r="Z70" s="258">
        <f t="shared" si="6"/>
        <v>-12359.423987999995</v>
      </c>
      <c r="AA70" s="258">
        <f t="shared" si="6"/>
        <v>-52362.445139999996</v>
      </c>
      <c r="AB70" s="258">
        <f t="shared" si="6"/>
        <v>-51324.630911999993</v>
      </c>
      <c r="AC70" s="258">
        <f t="shared" si="6"/>
        <v>-50286.81668399999</v>
      </c>
      <c r="AD70" s="258">
        <f t="shared" si="6"/>
        <v>-49249.002455999995</v>
      </c>
      <c r="AE70" s="258">
        <f t="shared" si="6"/>
        <v>-48211.188227999992</v>
      </c>
    </row>
    <row r="71" spans="1:31" x14ac:dyDescent="0.2">
      <c r="A71" s="254" t="s">
        <v>253</v>
      </c>
      <c r="B71" s="259">
        <f t="shared" ref="B71:AE71" si="7">-B70*$B$35</f>
        <v>0</v>
      </c>
      <c r="C71" s="259">
        <f t="shared" si="7"/>
        <v>14394.517322399997</v>
      </c>
      <c r="D71" s="259">
        <f t="shared" si="7"/>
        <v>15246.434476799999</v>
      </c>
      <c r="E71" s="259">
        <f t="shared" si="7"/>
        <v>15038.871631199998</v>
      </c>
      <c r="F71" s="259">
        <f t="shared" si="7"/>
        <v>14831.308785599998</v>
      </c>
      <c r="G71" s="259">
        <f t="shared" si="7"/>
        <v>14623.745939999997</v>
      </c>
      <c r="H71" s="259">
        <f t="shared" si="7"/>
        <v>14699.223338399997</v>
      </c>
      <c r="I71" s="259">
        <f t="shared" si="7"/>
        <v>14208.620248799998</v>
      </c>
      <c r="J71" s="259">
        <f t="shared" si="7"/>
        <v>5509.8500831999972</v>
      </c>
      <c r="K71" s="259">
        <f t="shared" si="7"/>
        <v>13793.494557599997</v>
      </c>
      <c r="L71" s="259">
        <f t="shared" si="7"/>
        <v>13585.931711999998</v>
      </c>
      <c r="M71" s="259">
        <f t="shared" si="7"/>
        <v>17944.751469600003</v>
      </c>
      <c r="N71" s="259">
        <f t="shared" si="7"/>
        <v>13453.846264799999</v>
      </c>
      <c r="O71" s="259">
        <f t="shared" si="7"/>
        <v>12963.243175199997</v>
      </c>
      <c r="P71" s="259">
        <f t="shared" si="7"/>
        <v>12755.6803296</v>
      </c>
      <c r="Q71" s="259">
        <f t="shared" si="7"/>
        <v>12548.117484</v>
      </c>
      <c r="R71" s="259">
        <f t="shared" si="7"/>
        <v>3849.347318399999</v>
      </c>
      <c r="S71" s="259">
        <f t="shared" si="7"/>
        <v>12132.9917928</v>
      </c>
      <c r="T71" s="259">
        <f t="shared" si="7"/>
        <v>12208.4691912</v>
      </c>
      <c r="U71" s="259">
        <f t="shared" si="7"/>
        <v>11717.866101600001</v>
      </c>
      <c r="V71" s="259">
        <f t="shared" si="7"/>
        <v>11510.303255999999</v>
      </c>
      <c r="W71" s="259">
        <f t="shared" si="7"/>
        <v>11302.7404104</v>
      </c>
      <c r="X71" s="259">
        <f t="shared" si="7"/>
        <v>11095.1775648</v>
      </c>
      <c r="Y71" s="259">
        <f t="shared" si="7"/>
        <v>10887.614719199999</v>
      </c>
      <c r="Z71" s="259">
        <f t="shared" si="7"/>
        <v>2471.8847975999993</v>
      </c>
      <c r="AA71" s="259">
        <f t="shared" si="7"/>
        <v>10472.489028</v>
      </c>
      <c r="AB71" s="259">
        <f t="shared" si="7"/>
        <v>10264.926182399999</v>
      </c>
      <c r="AC71" s="259">
        <f t="shared" si="7"/>
        <v>10057.363336799999</v>
      </c>
      <c r="AD71" s="259">
        <f t="shared" si="7"/>
        <v>9849.8004911999997</v>
      </c>
      <c r="AE71" s="259">
        <f t="shared" si="7"/>
        <v>9642.2376455999984</v>
      </c>
    </row>
    <row r="72" spans="1:31" ht="13.5" thickBot="1" x14ac:dyDescent="0.25">
      <c r="A72" s="260" t="s">
        <v>257</v>
      </c>
      <c r="B72" s="261">
        <f t="shared" ref="B72:AE72" si="8">B70+B71</f>
        <v>0</v>
      </c>
      <c r="C72" s="261">
        <f t="shared" si="8"/>
        <v>-57578.069289599989</v>
      </c>
      <c r="D72" s="261">
        <f t="shared" si="8"/>
        <v>-60985.737907199989</v>
      </c>
      <c r="E72" s="261">
        <f t="shared" si="8"/>
        <v>-60155.486524799991</v>
      </c>
      <c r="F72" s="261">
        <f t="shared" si="8"/>
        <v>-59325.235142399986</v>
      </c>
      <c r="G72" s="261">
        <f t="shared" si="8"/>
        <v>-58494.983759999988</v>
      </c>
      <c r="H72" s="261">
        <f t="shared" si="8"/>
        <v>-58796.893353599982</v>
      </c>
      <c r="I72" s="261">
        <f t="shared" si="8"/>
        <v>-56834.480995199992</v>
      </c>
      <c r="J72" s="261">
        <f t="shared" si="8"/>
        <v>-22039.400332799989</v>
      </c>
      <c r="K72" s="261">
        <f t="shared" si="8"/>
        <v>-55173.978230399989</v>
      </c>
      <c r="L72" s="261">
        <f t="shared" si="8"/>
        <v>-54343.726847999984</v>
      </c>
      <c r="M72" s="261">
        <f t="shared" si="8"/>
        <v>-71779.005878400014</v>
      </c>
      <c r="N72" s="261">
        <f t="shared" si="8"/>
        <v>-53815.385059199994</v>
      </c>
      <c r="O72" s="261">
        <f t="shared" si="8"/>
        <v>-51852.97270079999</v>
      </c>
      <c r="P72" s="261">
        <f t="shared" si="8"/>
        <v>-51022.721318399992</v>
      </c>
      <c r="Q72" s="261">
        <f t="shared" si="8"/>
        <v>-50192.469935999994</v>
      </c>
      <c r="R72" s="261">
        <f t="shared" si="8"/>
        <v>-15397.389273599994</v>
      </c>
      <c r="S72" s="261">
        <f t="shared" si="8"/>
        <v>-48531.967171199991</v>
      </c>
      <c r="T72" s="261">
        <f t="shared" si="8"/>
        <v>-48833.876764799999</v>
      </c>
      <c r="U72" s="261">
        <f t="shared" si="8"/>
        <v>-46871.464406400002</v>
      </c>
      <c r="V72" s="261">
        <f t="shared" si="8"/>
        <v>-46041.213023999997</v>
      </c>
      <c r="W72" s="261">
        <f t="shared" si="8"/>
        <v>-45210.961641599992</v>
      </c>
      <c r="X72" s="261">
        <f t="shared" si="8"/>
        <v>-44380.710259200001</v>
      </c>
      <c r="Y72" s="261">
        <f t="shared" si="8"/>
        <v>-43550.458876799996</v>
      </c>
      <c r="Z72" s="261">
        <f t="shared" si="8"/>
        <v>-9887.5391903999953</v>
      </c>
      <c r="AA72" s="261">
        <f t="shared" si="8"/>
        <v>-41889.956112</v>
      </c>
      <c r="AB72" s="261">
        <f t="shared" si="8"/>
        <v>-41059.704729599995</v>
      </c>
      <c r="AC72" s="261">
        <f t="shared" si="8"/>
        <v>-40229.453347199989</v>
      </c>
      <c r="AD72" s="261">
        <f t="shared" si="8"/>
        <v>-39399.201964799999</v>
      </c>
      <c r="AE72" s="261">
        <f t="shared" si="8"/>
        <v>-38568.950582399993</v>
      </c>
    </row>
    <row r="73" spans="1:31" ht="13.5" thickBot="1" x14ac:dyDescent="0.25">
      <c r="A73" s="244"/>
      <c r="B73" s="262">
        <v>0.5</v>
      </c>
      <c r="C73" s="262">
        <v>1.5</v>
      </c>
      <c r="D73" s="262">
        <v>2.5</v>
      </c>
      <c r="E73" s="262">
        <v>3.5</v>
      </c>
      <c r="F73" s="262">
        <v>4.5</v>
      </c>
      <c r="G73" s="262">
        <v>5.5</v>
      </c>
      <c r="H73" s="262">
        <v>6.5</v>
      </c>
      <c r="I73" s="262">
        <v>7.5</v>
      </c>
      <c r="J73" s="262">
        <v>8.5</v>
      </c>
      <c r="K73" s="262">
        <v>9.5</v>
      </c>
      <c r="L73" s="262">
        <v>10.5</v>
      </c>
      <c r="M73" s="262">
        <v>11.5</v>
      </c>
      <c r="N73" s="262">
        <v>12.5</v>
      </c>
      <c r="O73" s="262">
        <v>13.5</v>
      </c>
      <c r="P73" s="262">
        <v>14.5</v>
      </c>
      <c r="Q73" s="262">
        <v>15.5</v>
      </c>
      <c r="R73" s="262">
        <v>16.5</v>
      </c>
      <c r="S73" s="262">
        <v>17.5</v>
      </c>
      <c r="T73" s="262">
        <v>18.5</v>
      </c>
      <c r="U73" s="262">
        <v>19.5</v>
      </c>
      <c r="V73" s="262">
        <v>20.5</v>
      </c>
      <c r="W73" s="262">
        <v>21.5</v>
      </c>
      <c r="X73" s="262">
        <v>22.5</v>
      </c>
      <c r="Y73" s="262">
        <v>23.5</v>
      </c>
      <c r="Z73" s="262">
        <v>24.5</v>
      </c>
      <c r="AA73" s="262">
        <v>25.5</v>
      </c>
      <c r="AB73" s="262">
        <v>26.5</v>
      </c>
      <c r="AC73" s="262">
        <v>27.5</v>
      </c>
      <c r="AD73" s="262">
        <v>28.5</v>
      </c>
      <c r="AE73" s="262">
        <v>29.5</v>
      </c>
    </row>
    <row r="74" spans="1:31" x14ac:dyDescent="0.2">
      <c r="A74" s="246" t="s">
        <v>256</v>
      </c>
      <c r="B74" s="237">
        <v>1</v>
      </c>
      <c r="C74" s="237">
        <v>2</v>
      </c>
      <c r="D74" s="237">
        <v>3</v>
      </c>
      <c r="E74" s="237">
        <v>4</v>
      </c>
      <c r="F74" s="237">
        <v>5</v>
      </c>
      <c r="G74" s="237">
        <v>6</v>
      </c>
      <c r="H74" s="237">
        <v>7</v>
      </c>
      <c r="I74" s="237">
        <v>8</v>
      </c>
      <c r="J74" s="237">
        <v>9</v>
      </c>
      <c r="K74" s="237">
        <v>10</v>
      </c>
      <c r="L74" s="237">
        <v>11</v>
      </c>
      <c r="M74" s="237">
        <v>12</v>
      </c>
      <c r="N74" s="237">
        <v>13</v>
      </c>
      <c r="O74" s="237">
        <v>14</v>
      </c>
      <c r="P74" s="237">
        <v>15</v>
      </c>
      <c r="Q74" s="237">
        <v>16</v>
      </c>
      <c r="R74" s="237">
        <v>17</v>
      </c>
      <c r="S74" s="237">
        <v>18</v>
      </c>
      <c r="T74" s="237">
        <v>19</v>
      </c>
      <c r="U74" s="237">
        <v>20</v>
      </c>
      <c r="V74" s="237">
        <v>21</v>
      </c>
      <c r="W74" s="237">
        <v>22</v>
      </c>
      <c r="X74" s="237">
        <v>23</v>
      </c>
      <c r="Y74" s="237">
        <v>24</v>
      </c>
      <c r="Z74" s="237">
        <v>25</v>
      </c>
      <c r="AA74" s="237">
        <v>26</v>
      </c>
      <c r="AB74" s="237">
        <v>27</v>
      </c>
      <c r="AC74" s="237">
        <v>28</v>
      </c>
      <c r="AD74" s="237">
        <v>29</v>
      </c>
      <c r="AE74" s="237">
        <v>30</v>
      </c>
    </row>
    <row r="75" spans="1:31" x14ac:dyDescent="0.2">
      <c r="A75" s="263" t="s">
        <v>571</v>
      </c>
      <c r="B75" s="258">
        <f t="shared" ref="B75:AE75" si="9">B68</f>
        <v>0</v>
      </c>
      <c r="C75" s="258">
        <f t="shared" si="9"/>
        <v>-71972.586611999985</v>
      </c>
      <c r="D75" s="258">
        <f t="shared" si="9"/>
        <v>-76232.17238399999</v>
      </c>
      <c r="E75" s="258">
        <f t="shared" si="9"/>
        <v>-75194.358155999988</v>
      </c>
      <c r="F75" s="258">
        <f t="shared" si="9"/>
        <v>-74156.543927999985</v>
      </c>
      <c r="G75" s="258">
        <f t="shared" si="9"/>
        <v>-73118.729699999982</v>
      </c>
      <c r="H75" s="258">
        <f t="shared" si="9"/>
        <v>-73496.116691999981</v>
      </c>
      <c r="I75" s="258">
        <f t="shared" si="9"/>
        <v>-71043.10124399999</v>
      </c>
      <c r="J75" s="258">
        <f t="shared" si="9"/>
        <v>-27549.250415999984</v>
      </c>
      <c r="K75" s="258">
        <f t="shared" si="9"/>
        <v>-68967.472787999985</v>
      </c>
      <c r="L75" s="258">
        <f t="shared" si="9"/>
        <v>-67929.658559999982</v>
      </c>
      <c r="M75" s="258">
        <f t="shared" si="9"/>
        <v>-89723.757348000014</v>
      </c>
      <c r="N75" s="258">
        <f t="shared" si="9"/>
        <v>-67269.231323999993</v>
      </c>
      <c r="O75" s="258">
        <f t="shared" si="9"/>
        <v>-64816.215875999987</v>
      </c>
      <c r="P75" s="258">
        <f t="shared" si="9"/>
        <v>-63778.401647999992</v>
      </c>
      <c r="Q75" s="258">
        <f t="shared" si="9"/>
        <v>-62740.587419999996</v>
      </c>
      <c r="R75" s="258">
        <f t="shared" si="9"/>
        <v>-19246.736591999994</v>
      </c>
      <c r="S75" s="258">
        <f t="shared" si="9"/>
        <v>-60664.95896399999</v>
      </c>
      <c r="T75" s="258">
        <f t="shared" si="9"/>
        <v>-61042.345955999997</v>
      </c>
      <c r="U75" s="258">
        <f t="shared" si="9"/>
        <v>-58589.330507999999</v>
      </c>
      <c r="V75" s="258">
        <f t="shared" si="9"/>
        <v>-57551.516279999996</v>
      </c>
      <c r="W75" s="258">
        <f t="shared" si="9"/>
        <v>-56513.702051999993</v>
      </c>
      <c r="X75" s="258">
        <f t="shared" si="9"/>
        <v>-55475.887823999998</v>
      </c>
      <c r="Y75" s="258">
        <f t="shared" si="9"/>
        <v>-54438.073595999995</v>
      </c>
      <c r="Z75" s="258">
        <f t="shared" si="9"/>
        <v>-12359.423987999995</v>
      </c>
      <c r="AA75" s="258">
        <f t="shared" si="9"/>
        <v>-52362.445139999996</v>
      </c>
      <c r="AB75" s="258">
        <f t="shared" si="9"/>
        <v>-51324.630911999993</v>
      </c>
      <c r="AC75" s="258">
        <f t="shared" si="9"/>
        <v>-50286.81668399999</v>
      </c>
      <c r="AD75" s="258">
        <f t="shared" si="9"/>
        <v>-49249.002455999995</v>
      </c>
      <c r="AE75" s="258">
        <f t="shared" si="9"/>
        <v>-48211.188227999992</v>
      </c>
    </row>
    <row r="76" spans="1:31" x14ac:dyDescent="0.2">
      <c r="A76" s="254" t="s">
        <v>255</v>
      </c>
      <c r="B76" s="259">
        <f t="shared" ref="B76:AE76" si="10">-B67</f>
        <v>0</v>
      </c>
      <c r="C76" s="259">
        <f t="shared" si="10"/>
        <v>47173.373999999996</v>
      </c>
      <c r="D76" s="259">
        <f t="shared" si="10"/>
        <v>47173.373999999996</v>
      </c>
      <c r="E76" s="259">
        <f t="shared" si="10"/>
        <v>47173.373999999996</v>
      </c>
      <c r="F76" s="259">
        <f t="shared" si="10"/>
        <v>47173.373999999996</v>
      </c>
      <c r="G76" s="259">
        <f t="shared" si="10"/>
        <v>47173.373999999996</v>
      </c>
      <c r="H76" s="259">
        <f t="shared" si="10"/>
        <v>47173.373999999996</v>
      </c>
      <c r="I76" s="259">
        <f t="shared" si="10"/>
        <v>47173.373999999996</v>
      </c>
      <c r="J76" s="259">
        <f t="shared" si="10"/>
        <v>47173.373999999996</v>
      </c>
      <c r="K76" s="259">
        <f t="shared" si="10"/>
        <v>47173.373999999996</v>
      </c>
      <c r="L76" s="259">
        <f t="shared" si="10"/>
        <v>47173.373999999996</v>
      </c>
      <c r="M76" s="259">
        <f t="shared" si="10"/>
        <v>47173.373999999996</v>
      </c>
      <c r="N76" s="259">
        <f t="shared" si="10"/>
        <v>47173.373999999996</v>
      </c>
      <c r="O76" s="259">
        <f t="shared" si="10"/>
        <v>47173.373999999996</v>
      </c>
      <c r="P76" s="259">
        <f t="shared" si="10"/>
        <v>47173.373999999996</v>
      </c>
      <c r="Q76" s="259">
        <f t="shared" si="10"/>
        <v>47173.373999999996</v>
      </c>
      <c r="R76" s="259">
        <f t="shared" si="10"/>
        <v>47173.373999999996</v>
      </c>
      <c r="S76" s="259">
        <f t="shared" si="10"/>
        <v>47173.373999999996</v>
      </c>
      <c r="T76" s="259">
        <f t="shared" si="10"/>
        <v>47173.373999999996</v>
      </c>
      <c r="U76" s="259">
        <f t="shared" si="10"/>
        <v>47173.373999999996</v>
      </c>
      <c r="V76" s="259">
        <f t="shared" si="10"/>
        <v>47173.373999999996</v>
      </c>
      <c r="W76" s="259">
        <f t="shared" si="10"/>
        <v>47173.373999999996</v>
      </c>
      <c r="X76" s="259">
        <f t="shared" si="10"/>
        <v>47173.373999999996</v>
      </c>
      <c r="Y76" s="259">
        <f t="shared" si="10"/>
        <v>47173.373999999996</v>
      </c>
      <c r="Z76" s="259">
        <f t="shared" si="10"/>
        <v>47173.373999999996</v>
      </c>
      <c r="AA76" s="259">
        <f t="shared" si="10"/>
        <v>47173.373999999996</v>
      </c>
      <c r="AB76" s="259">
        <f t="shared" si="10"/>
        <v>47173.373999999996</v>
      </c>
      <c r="AC76" s="259">
        <f t="shared" si="10"/>
        <v>47173.373999999996</v>
      </c>
      <c r="AD76" s="259">
        <f t="shared" si="10"/>
        <v>47173.373999999996</v>
      </c>
      <c r="AE76" s="259">
        <f t="shared" si="10"/>
        <v>47173.373999999996</v>
      </c>
    </row>
    <row r="77" spans="1:31" x14ac:dyDescent="0.2">
      <c r="A77" s="254" t="s">
        <v>254</v>
      </c>
      <c r="B77" s="259">
        <f t="shared" ref="B77:AE77" si="11">B69</f>
        <v>0</v>
      </c>
      <c r="C77" s="259">
        <f t="shared" si="11"/>
        <v>0</v>
      </c>
      <c r="D77" s="259">
        <f t="shared" si="11"/>
        <v>0</v>
      </c>
      <c r="E77" s="259">
        <f t="shared" si="11"/>
        <v>0</v>
      </c>
      <c r="F77" s="259">
        <f t="shared" si="11"/>
        <v>0</v>
      </c>
      <c r="G77" s="259">
        <f t="shared" si="11"/>
        <v>0</v>
      </c>
      <c r="H77" s="259">
        <f t="shared" si="11"/>
        <v>0</v>
      </c>
      <c r="I77" s="259">
        <f t="shared" si="11"/>
        <v>0</v>
      </c>
      <c r="J77" s="259">
        <f t="shared" si="11"/>
        <v>0</v>
      </c>
      <c r="K77" s="259">
        <f t="shared" si="11"/>
        <v>0</v>
      </c>
      <c r="L77" s="259">
        <f t="shared" si="11"/>
        <v>0</v>
      </c>
      <c r="M77" s="259">
        <f t="shared" si="11"/>
        <v>0</v>
      </c>
      <c r="N77" s="259">
        <f t="shared" si="11"/>
        <v>0</v>
      </c>
      <c r="O77" s="259">
        <f t="shared" si="11"/>
        <v>0</v>
      </c>
      <c r="P77" s="259">
        <f t="shared" si="11"/>
        <v>0</v>
      </c>
      <c r="Q77" s="259">
        <f t="shared" si="11"/>
        <v>0</v>
      </c>
      <c r="R77" s="259">
        <f t="shared" si="11"/>
        <v>0</v>
      </c>
      <c r="S77" s="259">
        <f t="shared" si="11"/>
        <v>0</v>
      </c>
      <c r="T77" s="259">
        <f t="shared" si="11"/>
        <v>0</v>
      </c>
      <c r="U77" s="259">
        <f t="shared" si="11"/>
        <v>0</v>
      </c>
      <c r="V77" s="259">
        <f t="shared" si="11"/>
        <v>0</v>
      </c>
      <c r="W77" s="259">
        <f t="shared" si="11"/>
        <v>0</v>
      </c>
      <c r="X77" s="259">
        <f t="shared" si="11"/>
        <v>0</v>
      </c>
      <c r="Y77" s="259">
        <f t="shared" si="11"/>
        <v>0</v>
      </c>
      <c r="Z77" s="259">
        <f t="shared" si="11"/>
        <v>0</v>
      </c>
      <c r="AA77" s="259">
        <f t="shared" si="11"/>
        <v>0</v>
      </c>
      <c r="AB77" s="259">
        <f t="shared" si="11"/>
        <v>0</v>
      </c>
      <c r="AC77" s="259">
        <f t="shared" si="11"/>
        <v>0</v>
      </c>
      <c r="AD77" s="259">
        <f t="shared" si="11"/>
        <v>0</v>
      </c>
      <c r="AE77" s="259">
        <f t="shared" si="11"/>
        <v>0</v>
      </c>
    </row>
    <row r="78" spans="1:31" x14ac:dyDescent="0.2">
      <c r="A78" s="254" t="s">
        <v>253</v>
      </c>
      <c r="B78" s="259">
        <f>IF(SUM($B$71:B71)+SUM($A$78:A78)&gt;0,0,SUM($B$71:B71)-SUM($A$78:A78))</f>
        <v>0</v>
      </c>
      <c r="C78" s="259">
        <f>IF(SUM($B$71:C71)+SUM($A$78:B78)&gt;0,0,SUM($B$71:C71)-SUM($A$78:B78))</f>
        <v>0</v>
      </c>
      <c r="D78" s="259">
        <f>IF(SUM($B$71:D71)+SUM($A$78:C78)&gt;0,0,SUM($B$71:D71)-SUM($A$78:C78))</f>
        <v>0</v>
      </c>
      <c r="E78" s="259">
        <f>IF(SUM($B$71:E71)+SUM($A$78:D78)&gt;0,0,SUM($B$71:E71)-SUM($A$78:D78))</f>
        <v>0</v>
      </c>
      <c r="F78" s="259">
        <f>IF(SUM($B$71:F71)+SUM($A$78:E78)&gt;0,0,SUM($B$71:F71)-SUM($A$78:E78))</f>
        <v>0</v>
      </c>
      <c r="G78" s="259">
        <f>IF(SUM($B$71:G71)+SUM($A$78:F78)&gt;0,0,SUM($B$71:G71)-SUM($A$78:F78))</f>
        <v>0</v>
      </c>
      <c r="H78" s="259">
        <f>IF(SUM($B$71:H71)+SUM($A$78:G78)&gt;0,0,SUM($B$71:H71)-SUM($A$78:G78))</f>
        <v>0</v>
      </c>
      <c r="I78" s="259">
        <f>IF(SUM($B$71:I71)+SUM($A$78:H78)&gt;0,0,SUM($B$71:I71)-SUM($A$78:H78))</f>
        <v>0</v>
      </c>
      <c r="J78" s="259">
        <f>IF(SUM($B$71:J71)+SUM($A$78:I78)&gt;0,0,SUM($B$71:J71)-SUM($A$78:I78))</f>
        <v>0</v>
      </c>
      <c r="K78" s="259">
        <f>IF(SUM($B$71:K71)+SUM($A$78:J78)&gt;0,0,SUM($B$71:K71)-SUM($A$78:J78))</f>
        <v>0</v>
      </c>
      <c r="L78" s="259">
        <f>IF(SUM($B$71:L71)+SUM($A$78:K78)&gt;0,0,SUM($B$71:L71)-SUM($A$78:K78))</f>
        <v>0</v>
      </c>
      <c r="M78" s="259">
        <f>IF(SUM($B$71:M71)+SUM($A$78:L78)&gt;0,0,SUM($B$71:M71)-SUM($A$78:L78))</f>
        <v>0</v>
      </c>
      <c r="N78" s="259">
        <f>IF(SUM($B$71:N71)+SUM($A$78:M78)&gt;0,0,SUM($B$71:N71)-SUM($A$78:M78))</f>
        <v>0</v>
      </c>
      <c r="O78" s="259">
        <f>IF(SUM($B$71:O71)+SUM($A$78:N78)&gt;0,0,SUM($B$71:O71)-SUM($A$78:N78))</f>
        <v>0</v>
      </c>
      <c r="P78" s="259">
        <f>IF(SUM($B$71:P71)+SUM($A$78:O78)&gt;0,0,SUM($B$71:P71)-SUM($A$78:O78))</f>
        <v>0</v>
      </c>
      <c r="Q78" s="259">
        <f>IF(SUM($B$71:Q71)+SUM($A$78:P78)&gt;0,0,SUM($B$71:Q71)-SUM($A$78:P78))</f>
        <v>0</v>
      </c>
      <c r="R78" s="259">
        <f>IF(SUM($B$71:R71)+SUM($A$78:Q78)&gt;0,0,SUM($B$71:R71)-SUM($A$78:Q78))</f>
        <v>0</v>
      </c>
      <c r="S78" s="259">
        <f>IF(SUM($B$71:S71)+SUM($A$78:R78)&gt;0,0,SUM($B$71:S71)-SUM($A$78:R78))</f>
        <v>0</v>
      </c>
      <c r="T78" s="259">
        <f>IF(SUM($B$71:T71)+SUM($A$78:S78)&gt;0,0,SUM($B$71:T71)-SUM($A$78:S78))</f>
        <v>0</v>
      </c>
      <c r="U78" s="259">
        <f>IF(SUM($B$71:U71)+SUM($A$78:T78)&gt;0,0,SUM($B$71:U71)-SUM($A$78:T78))</f>
        <v>0</v>
      </c>
      <c r="V78" s="259">
        <f>IF(SUM($B$71:V71)+SUM($A$78:U78)&gt;0,0,SUM($B$71:V71)-SUM($A$78:U78))</f>
        <v>0</v>
      </c>
      <c r="W78" s="259">
        <f>IF(SUM($B$71:W71)+SUM($A$78:V78)&gt;0,0,SUM($B$71:W71)-SUM($A$78:V78))</f>
        <v>0</v>
      </c>
      <c r="X78" s="259">
        <f>IF(SUM($B$71:X71)+SUM($A$78:W78)&gt;0,0,SUM($B$71:X71)-SUM($A$78:W78))</f>
        <v>0</v>
      </c>
      <c r="Y78" s="259">
        <f>IF(SUM($B$71:Y71)+SUM($A$78:X78)&gt;0,0,SUM($B$71:Y71)-SUM($A$78:X78))</f>
        <v>0</v>
      </c>
      <c r="Z78" s="259">
        <f>IF(SUM($B$71:Z71)+SUM($A$78:Y78)&gt;0,0,SUM($B$71:Z71)-SUM($A$78:Y78))</f>
        <v>0</v>
      </c>
      <c r="AA78" s="259">
        <f>IF(SUM($B$71:AA71)+SUM($A$78:Z78)&gt;0,0,SUM($B$71:AA71)-SUM($A$78:Z78))</f>
        <v>0</v>
      </c>
      <c r="AB78" s="259">
        <f>IF(SUM($B$71:AB71)+SUM($A$78:AA78)&gt;0,0,SUM($B$71:AB71)-SUM($A$78:AA78))</f>
        <v>0</v>
      </c>
      <c r="AC78" s="259">
        <f>IF(SUM($B$71:AC71)+SUM($A$78:AB78)&gt;0,0,SUM($B$71:AC71)-SUM($A$78:AB78))</f>
        <v>0</v>
      </c>
      <c r="AD78" s="259">
        <f>IF(SUM($B$71:AD71)+SUM($A$78:AC78)&gt;0,0,SUM($B$71:AD71)-SUM($A$78:AC78))</f>
        <v>0</v>
      </c>
      <c r="AE78" s="259">
        <f>IF(SUM($B$71:AE71)+SUM($A$78:AD78)&gt;0,0,SUM($B$71:AE71)-SUM($A$78:AD78))</f>
        <v>0</v>
      </c>
    </row>
    <row r="79" spans="1:31" x14ac:dyDescent="0.2">
      <c r="A79" s="254" t="s">
        <v>252</v>
      </c>
      <c r="B79" s="259">
        <f>IF(((SUM($B$58:B58)+SUM($B$60:B64))+SUM($B$81:B81))&lt;0,((SUM($B$58:B58)+SUM($B$60:B64))+SUM($B$81:B81))*0.2-SUM($A$79:A79),IF(SUM(A$79:$A79)&lt;0,0-SUM(A$79:$A79),0))</f>
        <v>0</v>
      </c>
      <c r="C79" s="259">
        <f>IF(((SUM($B$58:C58)+SUM($B$60:C64))+SUM($B$81:C81))&lt;0,((SUM($B$58:C58)+SUM($B$60:C64))+SUM($B$81:C81))*0.2-SUM($A$79:B79),IF(SUM($A$79:B79)&lt;0,0-SUM($A$79:B79),0))</f>
        <v>-281980.76400000002</v>
      </c>
      <c r="D79" s="259">
        <f>IF(((SUM($B$58:D58)+SUM($B$60:D64))+SUM($B$81:D81))&lt;0,((SUM($B$58:D58)+SUM($B$60:D64))+SUM($B$81:D81))*0.2-SUM($A$79:C79),IF(SUM($A$79:C79)&lt;0,0-SUM($A$79:C79),0))</f>
        <v>0</v>
      </c>
      <c r="E79" s="259">
        <f>IF(((SUM($B$58:E58)+SUM($B$60:E64))+SUM($B$81:E81))&lt;0,((SUM($B$58:E58)+SUM($B$60:E64))+SUM($B$81:E81))*0.2-SUM($A$79:D79),IF(SUM($A$79:D79)&lt;0,0-SUM($A$79:D79),0))</f>
        <v>0</v>
      </c>
      <c r="F79" s="259">
        <f>IF(((SUM($B$58:F58)+SUM($B$60:F64))+SUM($B$81:F81))&lt;0,((SUM($B$58:F58)+SUM($B$60:F64))+SUM($B$81:F81))*0.2-SUM($A$79:E79),IF(SUM($A$79:E79)&lt;0,0-SUM($A$79:E79),0))</f>
        <v>0</v>
      </c>
      <c r="G79" s="259">
        <f>IF(((SUM($B$58:G58)+SUM($B$60:G64))+SUM($B$81:G81))&lt;0,((SUM($B$58:G58)+SUM($B$60:G64))+SUM($B$81:G81))*0.2-SUM($A$79:F79),IF(SUM($A$79:F79)&lt;0,0-SUM($A$79:F79),0))</f>
        <v>0</v>
      </c>
      <c r="H79" s="259">
        <f>IF(((SUM($B$58:H58)+SUM($B$60:H64))+SUM($B$81:H81))&lt;0,((SUM($B$58:H58)+SUM($B$60:H64))+SUM($B$81:H81))*0.2-SUM($A$79:G79),IF(SUM($A$79:G79)&lt;0,0-SUM($A$79:G79),0))</f>
        <v>-283.04024399997434</v>
      </c>
      <c r="I79" s="259">
        <f>IF(((SUM($B$58:I58)+SUM($B$60:I64))+SUM($B$81:I81))&lt;0,((SUM($B$58:I58)+SUM($B$60:I64))+SUM($B$81:I81))*0.2-SUM($A$79:H79),IF(SUM($A$79:H79)&lt;0,0-SUM($A$79:H79),0))</f>
        <v>0</v>
      </c>
      <c r="J79" s="259">
        <f>IF(((SUM($B$58:J58)+SUM($B$60:J64))+SUM($B$81:J81))&lt;0,((SUM($B$58:J58)+SUM($B$60:J64))+SUM($B$81:J81))*0.2-SUM($A$79:I79),IF(SUM($A$79:I79)&lt;0,0-SUM($A$79:I79),0))</f>
        <v>8491.2073199999868</v>
      </c>
      <c r="K79" s="259">
        <f>IF(((SUM($B$58:K58)+SUM($B$60:K64))+SUM($B$81:K81))&lt;0,((SUM($B$58:K58)+SUM($B$60:K64))+SUM($B$81:K81))*0.2-SUM($A$79:J79),IF(SUM($A$79:J79)&lt;0,0-SUM($A$79:J79),0))</f>
        <v>0</v>
      </c>
      <c r="L79" s="259">
        <f>IF(((SUM($B$58:L58)+SUM($B$60:L64))+SUM($B$81:L81))&lt;0,((SUM($B$58:L58)+SUM($B$60:L64))+SUM($B$81:L81))*0.2-SUM($A$79:K79),IF(SUM($A$79:K79)&lt;0,0-SUM($A$79:K79),0))</f>
        <v>0</v>
      </c>
      <c r="M79" s="259">
        <f>IF(((SUM($B$58:M58)+SUM($B$60:M64))+SUM($B$81:M81))&lt;0,((SUM($B$58:M58)+SUM($B$60:M64))+SUM($B$81:M81))*0.2-SUM($A$79:L79),IF(SUM($A$79:L79)&lt;0,0-SUM($A$79:L79),0))</f>
        <v>0</v>
      </c>
      <c r="N79" s="259">
        <f>IF(((SUM($B$58:N58)+SUM($B$60:N64))+SUM($B$81:N81))&lt;0,((SUM($B$58:N58)+SUM($B$60:N64))+SUM($B$81:N81))*0.2-SUM($A$79:M79),IF(SUM($A$79:M79)&lt;0,0-SUM($A$79:M79),0))</f>
        <v>-283.04024399997434</v>
      </c>
      <c r="O79" s="259">
        <f>IF(((SUM($B$58:O58)+SUM($B$60:O64))+SUM($B$81:O81))&lt;0,((SUM($B$58:O58)+SUM($B$60:O64))+SUM($B$81:O81))*0.2-SUM($A$79:N79),IF(SUM($A$79:N79)&lt;0,0-SUM($A$79:N79),0))</f>
        <v>0</v>
      </c>
      <c r="P79" s="259">
        <f>IF(((SUM($B$58:P58)+SUM($B$60:P64))+SUM($B$81:P81))&lt;0,((SUM($B$58:P58)+SUM($B$60:P64))+SUM($B$81:P81))*0.2-SUM($A$79:O79),IF(SUM($A$79:O79)&lt;0,0-SUM($A$79:O79),0))</f>
        <v>0</v>
      </c>
      <c r="Q79" s="259">
        <f>IF(((SUM($B$58:Q58)+SUM($B$60:Q64))+SUM($B$81:Q81))&lt;0,((SUM($B$58:Q58)+SUM($B$60:Q64))+SUM($B$81:Q81))*0.2-SUM($A$79:P79),IF(SUM($A$79:P79)&lt;0,0-SUM($A$79:P79),0))</f>
        <v>0</v>
      </c>
      <c r="R79" s="259">
        <f>IF(((SUM($B$58:R58)+SUM($B$60:R64))+SUM($B$81:R81))&lt;0,((SUM($B$58:R58)+SUM($B$60:R64))+SUM($B$81:R81))*0.2-SUM($A$79:Q79),IF(SUM($A$79:Q79)&lt;0,0-SUM($A$79:Q79),0))</f>
        <v>8491.2073199999868</v>
      </c>
      <c r="S79" s="259">
        <f>IF(((SUM($B$58:S58)+SUM($B$60:S64))+SUM($B$81:S81))&lt;0,((SUM($B$58:S58)+SUM($B$60:S64))+SUM($B$81:S81))*0.2-SUM($A$79:R79),IF(SUM($A$79:R79)&lt;0,0-SUM($A$79:R79),0))</f>
        <v>0</v>
      </c>
      <c r="T79" s="259">
        <f>IF(((SUM($B$58:T58)+SUM($B$60:T64))+SUM($B$81:T81))&lt;0,((SUM($B$58:T58)+SUM($B$60:T64))+SUM($B$81:T81))*0.2-SUM($A$79:S79),IF(SUM($A$79:S79)&lt;0,0-SUM($A$79:S79),0))</f>
        <v>-283.04024399997434</v>
      </c>
      <c r="U79" s="259">
        <f>IF(((SUM($B$58:U58)+SUM($B$60:U64))+SUM($B$81:U81))&lt;0,((SUM($B$58:U58)+SUM($B$60:U64))+SUM($B$81:U81))*0.2-SUM($A$79:T79),IF(SUM($A$79:T79)&lt;0,0-SUM($A$79:T79),0))</f>
        <v>0</v>
      </c>
      <c r="V79" s="259">
        <f>IF(((SUM($B$58:V58)+SUM($B$60:V64))+SUM($B$81:V81))&lt;0,((SUM($B$58:V58)+SUM($B$60:V64))+SUM($B$81:V81))*0.2-SUM($A$79:U79),IF(SUM($A$79:U79)&lt;0,0-SUM($A$79:U79),0))</f>
        <v>0</v>
      </c>
      <c r="W79" s="259">
        <f>IF(((SUM($B$58:W58)+SUM($B$60:W64))+SUM($B$81:W81))&lt;0,((SUM($B$58:W58)+SUM($B$60:W64))+SUM($B$81:W81))*0.2-SUM($A$79:V79),IF(SUM($A$79:V79)&lt;0,0-SUM($A$79:V79),0))</f>
        <v>0</v>
      </c>
      <c r="X79" s="259">
        <f>IF(((SUM($B$58:X58)+SUM($B$60:X64))+SUM($B$81:X81))&lt;0,((SUM($B$58:X58)+SUM($B$60:X64))+SUM($B$81:X81))*0.2-SUM($A$79:W79),IF(SUM($A$79:W79)&lt;0,0-SUM($A$79:W79),0))</f>
        <v>0</v>
      </c>
      <c r="Y79" s="259">
        <f>IF(((SUM($B$58:Y58)+SUM($B$60:Y64))+SUM($B$81:Y81))&lt;0,((SUM($B$58:Y58)+SUM($B$60:Y64))+SUM($B$81:Y81))*0.2-SUM($A$79:X79),IF(SUM($A$79:X79)&lt;0,0-SUM($A$79:X79),0))</f>
        <v>0</v>
      </c>
      <c r="Z79" s="259">
        <f>IF(((SUM($B$58:Z58)+SUM($B$60:Z64))+SUM($B$81:Z81))&lt;0,((SUM($B$58:Z58)+SUM($B$60:Z64))+SUM($B$81:Z81))*0.2-SUM($A$79:Y79),IF(SUM($A$79:Y79)&lt;0,0-SUM($A$79:Y79),0))</f>
        <v>8208.1670759999542</v>
      </c>
      <c r="AA79" s="259">
        <f>IF(((SUM($B$58:AA58)+SUM($B$60:AA64))+SUM($B$81:AA81))&lt;0,((SUM($B$58:AA58)+SUM($B$60:AA64))+SUM($B$81:AA81))*0.2-SUM($A$79:Z79),IF(SUM($A$79:Z79)&lt;0,0-SUM($A$79:Z79),0))</f>
        <v>0</v>
      </c>
      <c r="AB79" s="259">
        <f>IF(((SUM($B$58:AB58)+SUM($B$60:AB64))+SUM($B$81:AB81))&lt;0,((SUM($B$58:AB58)+SUM($B$60:AB64))+SUM($B$81:AB81))*0.2-SUM($A$79:AA79),IF(SUM($A$79:AA79)&lt;0,0-SUM($A$79:AA79),0))</f>
        <v>0</v>
      </c>
      <c r="AC79" s="259">
        <f>IF(((SUM($B$58:AC58)+SUM($B$60:AC64))+SUM($B$81:AC81))&lt;0,((SUM($B$58:AC58)+SUM($B$60:AC64))+SUM($B$81:AC81))*0.2-SUM($A$79:AB79),IF(SUM($A$79:AB79)&lt;0,0-SUM($A$79:AB79),0))</f>
        <v>0</v>
      </c>
      <c r="AD79" s="259">
        <f>IF(((SUM($B$58:AD58)+SUM($B$60:AD64))+SUM($B$81:AD81))&lt;0,((SUM($B$58:AD58)+SUM($B$60:AD64))+SUM($B$81:AD81))*0.2-SUM($A$79:AC79),IF(SUM($A$79:AC79)&lt;0,0-SUM($A$79:AC79),0))</f>
        <v>0</v>
      </c>
      <c r="AE79" s="259">
        <f>IF(((SUM($B$58:AE58)+SUM($B$60:AE64))+SUM($B$81:AE81))&lt;0,((SUM($B$58:AE58)+SUM($B$60:AE64))+SUM($B$81:AE81))*0.2-SUM($A$79:AD79),IF(SUM($A$79:AD79)&lt;0,0-SUM($A$79:AD79),0))</f>
        <v>0</v>
      </c>
    </row>
    <row r="80" spans="1:31" x14ac:dyDescent="0.2">
      <c r="A80" s="254" t="s">
        <v>251</v>
      </c>
      <c r="B80" s="259">
        <f>-B58*($B$38)</f>
        <v>0</v>
      </c>
      <c r="C80" s="259">
        <f t="shared" ref="C80:AE80" si="12">-C58*($B$38)</f>
        <v>0</v>
      </c>
      <c r="D80" s="259">
        <f t="shared" si="12"/>
        <v>0</v>
      </c>
      <c r="E80" s="259">
        <f t="shared" si="12"/>
        <v>0</v>
      </c>
      <c r="F80" s="259">
        <f t="shared" si="12"/>
        <v>0</v>
      </c>
      <c r="G80" s="259">
        <f t="shared" si="12"/>
        <v>0</v>
      </c>
      <c r="H80" s="259">
        <f t="shared" si="12"/>
        <v>0</v>
      </c>
      <c r="I80" s="259">
        <f t="shared" si="12"/>
        <v>0</v>
      </c>
      <c r="J80" s="259">
        <f t="shared" si="12"/>
        <v>0</v>
      </c>
      <c r="K80" s="259">
        <f t="shared" si="12"/>
        <v>0</v>
      </c>
      <c r="L80" s="259">
        <f t="shared" si="12"/>
        <v>0</v>
      </c>
      <c r="M80" s="259">
        <f t="shared" si="12"/>
        <v>0</v>
      </c>
      <c r="N80" s="259">
        <f t="shared" si="12"/>
        <v>0</v>
      </c>
      <c r="O80" s="259">
        <f t="shared" si="12"/>
        <v>0</v>
      </c>
      <c r="P80" s="259">
        <f t="shared" si="12"/>
        <v>0</v>
      </c>
      <c r="Q80" s="259">
        <f t="shared" si="12"/>
        <v>0</v>
      </c>
      <c r="R80" s="259">
        <f t="shared" si="12"/>
        <v>0</v>
      </c>
      <c r="S80" s="259">
        <f t="shared" si="12"/>
        <v>0</v>
      </c>
      <c r="T80" s="259">
        <f t="shared" si="12"/>
        <v>0</v>
      </c>
      <c r="U80" s="259">
        <f t="shared" si="12"/>
        <v>0</v>
      </c>
      <c r="V80" s="259">
        <f t="shared" si="12"/>
        <v>0</v>
      </c>
      <c r="W80" s="259">
        <f t="shared" si="12"/>
        <v>0</v>
      </c>
      <c r="X80" s="259">
        <f t="shared" si="12"/>
        <v>0</v>
      </c>
      <c r="Y80" s="259">
        <f t="shared" si="12"/>
        <v>0</v>
      </c>
      <c r="Z80" s="259">
        <f t="shared" si="12"/>
        <v>0</v>
      </c>
      <c r="AA80" s="259">
        <f t="shared" si="12"/>
        <v>0</v>
      </c>
      <c r="AB80" s="259">
        <f t="shared" si="12"/>
        <v>0</v>
      </c>
      <c r="AC80" s="259">
        <f t="shared" si="12"/>
        <v>0</v>
      </c>
      <c r="AD80" s="259">
        <f t="shared" si="12"/>
        <v>0</v>
      </c>
      <c r="AE80" s="259">
        <f t="shared" si="12"/>
        <v>0</v>
      </c>
    </row>
    <row r="81" spans="1:31" x14ac:dyDescent="0.2">
      <c r="A81" s="254" t="s">
        <v>432</v>
      </c>
      <c r="B81" s="264">
        <f>-'6.2. Паспорт фин осв ввод'!N24*1000000</f>
        <v>0</v>
      </c>
      <c r="C81" s="264">
        <f>-'6.2. Паспорт фин осв ввод'!P24*1000000</f>
        <v>-1415201.22</v>
      </c>
      <c r="D81" s="256">
        <f>-'6.2. Паспорт фин осв ввод'!V24*1000000</f>
        <v>0</v>
      </c>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row>
    <row r="82" spans="1:31" x14ac:dyDescent="0.2">
      <c r="A82" s="254" t="s">
        <v>250</v>
      </c>
      <c r="B82" s="256">
        <v>0</v>
      </c>
      <c r="C82" s="256">
        <v>0</v>
      </c>
      <c r="D82" s="256">
        <v>0</v>
      </c>
      <c r="E82" s="256">
        <v>0</v>
      </c>
      <c r="F82" s="256">
        <v>0</v>
      </c>
      <c r="G82" s="256">
        <v>0</v>
      </c>
      <c r="H82" s="256">
        <v>0</v>
      </c>
      <c r="I82" s="256">
        <v>0</v>
      </c>
      <c r="J82" s="256">
        <v>0</v>
      </c>
      <c r="K82" s="256">
        <v>0</v>
      </c>
      <c r="L82" s="256">
        <v>0</v>
      </c>
      <c r="M82" s="256">
        <v>0</v>
      </c>
      <c r="N82" s="256">
        <v>0</v>
      </c>
      <c r="O82" s="256">
        <v>0</v>
      </c>
      <c r="P82" s="256">
        <v>0</v>
      </c>
      <c r="Q82" s="256">
        <v>0</v>
      </c>
      <c r="R82" s="256">
        <v>0</v>
      </c>
      <c r="S82" s="256">
        <v>0</v>
      </c>
      <c r="T82" s="256">
        <v>0</v>
      </c>
      <c r="U82" s="256">
        <v>0</v>
      </c>
      <c r="V82" s="256">
        <v>0</v>
      </c>
      <c r="W82" s="256">
        <v>0</v>
      </c>
      <c r="X82" s="256">
        <v>0</v>
      </c>
      <c r="Y82" s="256">
        <v>0</v>
      </c>
      <c r="Z82" s="256">
        <v>0</v>
      </c>
      <c r="AA82" s="256">
        <v>0</v>
      </c>
      <c r="AB82" s="256">
        <v>0</v>
      </c>
      <c r="AC82" s="256">
        <v>0</v>
      </c>
      <c r="AD82" s="256">
        <v>0</v>
      </c>
      <c r="AE82" s="256">
        <v>0</v>
      </c>
    </row>
    <row r="83" spans="1:31" x14ac:dyDescent="0.2">
      <c r="A83" s="257" t="s">
        <v>249</v>
      </c>
      <c r="B83" s="258">
        <f t="shared" ref="B83:AE83" si="13">SUM(B75:B82)</f>
        <v>0</v>
      </c>
      <c r="C83" s="258">
        <f t="shared" si="13"/>
        <v>-1721981.196612</v>
      </c>
      <c r="D83" s="258">
        <f t="shared" si="13"/>
        <v>-29058.798383999994</v>
      </c>
      <c r="E83" s="258">
        <f t="shared" si="13"/>
        <v>-28020.984155999991</v>
      </c>
      <c r="F83" s="258">
        <f t="shared" si="13"/>
        <v>-26983.169927999988</v>
      </c>
      <c r="G83" s="258">
        <f t="shared" si="13"/>
        <v>-25945.355699999986</v>
      </c>
      <c r="H83" s="258">
        <f t="shared" si="13"/>
        <v>-26605.78293599996</v>
      </c>
      <c r="I83" s="258">
        <f t="shared" si="13"/>
        <v>-23869.727243999994</v>
      </c>
      <c r="J83" s="258">
        <f t="shared" si="13"/>
        <v>28115.330903999999</v>
      </c>
      <c r="K83" s="258">
        <f t="shared" si="13"/>
        <v>-21794.098787999988</v>
      </c>
      <c r="L83" s="258">
        <f t="shared" si="13"/>
        <v>-20756.284559999986</v>
      </c>
      <c r="M83" s="258">
        <f t="shared" si="13"/>
        <v>-42550.383348000018</v>
      </c>
      <c r="N83" s="258">
        <f t="shared" si="13"/>
        <v>-20378.897567999971</v>
      </c>
      <c r="O83" s="258">
        <f t="shared" si="13"/>
        <v>-17642.841875999991</v>
      </c>
      <c r="P83" s="258">
        <f t="shared" si="13"/>
        <v>-16605.027647999996</v>
      </c>
      <c r="Q83" s="258">
        <f t="shared" si="13"/>
        <v>-15567.21342</v>
      </c>
      <c r="R83" s="258">
        <f t="shared" si="13"/>
        <v>36417.844727999989</v>
      </c>
      <c r="S83" s="258">
        <f t="shared" si="13"/>
        <v>-13491.584963999994</v>
      </c>
      <c r="T83" s="258">
        <f t="shared" si="13"/>
        <v>-14152.012199999976</v>
      </c>
      <c r="U83" s="258">
        <f t="shared" si="13"/>
        <v>-11415.956508000003</v>
      </c>
      <c r="V83" s="258">
        <f t="shared" si="13"/>
        <v>-10378.14228</v>
      </c>
      <c r="W83" s="258">
        <f t="shared" si="13"/>
        <v>-9340.3280519999971</v>
      </c>
      <c r="X83" s="258">
        <f t="shared" si="13"/>
        <v>-8302.5138240000015</v>
      </c>
      <c r="Y83" s="258">
        <f t="shared" si="13"/>
        <v>-7264.6995959999986</v>
      </c>
      <c r="Z83" s="258">
        <f t="shared" si="13"/>
        <v>43022.117087999955</v>
      </c>
      <c r="AA83" s="258">
        <f t="shared" si="13"/>
        <v>-5189.07114</v>
      </c>
      <c r="AB83" s="258">
        <f t="shared" si="13"/>
        <v>-4151.2569119999971</v>
      </c>
      <c r="AC83" s="258">
        <f t="shared" si="13"/>
        <v>-3113.4426839999942</v>
      </c>
      <c r="AD83" s="258">
        <f t="shared" si="13"/>
        <v>-2075.6284559999986</v>
      </c>
      <c r="AE83" s="258">
        <f t="shared" si="13"/>
        <v>-1037.8142279999956</v>
      </c>
    </row>
    <row r="84" spans="1:31" x14ac:dyDescent="0.2">
      <c r="A84" s="257" t="s">
        <v>572</v>
      </c>
      <c r="B84" s="258">
        <f>SUM($B$83:B83)</f>
        <v>0</v>
      </c>
      <c r="C84" s="258">
        <f>SUM($B$83:C83)</f>
        <v>-1721981.196612</v>
      </c>
      <c r="D84" s="258">
        <f>SUM($B$83:D83)</f>
        <v>-1751039.9949960001</v>
      </c>
      <c r="E84" s="258">
        <f>SUM($B$83:E83)</f>
        <v>-1779060.979152</v>
      </c>
      <c r="F84" s="258">
        <f>SUM($B$83:F83)</f>
        <v>-1806044.1490800001</v>
      </c>
      <c r="G84" s="258">
        <f>SUM($B$83:G83)</f>
        <v>-1831989.5047800001</v>
      </c>
      <c r="H84" s="258">
        <f>SUM($B$83:H83)</f>
        <v>-1858595.2877160001</v>
      </c>
      <c r="I84" s="258">
        <f>SUM($B$83:I83)</f>
        <v>-1882465.0149600001</v>
      </c>
      <c r="J84" s="258">
        <f>SUM($B$83:J83)</f>
        <v>-1854349.6840560001</v>
      </c>
      <c r="K84" s="258">
        <f>SUM($B$83:K83)</f>
        <v>-1876143.782844</v>
      </c>
      <c r="L84" s="258">
        <f>SUM($B$83:L83)</f>
        <v>-1896900.0674040001</v>
      </c>
      <c r="M84" s="258">
        <f>SUM($B$83:M83)</f>
        <v>-1939450.4507520001</v>
      </c>
      <c r="N84" s="258">
        <f>SUM($B$83:N83)</f>
        <v>-1959829.3483200001</v>
      </c>
      <c r="O84" s="258">
        <f>SUM($B$83:O83)</f>
        <v>-1977472.190196</v>
      </c>
      <c r="P84" s="258">
        <f>SUM($B$83:P83)</f>
        <v>-1994077.2178440001</v>
      </c>
      <c r="Q84" s="258">
        <f>SUM($B$83:Q83)</f>
        <v>-2009644.431264</v>
      </c>
      <c r="R84" s="258">
        <f>SUM($B$83:R83)</f>
        <v>-1973226.586536</v>
      </c>
      <c r="S84" s="258">
        <f>SUM($B$83:S83)</f>
        <v>-1986718.1714999999</v>
      </c>
      <c r="T84" s="258">
        <f>SUM($B$83:T83)</f>
        <v>-2000870.1836999999</v>
      </c>
      <c r="U84" s="258">
        <f>SUM($B$83:U83)</f>
        <v>-2012286.1402079999</v>
      </c>
      <c r="V84" s="258">
        <f>SUM($B$83:V83)</f>
        <v>-2022664.2824879999</v>
      </c>
      <c r="W84" s="258">
        <f>SUM($B$83:W83)</f>
        <v>-2032004.6105399998</v>
      </c>
      <c r="X84" s="258">
        <f>SUM($B$83:X83)</f>
        <v>-2040307.1243639998</v>
      </c>
      <c r="Y84" s="258">
        <f>SUM($B$83:Y83)</f>
        <v>-2047571.8239599997</v>
      </c>
      <c r="Z84" s="258">
        <f>SUM($B$83:Z83)</f>
        <v>-2004549.7068719997</v>
      </c>
      <c r="AA84" s="258">
        <f>SUM($B$83:AA83)</f>
        <v>-2009738.7780119996</v>
      </c>
      <c r="AB84" s="258">
        <f>SUM($B$83:AB83)</f>
        <v>-2013890.0349239996</v>
      </c>
      <c r="AC84" s="258">
        <f>SUM($B$83:AC83)</f>
        <v>-2017003.4776079995</v>
      </c>
      <c r="AD84" s="258">
        <f>SUM($B$83:AD83)</f>
        <v>-2019079.1060639995</v>
      </c>
      <c r="AE84" s="258">
        <f>SUM($B$83:AE83)</f>
        <v>-2020116.9202919994</v>
      </c>
    </row>
    <row r="85" spans="1:31" x14ac:dyDescent="0.2">
      <c r="A85" s="265" t="s">
        <v>433</v>
      </c>
      <c r="B85" s="266">
        <f t="shared" ref="B85:AE85" si="14">1/POWER((1+$B$43),B73)</f>
        <v>0.95402649883562884</v>
      </c>
      <c r="C85" s="266">
        <f t="shared" si="14"/>
        <v>0.86832301705254278</v>
      </c>
      <c r="D85" s="266">
        <f t="shared" si="14"/>
        <v>0.79031857381682236</v>
      </c>
      <c r="E85" s="266">
        <f t="shared" si="14"/>
        <v>0.71932153801476506</v>
      </c>
      <c r="F85" s="266">
        <f t="shared" si="14"/>
        <v>0.65470241013449082</v>
      </c>
      <c r="G85" s="266">
        <f t="shared" si="14"/>
        <v>0.59588824077044755</v>
      </c>
      <c r="H85" s="266">
        <f t="shared" si="14"/>
        <v>0.54235755053285484</v>
      </c>
      <c r="I85" s="266">
        <f t="shared" si="14"/>
        <v>0.49363570631915432</v>
      </c>
      <c r="J85" s="266">
        <f t="shared" si="14"/>
        <v>0.44929071295090039</v>
      </c>
      <c r="K85" s="266">
        <f t="shared" si="14"/>
        <v>0.40892938286238317</v>
      </c>
      <c r="L85" s="266">
        <f t="shared" si="14"/>
        <v>0.37219384987929666</v>
      </c>
      <c r="M85" s="266">
        <f t="shared" si="14"/>
        <v>0.3387583961766602</v>
      </c>
      <c r="N85" s="266">
        <f t="shared" si="14"/>
        <v>0.30832656428202437</v>
      </c>
      <c r="O85" s="266">
        <f t="shared" si="14"/>
        <v>0.28062852851736092</v>
      </c>
      <c r="P85" s="266">
        <f t="shared" si="14"/>
        <v>0.25541870257336935</v>
      </c>
      <c r="Q85" s="266">
        <f t="shared" si="14"/>
        <v>0.23247356200361272</v>
      </c>
      <c r="R85" s="266">
        <f t="shared" si="14"/>
        <v>0.21158966233149432</v>
      </c>
      <c r="S85" s="266">
        <f t="shared" si="14"/>
        <v>0.19258183519750091</v>
      </c>
      <c r="T85" s="266">
        <f t="shared" si="14"/>
        <v>0.17528154655274497</v>
      </c>
      <c r="U85" s="266">
        <f t="shared" si="14"/>
        <v>0.15953540234162647</v>
      </c>
      <c r="V85" s="266">
        <f t="shared" si="14"/>
        <v>0.14520378842416171</v>
      </c>
      <c r="W85" s="266">
        <f t="shared" si="14"/>
        <v>0.13215963267876735</v>
      </c>
      <c r="X85" s="266">
        <f t="shared" si="14"/>
        <v>0.12028727830960895</v>
      </c>
      <c r="Y85" s="266">
        <f t="shared" si="14"/>
        <v>0.10948145836862559</v>
      </c>
      <c r="Z85" s="266">
        <f t="shared" si="14"/>
        <v>9.9646362399768443E-2</v>
      </c>
      <c r="AA85" s="266">
        <f t="shared" si="14"/>
        <v>9.0694786929797461E-2</v>
      </c>
      <c r="AB85" s="266">
        <f t="shared" si="14"/>
        <v>8.2547362273411681E-2</v>
      </c>
      <c r="AC85" s="266">
        <f t="shared" si="14"/>
        <v>7.5131848797134526E-2</v>
      </c>
      <c r="AD85" s="266">
        <f t="shared" si="14"/>
        <v>6.8382496402234039E-2</v>
      </c>
      <c r="AE85" s="266">
        <f t="shared" si="14"/>
        <v>6.2239461547496142E-2</v>
      </c>
    </row>
    <row r="86" spans="1:31" x14ac:dyDescent="0.2">
      <c r="A86" s="263" t="s">
        <v>573</v>
      </c>
      <c r="B86" s="258">
        <f t="shared" ref="B86:AE86" si="15">B83*B85</f>
        <v>0</v>
      </c>
      <c r="C86" s="258">
        <f t="shared" si="15"/>
        <v>-1495235.9079498798</v>
      </c>
      <c r="D86" s="258">
        <f t="shared" si="15"/>
        <v>-22965.708095673457</v>
      </c>
      <c r="E86" s="258">
        <f t="shared" si="15"/>
        <v>-20156.097419781276</v>
      </c>
      <c r="F86" s="258">
        <f t="shared" si="15"/>
        <v>-17665.946384930106</v>
      </c>
      <c r="G86" s="258">
        <f t="shared" si="15"/>
        <v>-15460.532364236495</v>
      </c>
      <c r="H86" s="258">
        <f t="shared" si="15"/>
        <v>-14429.847263177766</v>
      </c>
      <c r="I86" s="258">
        <f t="shared" si="15"/>
        <v>-11782.949667737497</v>
      </c>
      <c r="J86" s="258">
        <f t="shared" si="15"/>
        <v>12631.957066708643</v>
      </c>
      <c r="K86" s="258">
        <f t="shared" si="15"/>
        <v>-8912.2473674186476</v>
      </c>
      <c r="L86" s="258">
        <f t="shared" si="15"/>
        <v>-7725.3614595765976</v>
      </c>
      <c r="M86" s="258">
        <f t="shared" si="15"/>
        <v>-14414.299619670555</v>
      </c>
      <c r="N86" s="258">
        <f t="shared" si="15"/>
        <v>-6283.3554709967329</v>
      </c>
      <c r="O86" s="258">
        <f t="shared" si="15"/>
        <v>-4951.0847545263532</v>
      </c>
      <c r="P86" s="258">
        <f t="shared" si="15"/>
        <v>-4241.2346180470859</v>
      </c>
      <c r="Q86" s="258">
        <f t="shared" si="15"/>
        <v>-3618.9655542178421</v>
      </c>
      <c r="R86" s="258">
        <f t="shared" si="15"/>
        <v>7705.6394688383079</v>
      </c>
      <c r="S86" s="258">
        <f t="shared" si="15"/>
        <v>-2598.2341920901281</v>
      </c>
      <c r="T86" s="258">
        <f t="shared" si="15"/>
        <v>-2480.5865852493107</v>
      </c>
      <c r="U86" s="258">
        <f t="shared" si="15"/>
        <v>-1821.2492146182897</v>
      </c>
      <c r="V86" s="258">
        <f t="shared" si="15"/>
        <v>-1506.9455758609672</v>
      </c>
      <c r="W86" s="258">
        <f t="shared" si="15"/>
        <v>-1234.4143244515062</v>
      </c>
      <c r="X86" s="258">
        <f t="shared" si="15"/>
        <v>-998.68679101686382</v>
      </c>
      <c r="Y86" s="258">
        <f t="shared" si="15"/>
        <v>-795.34990638004501</v>
      </c>
      <c r="Z86" s="258">
        <f t="shared" si="15"/>
        <v>4286.9974705561144</v>
      </c>
      <c r="AA86" s="258">
        <f t="shared" si="15"/>
        <v>-470.62170140586119</v>
      </c>
      <c r="AB86" s="258">
        <f t="shared" si="15"/>
        <v>-342.67530820486803</v>
      </c>
      <c r="AC86" s="258">
        <f t="shared" si="15"/>
        <v>-233.91870497283224</v>
      </c>
      <c r="AD86" s="258">
        <f t="shared" si="15"/>
        <v>-141.93665542479448</v>
      </c>
      <c r="AE86" s="258">
        <f t="shared" si="15"/>
        <v>-64.592998737050124</v>
      </c>
    </row>
    <row r="87" spans="1:31" x14ac:dyDescent="0.2">
      <c r="A87" s="263" t="s">
        <v>574</v>
      </c>
      <c r="B87" s="258">
        <f>SUM($B$86:B86)</f>
        <v>0</v>
      </c>
      <c r="C87" s="258">
        <f>SUM($B$86:C86)</f>
        <v>-1495235.9079498798</v>
      </c>
      <c r="D87" s="258">
        <f>SUM($B$86:D86)</f>
        <v>-1518201.6160455532</v>
      </c>
      <c r="E87" s="258">
        <f>SUM($B$86:E86)</f>
        <v>-1538357.7134653346</v>
      </c>
      <c r="F87" s="258">
        <f>SUM($B$86:F86)</f>
        <v>-1556023.6598502647</v>
      </c>
      <c r="G87" s="258">
        <f>SUM($B$86:G86)</f>
        <v>-1571484.1922145011</v>
      </c>
      <c r="H87" s="258">
        <f>SUM($B$86:H86)</f>
        <v>-1585914.0394776789</v>
      </c>
      <c r="I87" s="258">
        <f>SUM($B$86:I86)</f>
        <v>-1597696.9891454165</v>
      </c>
      <c r="J87" s="258">
        <f>SUM($B$86:J86)</f>
        <v>-1585065.0320787078</v>
      </c>
      <c r="K87" s="258">
        <f>SUM($B$86:K86)</f>
        <v>-1593977.2794461264</v>
      </c>
      <c r="L87" s="258">
        <f>SUM($B$86:L86)</f>
        <v>-1601702.640905703</v>
      </c>
      <c r="M87" s="258">
        <f>SUM($B$86:M86)</f>
        <v>-1616116.9405253734</v>
      </c>
      <c r="N87" s="258">
        <f>SUM($B$86:N86)</f>
        <v>-1622400.2959963703</v>
      </c>
      <c r="O87" s="258">
        <f>SUM($B$86:O86)</f>
        <v>-1627351.3807508966</v>
      </c>
      <c r="P87" s="258">
        <f>SUM($B$86:P86)</f>
        <v>-1631592.6153689437</v>
      </c>
      <c r="Q87" s="258">
        <f>SUM($B$86:Q86)</f>
        <v>-1635211.5809231615</v>
      </c>
      <c r="R87" s="258">
        <f>SUM($B$86:R86)</f>
        <v>-1627505.9414543232</v>
      </c>
      <c r="S87" s="258">
        <f>SUM($B$86:S86)</f>
        <v>-1630104.1756464134</v>
      </c>
      <c r="T87" s="258">
        <f>SUM($B$86:T86)</f>
        <v>-1632584.7622316626</v>
      </c>
      <c r="U87" s="258">
        <f>SUM($B$86:U86)</f>
        <v>-1634406.0114462809</v>
      </c>
      <c r="V87" s="258">
        <f>SUM($B$86:V86)</f>
        <v>-1635912.9570221419</v>
      </c>
      <c r="W87" s="258">
        <f>SUM($B$86:W86)</f>
        <v>-1637147.3713465934</v>
      </c>
      <c r="X87" s="258">
        <f>SUM($B$86:X86)</f>
        <v>-1638146.0581376103</v>
      </c>
      <c r="Y87" s="258">
        <f>SUM($B$86:Y86)</f>
        <v>-1638941.4080439904</v>
      </c>
      <c r="Z87" s="258">
        <f>SUM($B$86:Z86)</f>
        <v>-1634654.4105734343</v>
      </c>
      <c r="AA87" s="258">
        <f>SUM($B$86:AA86)</f>
        <v>-1635125.0322748402</v>
      </c>
      <c r="AB87" s="258">
        <f>SUM($B$86:AB86)</f>
        <v>-1635467.7075830451</v>
      </c>
      <c r="AC87" s="258">
        <f>SUM($B$86:AC86)</f>
        <v>-1635701.626288018</v>
      </c>
      <c r="AD87" s="258">
        <f>SUM($B$86:AD86)</f>
        <v>-1635843.5629434427</v>
      </c>
      <c r="AE87" s="258">
        <f>SUM($B$86:AE86)</f>
        <v>-1635908.1559421797</v>
      </c>
    </row>
    <row r="88" spans="1:31" x14ac:dyDescent="0.2">
      <c r="A88" s="263" t="s">
        <v>575</v>
      </c>
      <c r="B88" s="267">
        <f>IF((ISERR(IRR($B$83:B83))),0,IF(IRR($B$83:B83)&lt;0,0,IRR($B$83:B83)))</f>
        <v>0</v>
      </c>
      <c r="C88" s="267">
        <f>IF((ISERR(IRR($B$83:C83))),0,IF(IRR($B$83:C83)&lt;0,0,IRR($B$83:C83)))</f>
        <v>0</v>
      </c>
      <c r="D88" s="267">
        <f>IF((ISERR(IRR($B$83:D83))),0,IF(IRR($B$83:D83)&lt;0,0,IRR($B$83:D83)))</f>
        <v>0</v>
      </c>
      <c r="E88" s="267">
        <f>IF((ISERR(IRR($B$83:E83))),0,IF(IRR($B$83:E83)&lt;0,0,IRR($B$83:E83)))</f>
        <v>0</v>
      </c>
      <c r="F88" s="267">
        <f>IF((ISERR(IRR($B$83:F83))),0,IF(IRR($B$83:F83)&lt;0,0,IRR($B$83:F83)))</f>
        <v>0</v>
      </c>
      <c r="G88" s="267">
        <f>IF((ISERR(IRR($B$83:G83))),0,IF(IRR($B$83:G83)&lt;0,0,IRR($B$83:G83)))</f>
        <v>0</v>
      </c>
      <c r="H88" s="267">
        <f>IF((ISERR(IRR($B$83:H83))),0,IF(IRR($B$83:H83)&lt;0,0,IRR($B$83:H83)))</f>
        <v>0</v>
      </c>
      <c r="I88" s="267">
        <f>IF((ISERR(IRR($B$83:I83))),0,IF(IRR($B$83:I83)&lt;0,0,IRR($B$83:I83)))</f>
        <v>0</v>
      </c>
      <c r="J88" s="267">
        <f>IF((ISERR(IRR($B$83:J83))),0,IF(IRR($B$83:J83)&lt;0,0,IRR($B$83:J83)))</f>
        <v>0</v>
      </c>
      <c r="K88" s="267">
        <f>IF((ISERR(IRR($B$83:K83))),0,IF(IRR($B$83:K83)&lt;0,0,IRR($B$83:K83)))</f>
        <v>0</v>
      </c>
      <c r="L88" s="267">
        <f>IF((ISERR(IRR($B$83:L83))),0,IF(IRR($B$83:L83)&lt;0,0,IRR($B$83:L83)))</f>
        <v>0</v>
      </c>
      <c r="M88" s="267">
        <f>IF((ISERR(IRR($B$83:M83))),0,IF(IRR($B$83:M83)&lt;0,0,IRR($B$83:M83)))</f>
        <v>0</v>
      </c>
      <c r="N88" s="267">
        <f>IF((ISERR(IRR($B$83:N83))),0,IF(IRR($B$83:N83)&lt;0,0,IRR($B$83:N83)))</f>
        <v>0</v>
      </c>
      <c r="O88" s="267">
        <f>IF((ISERR(IRR($B$83:O83))),0,IF(IRR($B$83:O83)&lt;0,0,IRR($B$83:O83)))</f>
        <v>0</v>
      </c>
      <c r="P88" s="267">
        <f>IF((ISERR(IRR($B$83:P83))),0,IF(IRR($B$83:P83)&lt;0,0,IRR($B$83:P83)))</f>
        <v>0</v>
      </c>
      <c r="Q88" s="267">
        <f>IF((ISERR(IRR($B$83:Q83))),0,IF(IRR($B$83:Q83)&lt;0,0,IRR($B$83:Q83)))</f>
        <v>0</v>
      </c>
      <c r="R88" s="267">
        <f>IF((ISERR(IRR($B$83:R83))),0,IF(IRR($B$83:R83)&lt;0,0,IRR($B$83:R83)))</f>
        <v>0</v>
      </c>
      <c r="S88" s="267">
        <f>IF((ISERR(IRR($B$83:S83))),0,IF(IRR($B$83:S83)&lt;0,0,IRR($B$83:S83)))</f>
        <v>0</v>
      </c>
      <c r="T88" s="267">
        <f>IF((ISERR(IRR($B$83:T83))),0,IF(IRR($B$83:T83)&lt;0,0,IRR($B$83:T83)))</f>
        <v>0</v>
      </c>
      <c r="U88" s="267">
        <f>IF((ISERR(IRR($B$83:U83))),0,IF(IRR($B$83:U83)&lt;0,0,IRR($B$83:U83)))</f>
        <v>0</v>
      </c>
      <c r="V88" s="267">
        <f>IF((ISERR(IRR($B$83:V83))),0,IF(IRR($B$83:V83)&lt;0,0,IRR($B$83:V83)))</f>
        <v>0</v>
      </c>
      <c r="W88" s="267">
        <f>IF((ISERR(IRR($B$83:W83))),0,IF(IRR($B$83:W83)&lt;0,0,IRR($B$83:W83)))</f>
        <v>0</v>
      </c>
      <c r="X88" s="267">
        <f>IF((ISERR(IRR($B$83:X83))),0,IF(IRR($B$83:X83)&lt;0,0,IRR($B$83:X83)))</f>
        <v>0</v>
      </c>
      <c r="Y88" s="267">
        <f>IF((ISERR(IRR($B$83:Y83))),0,IF(IRR($B$83:Y83)&lt;0,0,IRR($B$83:Y83)))</f>
        <v>0</v>
      </c>
      <c r="Z88" s="267">
        <f>IF((ISERR(IRR($B$83:Z83))),0,IF(IRR($B$83:Z83)&lt;0,0,IRR($B$83:Z83)))</f>
        <v>0</v>
      </c>
      <c r="AA88" s="267">
        <f>IF((ISERR(IRR($B$83:AA83))),0,IF(IRR($B$83:AA83)&lt;0,0,IRR($B$83:AA83)))</f>
        <v>0</v>
      </c>
      <c r="AB88" s="267">
        <f>IF((ISERR(IRR($B$83:AB83))),0,IF(IRR($B$83:AB83)&lt;0,0,IRR($B$83:AB83)))</f>
        <v>0</v>
      </c>
      <c r="AC88" s="267">
        <f>IF((ISERR(IRR($B$83:AC83))),0,IF(IRR($B$83:AC83)&lt;0,0,IRR($B$83:AC83)))</f>
        <v>0</v>
      </c>
      <c r="AD88" s="267">
        <f>IF((ISERR(IRR($B$83:AD83))),0,IF(IRR($B$83:AD83)&lt;0,0,IRR($B$83:AD83)))</f>
        <v>0</v>
      </c>
      <c r="AE88" s="267">
        <f>IF((ISERR(IRR($B$83:AE83))),0,IF(IRR($B$83:AE83)&lt;0,0,IRR($B$83:AE83)))</f>
        <v>0</v>
      </c>
    </row>
    <row r="89" spans="1:31" x14ac:dyDescent="0.2">
      <c r="A89" s="263" t="s">
        <v>576</v>
      </c>
      <c r="B89" s="268">
        <f t="shared" ref="B89:AE89" si="16">IF(AND(B84&gt;0,A84&lt;0),(B74-(B84/(B84-A84))),0)</f>
        <v>0</v>
      </c>
      <c r="C89" s="268">
        <f t="shared" si="16"/>
        <v>0</v>
      </c>
      <c r="D89" s="268">
        <f t="shared" si="16"/>
        <v>0</v>
      </c>
      <c r="E89" s="268">
        <f t="shared" si="16"/>
        <v>0</v>
      </c>
      <c r="F89" s="268">
        <f t="shared" si="16"/>
        <v>0</v>
      </c>
      <c r="G89" s="268">
        <f t="shared" si="16"/>
        <v>0</v>
      </c>
      <c r="H89" s="268">
        <f t="shared" si="16"/>
        <v>0</v>
      </c>
      <c r="I89" s="268">
        <f t="shared" si="16"/>
        <v>0</v>
      </c>
      <c r="J89" s="268">
        <f t="shared" si="16"/>
        <v>0</v>
      </c>
      <c r="K89" s="268">
        <f t="shared" si="16"/>
        <v>0</v>
      </c>
      <c r="L89" s="268">
        <f t="shared" si="16"/>
        <v>0</v>
      </c>
      <c r="M89" s="268">
        <f t="shared" si="16"/>
        <v>0</v>
      </c>
      <c r="N89" s="268">
        <f t="shared" si="16"/>
        <v>0</v>
      </c>
      <c r="O89" s="268">
        <f t="shared" si="16"/>
        <v>0</v>
      </c>
      <c r="P89" s="268">
        <f t="shared" si="16"/>
        <v>0</v>
      </c>
      <c r="Q89" s="268">
        <f t="shared" si="16"/>
        <v>0</v>
      </c>
      <c r="R89" s="268">
        <f t="shared" si="16"/>
        <v>0</v>
      </c>
      <c r="S89" s="268">
        <f t="shared" si="16"/>
        <v>0</v>
      </c>
      <c r="T89" s="268">
        <f t="shared" si="16"/>
        <v>0</v>
      </c>
      <c r="U89" s="268">
        <f t="shared" si="16"/>
        <v>0</v>
      </c>
      <c r="V89" s="268">
        <f t="shared" si="16"/>
        <v>0</v>
      </c>
      <c r="W89" s="268">
        <f t="shared" si="16"/>
        <v>0</v>
      </c>
      <c r="X89" s="268">
        <f t="shared" si="16"/>
        <v>0</v>
      </c>
      <c r="Y89" s="268">
        <f t="shared" si="16"/>
        <v>0</v>
      </c>
      <c r="Z89" s="268">
        <f t="shared" si="16"/>
        <v>0</v>
      </c>
      <c r="AA89" s="268">
        <f t="shared" si="16"/>
        <v>0</v>
      </c>
      <c r="AB89" s="268">
        <f t="shared" si="16"/>
        <v>0</v>
      </c>
      <c r="AC89" s="268">
        <f t="shared" si="16"/>
        <v>0</v>
      </c>
      <c r="AD89" s="268">
        <f t="shared" si="16"/>
        <v>0</v>
      </c>
      <c r="AE89" s="268">
        <f t="shared" si="16"/>
        <v>0</v>
      </c>
    </row>
    <row r="90" spans="1:31" ht="13.5" thickBot="1" x14ac:dyDescent="0.25">
      <c r="A90" s="269" t="s">
        <v>577</v>
      </c>
      <c r="B90" s="270">
        <f t="shared" ref="B90:AE90" si="17">IF(AND(B87&gt;0,A87&lt;0),(B74-(B87/(B87-A87))),0)</f>
        <v>0</v>
      </c>
      <c r="C90" s="270">
        <f t="shared" si="17"/>
        <v>0</v>
      </c>
      <c r="D90" s="270">
        <f t="shared" si="17"/>
        <v>0</v>
      </c>
      <c r="E90" s="270">
        <f t="shared" si="17"/>
        <v>0</v>
      </c>
      <c r="F90" s="270">
        <f t="shared" si="17"/>
        <v>0</v>
      </c>
      <c r="G90" s="270">
        <f t="shared" si="17"/>
        <v>0</v>
      </c>
      <c r="H90" s="270">
        <f t="shared" si="17"/>
        <v>0</v>
      </c>
      <c r="I90" s="270">
        <f t="shared" si="17"/>
        <v>0</v>
      </c>
      <c r="J90" s="270">
        <f t="shared" si="17"/>
        <v>0</v>
      </c>
      <c r="K90" s="270">
        <f t="shared" si="17"/>
        <v>0</v>
      </c>
      <c r="L90" s="270">
        <f t="shared" si="17"/>
        <v>0</v>
      </c>
      <c r="M90" s="270">
        <f t="shared" si="17"/>
        <v>0</v>
      </c>
      <c r="N90" s="270">
        <f t="shared" si="17"/>
        <v>0</v>
      </c>
      <c r="O90" s="270">
        <f t="shared" si="17"/>
        <v>0</v>
      </c>
      <c r="P90" s="270">
        <f t="shared" si="17"/>
        <v>0</v>
      </c>
      <c r="Q90" s="270">
        <f t="shared" si="17"/>
        <v>0</v>
      </c>
      <c r="R90" s="270">
        <f t="shared" si="17"/>
        <v>0</v>
      </c>
      <c r="S90" s="270">
        <f t="shared" si="17"/>
        <v>0</v>
      </c>
      <c r="T90" s="270">
        <f t="shared" si="17"/>
        <v>0</v>
      </c>
      <c r="U90" s="270">
        <f t="shared" si="17"/>
        <v>0</v>
      </c>
      <c r="V90" s="270">
        <f t="shared" si="17"/>
        <v>0</v>
      </c>
      <c r="W90" s="270">
        <f t="shared" si="17"/>
        <v>0</v>
      </c>
      <c r="X90" s="270">
        <f t="shared" si="17"/>
        <v>0</v>
      </c>
      <c r="Y90" s="270">
        <f t="shared" si="17"/>
        <v>0</v>
      </c>
      <c r="Z90" s="270">
        <f t="shared" si="17"/>
        <v>0</v>
      </c>
      <c r="AA90" s="270">
        <f t="shared" si="17"/>
        <v>0</v>
      </c>
      <c r="AB90" s="270">
        <f t="shared" si="17"/>
        <v>0</v>
      </c>
      <c r="AC90" s="270">
        <f t="shared" si="17"/>
        <v>0</v>
      </c>
      <c r="AD90" s="270">
        <f t="shared" si="17"/>
        <v>0</v>
      </c>
      <c r="AE90" s="270">
        <f t="shared" si="17"/>
        <v>0</v>
      </c>
    </row>
    <row r="91" spans="1:31" x14ac:dyDescent="0.2">
      <c r="A91" s="271"/>
      <c r="B91" s="271">
        <v>2020</v>
      </c>
      <c r="C91" s="271">
        <f t="shared" ref="C91:R92" si="18">B91+1</f>
        <v>2021</v>
      </c>
      <c r="D91" s="271">
        <f t="shared" si="18"/>
        <v>2022</v>
      </c>
      <c r="E91" s="271">
        <f t="shared" si="18"/>
        <v>2023</v>
      </c>
      <c r="F91" s="271">
        <f t="shared" si="18"/>
        <v>2024</v>
      </c>
      <c r="G91" s="271">
        <f t="shared" si="18"/>
        <v>2025</v>
      </c>
      <c r="H91" s="271">
        <f t="shared" si="18"/>
        <v>2026</v>
      </c>
      <c r="I91" s="271">
        <f t="shared" si="18"/>
        <v>2027</v>
      </c>
      <c r="J91" s="271">
        <f t="shared" si="18"/>
        <v>2028</v>
      </c>
      <c r="K91" s="271">
        <f t="shared" si="18"/>
        <v>2029</v>
      </c>
      <c r="L91" s="271">
        <f t="shared" si="18"/>
        <v>2030</v>
      </c>
      <c r="M91" s="271">
        <f t="shared" si="18"/>
        <v>2031</v>
      </c>
      <c r="N91" s="271">
        <f t="shared" si="18"/>
        <v>2032</v>
      </c>
      <c r="O91" s="271">
        <f t="shared" si="18"/>
        <v>2033</v>
      </c>
      <c r="P91" s="271">
        <f t="shared" si="18"/>
        <v>2034</v>
      </c>
      <c r="Q91" s="271">
        <f t="shared" si="18"/>
        <v>2035</v>
      </c>
      <c r="R91" s="271">
        <f t="shared" si="18"/>
        <v>2036</v>
      </c>
      <c r="S91" s="271">
        <f t="shared" ref="S91:AE92" si="19">R91+1</f>
        <v>2037</v>
      </c>
      <c r="T91" s="271">
        <f t="shared" si="19"/>
        <v>2038</v>
      </c>
      <c r="U91" s="271">
        <f t="shared" si="19"/>
        <v>2039</v>
      </c>
      <c r="V91" s="271">
        <f t="shared" si="19"/>
        <v>2040</v>
      </c>
      <c r="W91" s="271">
        <f t="shared" si="19"/>
        <v>2041</v>
      </c>
      <c r="X91" s="271">
        <f t="shared" si="19"/>
        <v>2042</v>
      </c>
      <c r="Y91" s="271">
        <f t="shared" si="19"/>
        <v>2043</v>
      </c>
      <c r="Z91" s="271">
        <f t="shared" si="19"/>
        <v>2044</v>
      </c>
      <c r="AA91" s="271">
        <f t="shared" si="19"/>
        <v>2045</v>
      </c>
      <c r="AB91" s="271">
        <f t="shared" si="19"/>
        <v>2046</v>
      </c>
      <c r="AC91" s="271">
        <f t="shared" si="19"/>
        <v>2047</v>
      </c>
      <c r="AD91" s="271">
        <f t="shared" si="19"/>
        <v>2048</v>
      </c>
      <c r="AE91" s="271">
        <f t="shared" si="19"/>
        <v>2049</v>
      </c>
    </row>
    <row r="92" spans="1:31" x14ac:dyDescent="0.2">
      <c r="B92" s="203">
        <v>1</v>
      </c>
      <c r="C92" s="203">
        <f>B92+1</f>
        <v>2</v>
      </c>
      <c r="D92" s="203">
        <f t="shared" si="18"/>
        <v>3</v>
      </c>
      <c r="E92" s="203">
        <f t="shared" si="18"/>
        <v>4</v>
      </c>
      <c r="F92" s="203">
        <f t="shared" si="18"/>
        <v>5</v>
      </c>
      <c r="G92" s="203">
        <f t="shared" si="18"/>
        <v>6</v>
      </c>
      <c r="H92" s="203">
        <f t="shared" si="18"/>
        <v>7</v>
      </c>
      <c r="I92" s="203">
        <f t="shared" si="18"/>
        <v>8</v>
      </c>
      <c r="J92" s="203">
        <f t="shared" si="18"/>
        <v>9</v>
      </c>
      <c r="K92" s="203">
        <f t="shared" si="18"/>
        <v>10</v>
      </c>
      <c r="L92" s="203">
        <f t="shared" si="18"/>
        <v>11</v>
      </c>
      <c r="M92" s="203">
        <f t="shared" si="18"/>
        <v>12</v>
      </c>
      <c r="N92" s="203">
        <f t="shared" si="18"/>
        <v>13</v>
      </c>
      <c r="O92" s="203">
        <f t="shared" si="18"/>
        <v>14</v>
      </c>
      <c r="P92" s="203">
        <f t="shared" si="18"/>
        <v>15</v>
      </c>
      <c r="Q92" s="203">
        <f t="shared" si="18"/>
        <v>16</v>
      </c>
      <c r="R92" s="203">
        <f t="shared" si="18"/>
        <v>17</v>
      </c>
      <c r="S92" s="203">
        <f t="shared" si="19"/>
        <v>18</v>
      </c>
      <c r="T92" s="203">
        <f t="shared" si="19"/>
        <v>19</v>
      </c>
      <c r="U92" s="203">
        <f t="shared" si="19"/>
        <v>20</v>
      </c>
      <c r="V92" s="203">
        <f t="shared" si="19"/>
        <v>21</v>
      </c>
      <c r="W92" s="203">
        <f t="shared" si="19"/>
        <v>22</v>
      </c>
      <c r="X92" s="203">
        <f t="shared" si="19"/>
        <v>23</v>
      </c>
      <c r="Y92" s="203">
        <f t="shared" si="19"/>
        <v>24</v>
      </c>
      <c r="Z92" s="203">
        <f t="shared" si="19"/>
        <v>25</v>
      </c>
      <c r="AA92" s="203">
        <f t="shared" si="19"/>
        <v>26</v>
      </c>
      <c r="AB92" s="203">
        <f t="shared" si="19"/>
        <v>27</v>
      </c>
      <c r="AC92" s="203">
        <f t="shared" si="19"/>
        <v>28</v>
      </c>
      <c r="AD92" s="203">
        <f t="shared" si="19"/>
        <v>29</v>
      </c>
      <c r="AE92" s="203">
        <f t="shared" si="19"/>
        <v>30</v>
      </c>
    </row>
    <row r="93" spans="1:31" x14ac:dyDescent="0.2">
      <c r="A93" s="336" t="s">
        <v>578</v>
      </c>
      <c r="B93" s="336"/>
      <c r="C93" s="336"/>
      <c r="D93" s="336"/>
      <c r="E93" s="336"/>
      <c r="F93" s="336"/>
      <c r="G93" s="336"/>
      <c r="H93" s="336"/>
      <c r="I93" s="336"/>
      <c r="J93" s="336"/>
      <c r="K93" s="336"/>
      <c r="L93" s="336"/>
      <c r="M93" s="336"/>
      <c r="N93" s="336"/>
      <c r="O93" s="336"/>
      <c r="P93" s="336"/>
      <c r="Q93" s="336"/>
      <c r="R93" s="336"/>
      <c r="S93" s="336"/>
      <c r="T93" s="336"/>
      <c r="U93" s="336"/>
      <c r="V93" s="336"/>
      <c r="W93" s="336"/>
      <c r="X93" s="336"/>
      <c r="Y93" s="336"/>
      <c r="Z93" s="336"/>
      <c r="AA93" s="336"/>
      <c r="AB93" s="336"/>
      <c r="AC93" s="336"/>
    </row>
    <row r="94" spans="1:31" x14ac:dyDescent="0.2">
      <c r="A94" s="336" t="s">
        <v>579</v>
      </c>
      <c r="B94" s="336"/>
      <c r="C94" s="336"/>
      <c r="D94" s="336"/>
      <c r="E94" s="336"/>
      <c r="F94" s="336"/>
      <c r="G94" s="336"/>
      <c r="H94" s="336"/>
      <c r="I94" s="336"/>
      <c r="N94" s="203"/>
    </row>
    <row r="95" spans="1:31" x14ac:dyDescent="0.2">
      <c r="C95" s="272"/>
      <c r="N95" s="203"/>
    </row>
    <row r="96" spans="1:31" x14ac:dyDescent="0.2">
      <c r="N96" s="203"/>
    </row>
    <row r="97" spans="14:14" s="193" customFormat="1" x14ac:dyDescent="0.2">
      <c r="N97" s="203"/>
    </row>
    <row r="98" spans="14:14" s="193" customFormat="1" x14ac:dyDescent="0.2">
      <c r="N98" s="203"/>
    </row>
    <row r="99" spans="14:14" s="193" customFormat="1" x14ac:dyDescent="0.2">
      <c r="N99" s="203"/>
    </row>
    <row r="100" spans="14:14" s="193" customFormat="1" x14ac:dyDescent="0.2">
      <c r="N100" s="203"/>
    </row>
    <row r="101" spans="14:14" s="193" customFormat="1" x14ac:dyDescent="0.2">
      <c r="N101" s="203"/>
    </row>
    <row r="102" spans="14:14" s="193" customFormat="1" x14ac:dyDescent="0.2">
      <c r="N102" s="203"/>
    </row>
    <row r="103" spans="14:14" s="193" customFormat="1" x14ac:dyDescent="0.2">
      <c r="N103" s="203"/>
    </row>
    <row r="104" spans="14:14" s="193" customFormat="1" x14ac:dyDescent="0.2">
      <c r="N104" s="203"/>
    </row>
    <row r="105" spans="14:14" s="193" customFormat="1" x14ac:dyDescent="0.2">
      <c r="N105" s="203"/>
    </row>
    <row r="106" spans="14:14" s="193" customFormat="1" x14ac:dyDescent="0.2">
      <c r="N106" s="203"/>
    </row>
    <row r="107" spans="14:14" s="193" customFormat="1" x14ac:dyDescent="0.2">
      <c r="N107" s="203"/>
    </row>
    <row r="108" spans="14:14" s="193" customFormat="1" x14ac:dyDescent="0.2">
      <c r="N108" s="203"/>
    </row>
    <row r="109" spans="14:14" s="193" customFormat="1" x14ac:dyDescent="0.2">
      <c r="N109" s="203"/>
    </row>
    <row r="110" spans="14:14" s="193" customFormat="1" x14ac:dyDescent="0.2">
      <c r="N110" s="203"/>
    </row>
    <row r="111" spans="14:14" s="193" customFormat="1" x14ac:dyDescent="0.2">
      <c r="N111" s="203"/>
    </row>
    <row r="112" spans="14:14" s="193" customFormat="1" x14ac:dyDescent="0.2">
      <c r="N112" s="203"/>
    </row>
    <row r="113" spans="14:14" s="193" customFormat="1" x14ac:dyDescent="0.2">
      <c r="N113" s="203"/>
    </row>
    <row r="114" spans="14:14" s="193" customFormat="1" x14ac:dyDescent="0.2">
      <c r="N114" s="203"/>
    </row>
    <row r="115" spans="14:14" s="193" customFormat="1" x14ac:dyDescent="0.2">
      <c r="N115" s="203"/>
    </row>
    <row r="116" spans="14:14" s="193" customFormat="1" x14ac:dyDescent="0.2">
      <c r="N116" s="203"/>
    </row>
    <row r="117" spans="14:14" s="193" customFormat="1" x14ac:dyDescent="0.2">
      <c r="N117" s="203"/>
    </row>
    <row r="118" spans="14:14" s="193" customFormat="1" x14ac:dyDescent="0.2">
      <c r="N118" s="203"/>
    </row>
    <row r="119" spans="14:14" s="193" customFormat="1" x14ac:dyDescent="0.2">
      <c r="N119" s="203"/>
    </row>
    <row r="120" spans="14:14" s="193" customFormat="1" x14ac:dyDescent="0.2">
      <c r="N120" s="203"/>
    </row>
    <row r="121" spans="14:14" s="193" customFormat="1" x14ac:dyDescent="0.2">
      <c r="N121" s="203"/>
    </row>
    <row r="122" spans="14:14" s="193" customFormat="1" x14ac:dyDescent="0.2">
      <c r="N122" s="203"/>
    </row>
    <row r="123" spans="14:14" s="193" customFormat="1" x14ac:dyDescent="0.2">
      <c r="N123" s="203"/>
    </row>
    <row r="124" spans="14:14" s="193" customFormat="1" x14ac:dyDescent="0.2">
      <c r="N124" s="203"/>
    </row>
    <row r="125" spans="14:14" s="193" customFormat="1" x14ac:dyDescent="0.2">
      <c r="N125" s="203"/>
    </row>
    <row r="126" spans="14:14" s="193" customFormat="1" x14ac:dyDescent="0.2">
      <c r="N126" s="203"/>
    </row>
    <row r="127" spans="14:14" s="193" customFormat="1" x14ac:dyDescent="0.2">
      <c r="N127" s="203"/>
    </row>
    <row r="128" spans="14:14" s="193" customFormat="1" x14ac:dyDescent="0.2">
      <c r="N128" s="203"/>
    </row>
    <row r="129" spans="14:14" s="193" customFormat="1" x14ac:dyDescent="0.2">
      <c r="N129" s="203"/>
    </row>
    <row r="130" spans="14:14" s="193" customFormat="1" x14ac:dyDescent="0.2">
      <c r="N130" s="203"/>
    </row>
    <row r="131" spans="14:14" s="193" customFormat="1" x14ac:dyDescent="0.2">
      <c r="N131" s="203"/>
    </row>
    <row r="132" spans="14:14" s="193" customFormat="1" x14ac:dyDescent="0.2">
      <c r="N132" s="203"/>
    </row>
    <row r="133" spans="14:14" s="193" customFormat="1" x14ac:dyDescent="0.2">
      <c r="N133" s="203"/>
    </row>
    <row r="134" spans="14:14" s="193" customFormat="1" x14ac:dyDescent="0.2">
      <c r="N134" s="203"/>
    </row>
    <row r="135" spans="14:14" s="193" customFormat="1" x14ac:dyDescent="0.2">
      <c r="N135" s="203"/>
    </row>
    <row r="136" spans="14:14" s="193" customFormat="1" x14ac:dyDescent="0.2">
      <c r="N136" s="203"/>
    </row>
    <row r="137" spans="14:14" s="193" customFormat="1" x14ac:dyDescent="0.2">
      <c r="N137" s="203"/>
    </row>
    <row r="138" spans="14:14" s="193" customFormat="1" x14ac:dyDescent="0.2">
      <c r="N138" s="203"/>
    </row>
    <row r="139" spans="14:14" s="193" customFormat="1" x14ac:dyDescent="0.2">
      <c r="N139" s="203"/>
    </row>
    <row r="140" spans="14:14" s="193" customFormat="1" x14ac:dyDescent="0.2">
      <c r="N140" s="203"/>
    </row>
    <row r="141" spans="14:14" s="193" customFormat="1" x14ac:dyDescent="0.2">
      <c r="N141" s="203"/>
    </row>
    <row r="142" spans="14:14" s="193" customFormat="1" x14ac:dyDescent="0.2">
      <c r="N142" s="203"/>
    </row>
    <row r="143" spans="14:14" s="193" customFormat="1" x14ac:dyDescent="0.2">
      <c r="N143" s="203"/>
    </row>
    <row r="144" spans="14:14" s="193" customFormat="1" x14ac:dyDescent="0.2">
      <c r="N144" s="203"/>
    </row>
    <row r="145" spans="14:14" s="193" customFormat="1" x14ac:dyDescent="0.2">
      <c r="N145" s="203"/>
    </row>
    <row r="146" spans="14:14" s="193" customFormat="1" x14ac:dyDescent="0.2">
      <c r="N146" s="203"/>
    </row>
    <row r="147" spans="14:14" s="193" customFormat="1" x14ac:dyDescent="0.2">
      <c r="N147" s="203"/>
    </row>
    <row r="148" spans="14:14" s="193" customFormat="1" x14ac:dyDescent="0.2">
      <c r="N148" s="203"/>
    </row>
    <row r="149" spans="14:14" s="193" customFormat="1" x14ac:dyDescent="0.2">
      <c r="N149" s="203"/>
    </row>
    <row r="150" spans="14:14" s="193" customFormat="1" x14ac:dyDescent="0.2">
      <c r="N150" s="203"/>
    </row>
    <row r="151" spans="14:14" s="193" customFormat="1" x14ac:dyDescent="0.2">
      <c r="N151" s="203"/>
    </row>
    <row r="152" spans="14:14" s="193" customFormat="1" x14ac:dyDescent="0.2">
      <c r="N152" s="203"/>
    </row>
    <row r="153" spans="14:14" s="193" customFormat="1" x14ac:dyDescent="0.2">
      <c r="N153" s="203"/>
    </row>
    <row r="154" spans="14:14" s="193" customFormat="1" x14ac:dyDescent="0.2">
      <c r="N154" s="203"/>
    </row>
    <row r="155" spans="14:14" s="193" customFormat="1" x14ac:dyDescent="0.2">
      <c r="N155" s="203"/>
    </row>
    <row r="156" spans="14:14" s="193" customFormat="1" x14ac:dyDescent="0.2">
      <c r="N156" s="203"/>
    </row>
    <row r="157" spans="14:14" s="193" customFormat="1" x14ac:dyDescent="0.2">
      <c r="N157" s="203"/>
    </row>
    <row r="158" spans="14:14" s="193" customFormat="1" x14ac:dyDescent="0.2">
      <c r="N158" s="203"/>
    </row>
    <row r="159" spans="14:14" s="193" customFormat="1" x14ac:dyDescent="0.2">
      <c r="N159" s="203"/>
    </row>
    <row r="160" spans="14:14" s="193" customFormat="1" x14ac:dyDescent="0.2">
      <c r="N160" s="203"/>
    </row>
    <row r="161" spans="14:14" s="193" customFormat="1" x14ac:dyDescent="0.2">
      <c r="N161" s="203"/>
    </row>
    <row r="162" spans="14:14" s="193" customFormat="1" x14ac:dyDescent="0.2">
      <c r="N162" s="203"/>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8" zoomScale="80" zoomScaleSheetLayoutView="80" workbookViewId="0">
      <selection activeCell="C26" sqref="C26:D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85" t="str">
        <f>'1. паспорт местоположение'!A5:C5</f>
        <v>Год раскрытия информации: 2023 год</v>
      </c>
      <c r="B5" s="285"/>
      <c r="C5" s="285"/>
      <c r="D5" s="285"/>
      <c r="E5" s="285"/>
      <c r="F5" s="285"/>
      <c r="G5" s="285"/>
      <c r="H5" s="285"/>
      <c r="I5" s="285"/>
      <c r="J5" s="285"/>
      <c r="K5" s="285"/>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294" t="s">
        <v>7</v>
      </c>
      <c r="B7" s="294"/>
      <c r="C7" s="294"/>
      <c r="D7" s="294"/>
      <c r="E7" s="294"/>
      <c r="F7" s="294"/>
      <c r="G7" s="294"/>
      <c r="H7" s="294"/>
      <c r="I7" s="294"/>
      <c r="J7" s="294"/>
      <c r="K7" s="294"/>
    </row>
    <row r="8" spans="1:43" ht="18.75" x14ac:dyDescent="0.25">
      <c r="A8" s="294"/>
      <c r="B8" s="294"/>
      <c r="C8" s="294"/>
      <c r="D8" s="294"/>
      <c r="E8" s="294"/>
      <c r="F8" s="294"/>
      <c r="G8" s="294"/>
      <c r="H8" s="294"/>
      <c r="I8" s="294"/>
      <c r="J8" s="294"/>
      <c r="K8" s="294"/>
    </row>
    <row r="9" spans="1:43" x14ac:dyDescent="0.25">
      <c r="A9" s="292" t="str">
        <f>'1. паспорт местоположение'!A9:C9</f>
        <v xml:space="preserve">Акционерное общество "Западная энергетическая компания" </v>
      </c>
      <c r="B9" s="292"/>
      <c r="C9" s="292"/>
      <c r="D9" s="292"/>
      <c r="E9" s="292"/>
      <c r="F9" s="292"/>
      <c r="G9" s="292"/>
      <c r="H9" s="292"/>
      <c r="I9" s="292"/>
      <c r="J9" s="292"/>
      <c r="K9" s="292"/>
    </row>
    <row r="10" spans="1:43" x14ac:dyDescent="0.25">
      <c r="A10" s="298" t="s">
        <v>6</v>
      </c>
      <c r="B10" s="298"/>
      <c r="C10" s="298"/>
      <c r="D10" s="298"/>
      <c r="E10" s="298"/>
      <c r="F10" s="298"/>
      <c r="G10" s="298"/>
      <c r="H10" s="298"/>
      <c r="I10" s="298"/>
      <c r="J10" s="298"/>
      <c r="K10" s="298"/>
    </row>
    <row r="11" spans="1:43" ht="18.75" x14ac:dyDescent="0.25">
      <c r="A11" s="294"/>
      <c r="B11" s="294"/>
      <c r="C11" s="294"/>
      <c r="D11" s="294"/>
      <c r="E11" s="294"/>
      <c r="F11" s="294"/>
      <c r="G11" s="294"/>
      <c r="H11" s="294"/>
      <c r="I11" s="294"/>
      <c r="J11" s="294"/>
      <c r="K11" s="294"/>
    </row>
    <row r="12" spans="1:43" x14ac:dyDescent="0.25">
      <c r="A12" s="292" t="str">
        <f>'1. паспорт местоположение'!A12:C12</f>
        <v>L 21-23</v>
      </c>
      <c r="B12" s="292"/>
      <c r="C12" s="292"/>
      <c r="D12" s="292"/>
      <c r="E12" s="292"/>
      <c r="F12" s="292"/>
      <c r="G12" s="292"/>
      <c r="H12" s="292"/>
      <c r="I12" s="292"/>
      <c r="J12" s="292"/>
      <c r="K12" s="292"/>
    </row>
    <row r="13" spans="1:43" x14ac:dyDescent="0.25">
      <c r="A13" s="298" t="s">
        <v>5</v>
      </c>
      <c r="B13" s="298"/>
      <c r="C13" s="298"/>
      <c r="D13" s="298"/>
      <c r="E13" s="298"/>
      <c r="F13" s="298"/>
      <c r="G13" s="298"/>
      <c r="H13" s="298"/>
      <c r="I13" s="298"/>
      <c r="J13" s="298"/>
      <c r="K13" s="298"/>
    </row>
    <row r="14" spans="1:43" ht="18.75" x14ac:dyDescent="0.25">
      <c r="A14" s="299"/>
      <c r="B14" s="299"/>
      <c r="C14" s="299"/>
      <c r="D14" s="299"/>
      <c r="E14" s="299"/>
      <c r="F14" s="299"/>
      <c r="G14" s="299"/>
      <c r="H14" s="299"/>
      <c r="I14" s="299"/>
      <c r="J14" s="299"/>
      <c r="K14" s="299"/>
    </row>
    <row r="15" spans="1:43" x14ac:dyDescent="0.25">
      <c r="A15" s="292" t="str">
        <f>'1. паспорт местоположение'!A15:C15</f>
        <v>Програмное обеспечение АИСКУЭ для выхода на ОРЭМ</v>
      </c>
      <c r="B15" s="292"/>
      <c r="C15" s="292"/>
      <c r="D15" s="292"/>
      <c r="E15" s="292"/>
      <c r="F15" s="292"/>
      <c r="G15" s="292"/>
      <c r="H15" s="292"/>
      <c r="I15" s="292"/>
      <c r="J15" s="292"/>
      <c r="K15" s="292"/>
    </row>
    <row r="16" spans="1:43" x14ac:dyDescent="0.25">
      <c r="A16" s="286" t="s">
        <v>4</v>
      </c>
      <c r="B16" s="286"/>
      <c r="C16" s="286"/>
      <c r="D16" s="286"/>
      <c r="E16" s="286"/>
      <c r="F16" s="286"/>
      <c r="G16" s="286"/>
      <c r="H16" s="286"/>
      <c r="I16" s="286"/>
      <c r="J16" s="286"/>
      <c r="K16" s="286"/>
    </row>
    <row r="17" spans="1:11" ht="15.75" customHeight="1" x14ac:dyDescent="0.25"/>
    <row r="18" spans="1:11" x14ac:dyDescent="0.25">
      <c r="K18" s="24"/>
    </row>
    <row r="19" spans="1:11" ht="15.75" customHeight="1" x14ac:dyDescent="0.25">
      <c r="A19" s="345" t="s">
        <v>391</v>
      </c>
      <c r="B19" s="345"/>
      <c r="C19" s="345"/>
      <c r="D19" s="345"/>
      <c r="E19" s="345"/>
      <c r="F19" s="345"/>
      <c r="G19" s="345"/>
      <c r="H19" s="345"/>
      <c r="I19" s="345"/>
      <c r="J19" s="345"/>
      <c r="K19" s="345"/>
    </row>
    <row r="20" spans="1:11" x14ac:dyDescent="0.25">
      <c r="A20" s="35"/>
      <c r="B20" s="35"/>
    </row>
    <row r="21" spans="1:11" ht="28.5" customHeight="1" x14ac:dyDescent="0.25">
      <c r="A21" s="340" t="s">
        <v>199</v>
      </c>
      <c r="B21" s="340" t="s">
        <v>483</v>
      </c>
      <c r="C21" s="340" t="s">
        <v>350</v>
      </c>
      <c r="D21" s="340"/>
      <c r="E21" s="340"/>
      <c r="F21" s="340"/>
      <c r="G21" s="340"/>
      <c r="H21" s="340"/>
      <c r="I21" s="340" t="s">
        <v>198</v>
      </c>
      <c r="J21" s="341" t="s">
        <v>351</v>
      </c>
      <c r="K21" s="340" t="s">
        <v>197</v>
      </c>
    </row>
    <row r="22" spans="1:11" ht="58.5" customHeight="1" x14ac:dyDescent="0.25">
      <c r="A22" s="340"/>
      <c r="B22" s="340"/>
      <c r="C22" s="344" t="s">
        <v>537</v>
      </c>
      <c r="D22" s="344"/>
      <c r="E22" s="344" t="s">
        <v>9</v>
      </c>
      <c r="F22" s="344"/>
      <c r="G22" s="344" t="s">
        <v>538</v>
      </c>
      <c r="H22" s="344"/>
      <c r="I22" s="340"/>
      <c r="J22" s="342"/>
      <c r="K22" s="340"/>
    </row>
    <row r="23" spans="1:11" ht="31.5" x14ac:dyDescent="0.25">
      <c r="A23" s="340"/>
      <c r="B23" s="340"/>
      <c r="C23" s="158" t="s">
        <v>196</v>
      </c>
      <c r="D23" s="158" t="s">
        <v>195</v>
      </c>
      <c r="E23" s="158" t="s">
        <v>196</v>
      </c>
      <c r="F23" s="158" t="s">
        <v>195</v>
      </c>
      <c r="G23" s="158" t="s">
        <v>196</v>
      </c>
      <c r="H23" s="158" t="s">
        <v>195</v>
      </c>
      <c r="I23" s="340"/>
      <c r="J23" s="343"/>
      <c r="K23" s="340"/>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74"/>
      <c r="H25" s="174"/>
      <c r="I25" s="174"/>
      <c r="J25" s="154"/>
      <c r="K25" s="155"/>
    </row>
    <row r="26" spans="1:11" x14ac:dyDescent="0.25">
      <c r="A26" s="158" t="s">
        <v>484</v>
      </c>
      <c r="B26" s="167" t="s">
        <v>485</v>
      </c>
      <c r="C26" s="164" t="s">
        <v>434</v>
      </c>
      <c r="D26" s="164" t="s">
        <v>434</v>
      </c>
      <c r="E26" s="175">
        <v>42859</v>
      </c>
      <c r="F26" s="175">
        <v>42859</v>
      </c>
      <c r="G26" s="164" t="s">
        <v>434</v>
      </c>
      <c r="H26" s="164" t="s">
        <v>434</v>
      </c>
      <c r="I26" s="176"/>
      <c r="J26" s="154"/>
      <c r="K26" s="155"/>
    </row>
    <row r="27" spans="1:11" ht="31.5" x14ac:dyDescent="0.25">
      <c r="A27" s="158" t="s">
        <v>486</v>
      </c>
      <c r="B27" s="167" t="s">
        <v>487</v>
      </c>
      <c r="C27" s="164" t="s">
        <v>434</v>
      </c>
      <c r="D27" s="164" t="s">
        <v>434</v>
      </c>
      <c r="E27" s="175">
        <v>42807</v>
      </c>
      <c r="F27" s="175">
        <v>42807</v>
      </c>
      <c r="G27" s="164" t="s">
        <v>434</v>
      </c>
      <c r="H27" s="164" t="s">
        <v>434</v>
      </c>
      <c r="I27" s="176"/>
      <c r="J27" s="154"/>
      <c r="K27" s="155"/>
    </row>
    <row r="28" spans="1:11" ht="63" x14ac:dyDescent="0.25">
      <c r="A28" s="158" t="s">
        <v>489</v>
      </c>
      <c r="B28" s="167" t="s">
        <v>488</v>
      </c>
      <c r="C28" s="164" t="s">
        <v>434</v>
      </c>
      <c r="D28" s="164" t="s">
        <v>434</v>
      </c>
      <c r="E28" s="175" t="s">
        <v>434</v>
      </c>
      <c r="F28" s="175" t="s">
        <v>434</v>
      </c>
      <c r="G28" s="164" t="s">
        <v>434</v>
      </c>
      <c r="H28" s="164" t="s">
        <v>434</v>
      </c>
      <c r="I28" s="176"/>
      <c r="J28" s="154"/>
      <c r="K28" s="155"/>
    </row>
    <row r="29" spans="1:11" ht="31.5" x14ac:dyDescent="0.25">
      <c r="A29" s="158" t="s">
        <v>491</v>
      </c>
      <c r="B29" s="167" t="s">
        <v>490</v>
      </c>
      <c r="C29" s="164" t="s">
        <v>434</v>
      </c>
      <c r="D29" s="164" t="s">
        <v>434</v>
      </c>
      <c r="E29" s="175" t="s">
        <v>434</v>
      </c>
      <c r="F29" s="175" t="s">
        <v>434</v>
      </c>
      <c r="G29" s="164" t="s">
        <v>434</v>
      </c>
      <c r="H29" s="164" t="s">
        <v>434</v>
      </c>
      <c r="I29" s="176"/>
      <c r="J29" s="154"/>
      <c r="K29" s="155"/>
    </row>
    <row r="30" spans="1:11" ht="31.5" x14ac:dyDescent="0.25">
      <c r="A30" s="158" t="s">
        <v>493</v>
      </c>
      <c r="B30" s="167" t="s">
        <v>492</v>
      </c>
      <c r="C30" s="164" t="s">
        <v>434</v>
      </c>
      <c r="D30" s="164" t="s">
        <v>434</v>
      </c>
      <c r="E30" s="175" t="s">
        <v>434</v>
      </c>
      <c r="F30" s="175" t="s">
        <v>434</v>
      </c>
      <c r="G30" s="164" t="s">
        <v>434</v>
      </c>
      <c r="H30" s="164" t="s">
        <v>434</v>
      </c>
      <c r="I30" s="176"/>
      <c r="J30" s="154"/>
      <c r="K30" s="155"/>
    </row>
    <row r="31" spans="1:11" ht="31.5" x14ac:dyDescent="0.25">
      <c r="A31" s="158" t="s">
        <v>495</v>
      </c>
      <c r="B31" s="167" t="s">
        <v>494</v>
      </c>
      <c r="C31" s="164" t="s">
        <v>434</v>
      </c>
      <c r="D31" s="164" t="s">
        <v>434</v>
      </c>
      <c r="E31" s="175">
        <v>41806</v>
      </c>
      <c r="F31" s="175">
        <v>41806</v>
      </c>
      <c r="G31" s="164" t="s">
        <v>434</v>
      </c>
      <c r="H31" s="164" t="s">
        <v>434</v>
      </c>
      <c r="I31" s="176"/>
      <c r="J31" s="154"/>
      <c r="K31" s="155"/>
    </row>
    <row r="32" spans="1:11" ht="31.5" x14ac:dyDescent="0.25">
      <c r="A32" s="158" t="s">
        <v>497</v>
      </c>
      <c r="B32" s="167" t="s">
        <v>496</v>
      </c>
      <c r="C32" s="164" t="s">
        <v>434</v>
      </c>
      <c r="D32" s="164" t="s">
        <v>434</v>
      </c>
      <c r="E32" s="175">
        <v>42597</v>
      </c>
      <c r="F32" s="175">
        <v>42597</v>
      </c>
      <c r="G32" s="164" t="s">
        <v>434</v>
      </c>
      <c r="H32" s="164" t="s">
        <v>434</v>
      </c>
      <c r="I32" s="176"/>
      <c r="J32" s="154"/>
      <c r="K32" s="155"/>
    </row>
    <row r="33" spans="1:11" ht="47.25" x14ac:dyDescent="0.25">
      <c r="A33" s="158" t="s">
        <v>499</v>
      </c>
      <c r="B33" s="167" t="s">
        <v>498</v>
      </c>
      <c r="C33" s="164" t="s">
        <v>434</v>
      </c>
      <c r="D33" s="164" t="s">
        <v>434</v>
      </c>
      <c r="E33" s="175">
        <v>42720</v>
      </c>
      <c r="F33" s="175">
        <v>42720</v>
      </c>
      <c r="G33" s="164" t="s">
        <v>434</v>
      </c>
      <c r="H33" s="164" t="s">
        <v>434</v>
      </c>
      <c r="I33" s="176"/>
      <c r="J33" s="154"/>
      <c r="K33" s="155"/>
    </row>
    <row r="34" spans="1:11" ht="63" x14ac:dyDescent="0.25">
      <c r="A34" s="158" t="s">
        <v>501</v>
      </c>
      <c r="B34" s="167" t="s">
        <v>500</v>
      </c>
      <c r="C34" s="164" t="s">
        <v>434</v>
      </c>
      <c r="D34" s="164" t="s">
        <v>434</v>
      </c>
      <c r="E34" s="175" t="s">
        <v>434</v>
      </c>
      <c r="F34" s="175" t="s">
        <v>434</v>
      </c>
      <c r="G34" s="164" t="s">
        <v>434</v>
      </c>
      <c r="H34" s="164" t="s">
        <v>434</v>
      </c>
      <c r="I34" s="176"/>
      <c r="J34" s="156"/>
      <c r="K34" s="156"/>
    </row>
    <row r="35" spans="1:11" ht="31.5" x14ac:dyDescent="0.25">
      <c r="A35" s="158" t="s">
        <v>502</v>
      </c>
      <c r="B35" s="167" t="s">
        <v>193</v>
      </c>
      <c r="C35" s="164" t="s">
        <v>434</v>
      </c>
      <c r="D35" s="164" t="s">
        <v>434</v>
      </c>
      <c r="E35" s="175">
        <v>42731</v>
      </c>
      <c r="F35" s="175">
        <v>42731</v>
      </c>
      <c r="G35" s="164" t="s">
        <v>434</v>
      </c>
      <c r="H35" s="164" t="s">
        <v>434</v>
      </c>
      <c r="I35" s="176"/>
      <c r="J35" s="156"/>
      <c r="K35" s="156"/>
    </row>
    <row r="36" spans="1:11" ht="31.5" x14ac:dyDescent="0.25">
      <c r="A36" s="158" t="s">
        <v>504</v>
      </c>
      <c r="B36" s="167" t="s">
        <v>503</v>
      </c>
      <c r="C36" s="164" t="s">
        <v>434</v>
      </c>
      <c r="D36" s="164" t="s">
        <v>434</v>
      </c>
      <c r="E36" s="175">
        <v>42993</v>
      </c>
      <c r="F36" s="175">
        <v>42993</v>
      </c>
      <c r="G36" s="164" t="s">
        <v>434</v>
      </c>
      <c r="H36" s="164" t="s">
        <v>434</v>
      </c>
      <c r="I36" s="176"/>
      <c r="J36" s="166"/>
      <c r="K36" s="155"/>
    </row>
    <row r="37" spans="1:11" x14ac:dyDescent="0.25">
      <c r="A37" s="158" t="s">
        <v>505</v>
      </c>
      <c r="B37" s="167" t="s">
        <v>192</v>
      </c>
      <c r="C37" s="164" t="s">
        <v>434</v>
      </c>
      <c r="D37" s="164" t="s">
        <v>434</v>
      </c>
      <c r="E37" s="175">
        <v>43054</v>
      </c>
      <c r="F37" s="175">
        <v>43305</v>
      </c>
      <c r="G37" s="164" t="s">
        <v>434</v>
      </c>
      <c r="H37" s="164" t="s">
        <v>434</v>
      </c>
      <c r="I37" s="176"/>
      <c r="J37" s="157"/>
      <c r="K37" s="155"/>
    </row>
    <row r="38" spans="1:11" x14ac:dyDescent="0.25">
      <c r="A38" s="165" t="s">
        <v>506</v>
      </c>
      <c r="B38" s="168" t="s">
        <v>191</v>
      </c>
      <c r="C38" s="164"/>
      <c r="D38" s="164"/>
      <c r="E38" s="175"/>
      <c r="F38" s="175"/>
      <c r="G38" s="164"/>
      <c r="H38" s="164"/>
      <c r="I38" s="176"/>
      <c r="J38" s="155"/>
      <c r="K38" s="155"/>
    </row>
    <row r="39" spans="1:11" ht="63" x14ac:dyDescent="0.25">
      <c r="A39" s="158" t="s">
        <v>508</v>
      </c>
      <c r="B39" s="167" t="s">
        <v>507</v>
      </c>
      <c r="C39" s="164">
        <v>44206</v>
      </c>
      <c r="D39" s="164">
        <v>44211</v>
      </c>
      <c r="E39" s="175">
        <v>42843</v>
      </c>
      <c r="F39" s="175">
        <v>42843</v>
      </c>
      <c r="G39" s="164">
        <v>44206</v>
      </c>
      <c r="H39" s="164">
        <v>44211</v>
      </c>
      <c r="I39" s="176"/>
      <c r="J39" s="155"/>
      <c r="K39" s="155"/>
    </row>
    <row r="40" spans="1:11" x14ac:dyDescent="0.25">
      <c r="A40" s="158" t="s">
        <v>510</v>
      </c>
      <c r="B40" s="167" t="s">
        <v>509</v>
      </c>
      <c r="C40" s="164">
        <v>44317</v>
      </c>
      <c r="D40" s="164">
        <v>44396</v>
      </c>
      <c r="E40" s="175">
        <v>43038</v>
      </c>
      <c r="F40" s="175">
        <v>43038</v>
      </c>
      <c r="G40" s="164">
        <v>44317</v>
      </c>
      <c r="H40" s="164">
        <v>44396</v>
      </c>
      <c r="I40" s="176"/>
      <c r="J40" s="155"/>
      <c r="K40" s="155"/>
    </row>
    <row r="41" spans="1:11" ht="47.25" x14ac:dyDescent="0.25">
      <c r="A41" s="158" t="s">
        <v>512</v>
      </c>
      <c r="B41" s="168" t="s">
        <v>511</v>
      </c>
      <c r="C41" s="164"/>
      <c r="D41" s="164"/>
      <c r="E41" s="175"/>
      <c r="F41" s="175"/>
      <c r="G41" s="164"/>
      <c r="H41" s="164"/>
      <c r="I41" s="176"/>
      <c r="J41" s="155"/>
      <c r="K41" s="155"/>
    </row>
    <row r="42" spans="1:11" ht="31.5" x14ac:dyDescent="0.25">
      <c r="A42" s="158" t="s">
        <v>514</v>
      </c>
      <c r="B42" s="167" t="s">
        <v>513</v>
      </c>
      <c r="C42" s="164" t="s">
        <v>434</v>
      </c>
      <c r="D42" s="164" t="s">
        <v>434</v>
      </c>
      <c r="E42" s="175">
        <v>43070</v>
      </c>
      <c r="F42" s="175">
        <v>43097</v>
      </c>
      <c r="G42" s="164" t="s">
        <v>434</v>
      </c>
      <c r="H42" s="164" t="s">
        <v>434</v>
      </c>
      <c r="I42" s="176"/>
      <c r="J42" s="155"/>
      <c r="K42" s="155"/>
    </row>
    <row r="43" spans="1:11" x14ac:dyDescent="0.25">
      <c r="A43" s="158" t="s">
        <v>515</v>
      </c>
      <c r="B43" s="167" t="s">
        <v>190</v>
      </c>
      <c r="C43" s="184">
        <v>44317</v>
      </c>
      <c r="D43" s="184">
        <v>44396</v>
      </c>
      <c r="E43" s="175">
        <v>43054</v>
      </c>
      <c r="F43" s="175">
        <v>43218</v>
      </c>
      <c r="G43" s="184">
        <v>44317</v>
      </c>
      <c r="H43" s="184">
        <v>44396</v>
      </c>
      <c r="I43" s="176"/>
      <c r="J43" s="155"/>
      <c r="K43" s="155"/>
    </row>
    <row r="44" spans="1:11" x14ac:dyDescent="0.25">
      <c r="A44" s="158" t="s">
        <v>516</v>
      </c>
      <c r="B44" s="167" t="s">
        <v>189</v>
      </c>
      <c r="C44" s="184">
        <v>44317</v>
      </c>
      <c r="D44" s="184">
        <v>44396</v>
      </c>
      <c r="E44" s="175">
        <v>43084</v>
      </c>
      <c r="F44" s="175">
        <v>43266</v>
      </c>
      <c r="G44" s="184">
        <v>44317</v>
      </c>
      <c r="H44" s="184">
        <v>44396</v>
      </c>
      <c r="I44" s="176"/>
      <c r="J44" s="155"/>
      <c r="K44" s="155"/>
    </row>
    <row r="45" spans="1:11" ht="78.75" x14ac:dyDescent="0.25">
      <c r="A45" s="158" t="s">
        <v>518</v>
      </c>
      <c r="B45" s="167" t="s">
        <v>517</v>
      </c>
      <c r="C45" s="184">
        <v>44317</v>
      </c>
      <c r="D45" s="184">
        <v>44396</v>
      </c>
      <c r="E45" s="175">
        <v>43343</v>
      </c>
      <c r="F45" s="175">
        <v>43343</v>
      </c>
      <c r="G45" s="184">
        <v>44317</v>
      </c>
      <c r="H45" s="184">
        <v>44396</v>
      </c>
      <c r="I45" s="176"/>
      <c r="J45" s="155"/>
      <c r="K45" s="155"/>
    </row>
    <row r="46" spans="1:11" ht="157.5" x14ac:dyDescent="0.25">
      <c r="A46" s="158" t="s">
        <v>520</v>
      </c>
      <c r="B46" s="167" t="s">
        <v>519</v>
      </c>
      <c r="C46" s="184" t="s">
        <v>434</v>
      </c>
      <c r="D46" s="184" t="s">
        <v>434</v>
      </c>
      <c r="E46" s="175">
        <v>43319</v>
      </c>
      <c r="F46" s="175">
        <v>43319</v>
      </c>
      <c r="G46" s="184" t="s">
        <v>434</v>
      </c>
      <c r="H46" s="184" t="s">
        <v>434</v>
      </c>
      <c r="I46" s="176"/>
      <c r="J46" s="155"/>
      <c r="K46" s="155"/>
    </row>
    <row r="47" spans="1:11" x14ac:dyDescent="0.25">
      <c r="A47" s="158" t="s">
        <v>531</v>
      </c>
      <c r="B47" s="167" t="s">
        <v>188</v>
      </c>
      <c r="C47" s="184">
        <v>44317</v>
      </c>
      <c r="D47" s="184">
        <v>44396</v>
      </c>
      <c r="E47" s="175">
        <v>43220</v>
      </c>
      <c r="F47" s="175">
        <v>43318</v>
      </c>
      <c r="G47" s="184">
        <v>44317</v>
      </c>
      <c r="H47" s="184">
        <v>44396</v>
      </c>
      <c r="I47" s="176"/>
      <c r="J47" s="155"/>
      <c r="K47" s="155"/>
    </row>
    <row r="48" spans="1:11" ht="31.5" x14ac:dyDescent="0.25">
      <c r="A48" s="158" t="s">
        <v>521</v>
      </c>
      <c r="B48" s="168" t="s">
        <v>187</v>
      </c>
      <c r="C48" s="164"/>
      <c r="D48" s="164"/>
      <c r="E48" s="175"/>
      <c r="F48" s="175"/>
      <c r="G48" s="164"/>
      <c r="H48" s="164"/>
      <c r="I48" s="176"/>
      <c r="J48" s="155"/>
      <c r="K48" s="155"/>
    </row>
    <row r="49" spans="1:11" ht="31.5" x14ac:dyDescent="0.25">
      <c r="A49" s="158" t="s">
        <v>532</v>
      </c>
      <c r="B49" s="167" t="s">
        <v>186</v>
      </c>
      <c r="C49" s="184">
        <v>44317</v>
      </c>
      <c r="D49" s="184">
        <v>44396</v>
      </c>
      <c r="E49" s="175">
        <v>43318</v>
      </c>
      <c r="F49" s="175">
        <v>43320</v>
      </c>
      <c r="G49" s="184">
        <v>44317</v>
      </c>
      <c r="H49" s="184">
        <v>44396</v>
      </c>
      <c r="I49" s="176"/>
      <c r="J49" s="155"/>
      <c r="K49" s="155"/>
    </row>
    <row r="50" spans="1:11" ht="78.75" x14ac:dyDescent="0.25">
      <c r="A50" s="165" t="s">
        <v>523</v>
      </c>
      <c r="B50" s="167" t="s">
        <v>522</v>
      </c>
      <c r="C50" s="164"/>
      <c r="D50" s="164"/>
      <c r="E50" s="175">
        <v>43343</v>
      </c>
      <c r="F50" s="175">
        <v>43343</v>
      </c>
      <c r="G50" s="164"/>
      <c r="H50" s="164"/>
      <c r="I50" s="176"/>
      <c r="J50" s="155"/>
      <c r="K50" s="155"/>
    </row>
    <row r="51" spans="1:11" ht="63" x14ac:dyDescent="0.25">
      <c r="A51" s="158" t="s">
        <v>525</v>
      </c>
      <c r="B51" s="167" t="s">
        <v>524</v>
      </c>
      <c r="C51" s="164" t="s">
        <v>434</v>
      </c>
      <c r="D51" s="164" t="s">
        <v>434</v>
      </c>
      <c r="E51" s="175">
        <v>43343</v>
      </c>
      <c r="F51" s="175">
        <v>43343</v>
      </c>
      <c r="G51" s="164" t="s">
        <v>434</v>
      </c>
      <c r="H51" s="164" t="s">
        <v>434</v>
      </c>
      <c r="I51" s="176"/>
      <c r="J51" s="155"/>
      <c r="K51" s="155"/>
    </row>
    <row r="52" spans="1:11" ht="63" x14ac:dyDescent="0.25">
      <c r="A52" s="158" t="s">
        <v>526</v>
      </c>
      <c r="B52" s="167" t="s">
        <v>185</v>
      </c>
      <c r="C52" s="164" t="s">
        <v>434</v>
      </c>
      <c r="D52" s="164" t="s">
        <v>434</v>
      </c>
      <c r="E52" s="175"/>
      <c r="F52" s="175"/>
      <c r="G52" s="164" t="s">
        <v>434</v>
      </c>
      <c r="H52" s="164" t="s">
        <v>434</v>
      </c>
      <c r="I52" s="176"/>
      <c r="J52" s="155"/>
      <c r="K52" s="155"/>
    </row>
    <row r="53" spans="1:11" ht="31.5" x14ac:dyDescent="0.25">
      <c r="A53" s="158" t="s">
        <v>528</v>
      </c>
      <c r="B53" s="167" t="s">
        <v>527</v>
      </c>
      <c r="C53" s="184">
        <v>44317</v>
      </c>
      <c r="D53" s="184">
        <v>44396</v>
      </c>
      <c r="E53" s="175">
        <v>43343</v>
      </c>
      <c r="F53" s="175">
        <v>43343</v>
      </c>
      <c r="G53" s="184">
        <v>44317</v>
      </c>
      <c r="H53" s="184">
        <v>44396</v>
      </c>
      <c r="I53" s="176"/>
      <c r="J53" s="155"/>
      <c r="K53" s="155"/>
    </row>
    <row r="54" spans="1:11" ht="31.5" x14ac:dyDescent="0.25">
      <c r="A54" s="158" t="s">
        <v>533</v>
      </c>
      <c r="B54" s="167" t="s">
        <v>184</v>
      </c>
      <c r="C54" s="184">
        <v>44317</v>
      </c>
      <c r="D54" s="184">
        <v>44396</v>
      </c>
      <c r="E54" s="175">
        <v>43353</v>
      </c>
      <c r="F54" s="175">
        <v>43353</v>
      </c>
      <c r="G54" s="184">
        <v>44317</v>
      </c>
      <c r="H54" s="184">
        <v>44396</v>
      </c>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honeticPr fontId="84" type="noConversion"/>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2021-02-22T21:56:33Z</cp:lastPrinted>
  <dcterms:created xsi:type="dcterms:W3CDTF">2015-08-16T15:31:05Z</dcterms:created>
  <dcterms:modified xsi:type="dcterms:W3CDTF">2023-02-24T14:23:57Z</dcterms:modified>
</cp:coreProperties>
</file>