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Пользователь\Desktop\2023\2023 _кор ИПР\05.04.2023\паспорта,карты,ф 20, ст-сти\M 22-21\M 22-21_паспорт_карта\"/>
    </mc:Choice>
  </mc:AlternateContent>
  <xr:revisionPtr revIDLastSave="0" documentId="13_ncr:1_{FF86E0BE-176E-46C4-8492-467F8C1B0EB2}" xr6:coauthVersionLast="47" xr6:coauthVersionMax="47" xr10:uidLastSave="{00000000-0000-0000-0000-000000000000}"/>
  <bookViews>
    <workbookView xWindow="510" yWindow="600" windowWidth="28290" windowHeight="15600" tabRatio="859" activeTab="3"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ПС'!$A$2:$T$62</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F31" i="29" l="1"/>
  <c r="F32" i="29"/>
  <c r="F33" i="29"/>
  <c r="F34" i="29"/>
  <c r="F35" i="29"/>
  <c r="F36" i="29"/>
  <c r="F37" i="29"/>
  <c r="F38" i="29"/>
  <c r="F39" i="29"/>
  <c r="F40" i="29"/>
  <c r="F41" i="29"/>
  <c r="F42" i="29"/>
  <c r="F43" i="29"/>
  <c r="F44" i="29"/>
  <c r="F46" i="29"/>
  <c r="F47" i="29"/>
  <c r="F48" i="29"/>
  <c r="F49" i="29"/>
  <c r="F50" i="29"/>
  <c r="F51" i="29"/>
  <c r="F52" i="29"/>
  <c r="F53" i="29"/>
  <c r="F55" i="29"/>
  <c r="F56" i="29"/>
  <c r="F57" i="29"/>
  <c r="F58" i="29"/>
  <c r="F59" i="29"/>
  <c r="F60" i="29"/>
  <c r="F61" i="29"/>
  <c r="F62" i="29"/>
  <c r="F63" i="29"/>
  <c r="F64" i="29"/>
  <c r="F25" i="29"/>
  <c r="F26" i="29"/>
  <c r="F27" i="29"/>
  <c r="F28" i="29"/>
  <c r="F29" i="29"/>
  <c r="F30" i="29"/>
  <c r="F24" i="29"/>
  <c r="C81" i="30" l="1"/>
  <c r="E27" i="29"/>
  <c r="D54" i="29"/>
  <c r="F54" i="29" s="1"/>
  <c r="R29" i="14"/>
  <c r="R30" i="29"/>
  <c r="B60" i="30" l="1"/>
  <c r="B26" i="26"/>
  <c r="B136" i="26"/>
  <c r="V39" i="29"/>
  <c r="V40" i="29"/>
  <c r="V41" i="29"/>
  <c r="V42" i="29"/>
  <c r="V43" i="29"/>
  <c r="V44" i="29"/>
  <c r="V45" i="29"/>
  <c r="V46" i="29"/>
  <c r="V47" i="29"/>
  <c r="V48" i="29"/>
  <c r="V50" i="29"/>
  <c r="V51" i="29"/>
  <c r="V53" i="29"/>
  <c r="V54" i="29"/>
  <c r="V55" i="29"/>
  <c r="V56" i="29"/>
  <c r="V57" i="29"/>
  <c r="V59" i="29"/>
  <c r="V60" i="29"/>
  <c r="V61" i="29"/>
  <c r="V62" i="29"/>
  <c r="V63" i="29"/>
  <c r="V64" i="29"/>
  <c r="V25" i="29"/>
  <c r="V26" i="29"/>
  <c r="V27" i="29"/>
  <c r="V29" i="29"/>
  <c r="V31" i="29"/>
  <c r="V32" i="29"/>
  <c r="V33" i="29"/>
  <c r="V34" i="29"/>
  <c r="V35" i="29"/>
  <c r="V36" i="29"/>
  <c r="V37" i="29"/>
  <c r="V38" i="29"/>
  <c r="O37" i="13"/>
  <c r="K26" i="5"/>
  <c r="G26" i="5"/>
  <c r="D30" i="29"/>
  <c r="V30" i="29" s="1"/>
  <c r="D49" i="29"/>
  <c r="V49" i="29" s="1"/>
  <c r="D45" i="29"/>
  <c r="E25" i="29"/>
  <c r="E26" i="29"/>
  <c r="E29" i="29"/>
  <c r="E31" i="29"/>
  <c r="E32" i="29"/>
  <c r="E33" i="29"/>
  <c r="E34" i="29"/>
  <c r="E35" i="29"/>
  <c r="E36" i="29"/>
  <c r="E37" i="29"/>
  <c r="E38" i="29"/>
  <c r="E39" i="29"/>
  <c r="E40" i="29"/>
  <c r="E42" i="29"/>
  <c r="E43" i="29"/>
  <c r="E44" i="29"/>
  <c r="E46" i="29"/>
  <c r="E47" i="29"/>
  <c r="E48" i="29"/>
  <c r="E50" i="29"/>
  <c r="E51" i="29"/>
  <c r="E53" i="29"/>
  <c r="E55" i="29"/>
  <c r="E57" i="29"/>
  <c r="E59" i="29"/>
  <c r="E60" i="29"/>
  <c r="E61" i="29"/>
  <c r="E62" i="29"/>
  <c r="E63" i="29"/>
  <c r="E64" i="29"/>
  <c r="D56" i="29"/>
  <c r="E54" i="29"/>
  <c r="E45" i="29" l="1"/>
  <c r="F45" i="29"/>
  <c r="V28" i="29"/>
  <c r="B24" i="26"/>
  <c r="V58" i="29"/>
  <c r="AC58" i="29" s="1"/>
  <c r="D52" i="29"/>
  <c r="V52" i="29" s="1"/>
  <c r="E56" i="29"/>
  <c r="E41" i="29"/>
  <c r="E30" i="29"/>
  <c r="E49" i="29"/>
  <c r="D92" i="30"/>
  <c r="E92" i="30" s="1"/>
  <c r="F92" i="30" s="1"/>
  <c r="G92" i="30" s="1"/>
  <c r="H92" i="30" s="1"/>
  <c r="I92" i="30" s="1"/>
  <c r="J92" i="30" s="1"/>
  <c r="K92" i="30" s="1"/>
  <c r="L92" i="30" s="1"/>
  <c r="C92" i="30"/>
  <c r="E28" i="29" l="1"/>
  <c r="D24" i="29"/>
  <c r="E52" i="29"/>
  <c r="E58" i="29"/>
  <c r="C51" i="7"/>
  <c r="B25" i="26"/>
  <c r="H140" i="30"/>
  <c r="H141" i="30" s="1"/>
  <c r="C73" i="30" s="1"/>
  <c r="I118" i="30"/>
  <c r="B27" i="26" l="1"/>
  <c r="V24" i="29"/>
  <c r="E24" i="29"/>
  <c r="C50" i="7"/>
  <c r="C126" i="30"/>
  <c r="A15" i="6" l="1"/>
  <c r="AC64" i="29" l="1"/>
  <c r="AC61" i="29"/>
  <c r="AC57" i="29"/>
  <c r="AC54" i="29"/>
  <c r="AC52" i="29"/>
  <c r="AC50" i="29"/>
  <c r="AC45" i="29"/>
  <c r="AC42" i="29"/>
  <c r="AC37" i="29"/>
  <c r="AC34" i="29"/>
  <c r="AC33" i="29"/>
  <c r="AC28" i="29"/>
  <c r="Z27" i="29"/>
  <c r="AA24" i="29"/>
  <c r="AC27" i="29"/>
  <c r="AC30" i="29"/>
  <c r="AC29" i="29"/>
  <c r="K24" i="29"/>
  <c r="B22" i="26"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C58" i="30"/>
  <c r="C52" i="30" s="1"/>
  <c r="B52" i="30"/>
  <c r="B47" i="30"/>
  <c r="B45" i="30"/>
  <c r="B44" i="30"/>
  <c r="B27" i="30"/>
  <c r="G137" i="30" l="1"/>
  <c r="B49" i="30" s="1"/>
  <c r="B46" i="30"/>
  <c r="C47" i="30"/>
  <c r="C74" i="30"/>
  <c r="D58" i="30"/>
  <c r="G120" i="30"/>
  <c r="I120" i="30"/>
  <c r="C109" i="30" s="1"/>
  <c r="C108" i="30" s="1"/>
  <c r="E141" i="30"/>
  <c r="C85" i="30" s="1"/>
  <c r="C99" i="30" s="1"/>
  <c r="F141" i="30"/>
  <c r="H137" i="30" l="1"/>
  <c r="C61" i="30"/>
  <c r="D74" i="30"/>
  <c r="E58" i="30"/>
  <c r="D52" i="30"/>
  <c r="D47" i="30"/>
  <c r="D109" i="30"/>
  <c r="G141" i="30"/>
  <c r="B73" i="30" l="1"/>
  <c r="C49" i="30"/>
  <c r="I137" i="30"/>
  <c r="D61" i="30"/>
  <c r="E109" i="30"/>
  <c r="E108" i="30" s="1"/>
  <c r="D108" i="30"/>
  <c r="E74" i="30"/>
  <c r="F58" i="30"/>
  <c r="E52" i="30"/>
  <c r="E47" i="30"/>
  <c r="B85" i="30" l="1"/>
  <c r="B99" i="30" s="1"/>
  <c r="D49" i="30"/>
  <c r="J137" i="30"/>
  <c r="I140" i="30"/>
  <c r="F109" i="30"/>
  <c r="G109" i="30" s="1"/>
  <c r="F74" i="30"/>
  <c r="F52" i="30"/>
  <c r="F47" i="30"/>
  <c r="G58" i="30"/>
  <c r="C50" i="30" l="1"/>
  <c r="E49" i="30"/>
  <c r="K137" i="30"/>
  <c r="H109" i="30"/>
  <c r="H108" i="30" s="1"/>
  <c r="G108" i="30"/>
  <c r="G74" i="30"/>
  <c r="H58" i="30"/>
  <c r="G52" i="30"/>
  <c r="G47" i="30"/>
  <c r="F108" i="30"/>
  <c r="J140" i="30"/>
  <c r="I141" i="30"/>
  <c r="D73" i="30" l="1"/>
  <c r="D85"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A12" i="26"/>
  <c r="B25" i="30" l="1"/>
  <c r="D81" i="30"/>
  <c r="D99" i="30" s="1"/>
  <c r="AQ99" i="30" s="1"/>
  <c r="A100" i="30" s="1"/>
  <c r="AQ81" i="30"/>
  <c r="B29" i="30"/>
  <c r="B119" i="26"/>
  <c r="B117" i="26"/>
  <c r="B67" i="26"/>
  <c r="B63" i="26"/>
  <c r="B59" i="26"/>
  <c r="B55" i="26"/>
  <c r="A15" i="26"/>
  <c r="B21" i="26" s="1"/>
  <c r="B23" i="26" s="1"/>
  <c r="A9" i="26"/>
  <c r="B121" i="26" s="1"/>
  <c r="A5" i="26"/>
  <c r="D65" i="30" l="1"/>
  <c r="E67" i="30"/>
  <c r="C60" i="30"/>
  <c r="C66" i="30" s="1"/>
  <c r="C68" i="30" s="1"/>
  <c r="C75" i="30" s="1"/>
  <c r="C76" i="30"/>
  <c r="F76" i="30"/>
  <c r="B66" i="30"/>
  <c r="B68" i="30" s="1"/>
  <c r="B80" i="30"/>
  <c r="C80" i="30"/>
  <c r="B54" i="30"/>
  <c r="E61" i="30"/>
  <c r="F61" i="30"/>
  <c r="G61" i="30"/>
  <c r="H61" i="30"/>
  <c r="I61" i="30"/>
  <c r="J61" i="30"/>
  <c r="K61" i="30"/>
  <c r="L61" i="30"/>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60" i="30" l="1"/>
  <c r="D66" i="30" s="1"/>
  <c r="D68" i="30" s="1"/>
  <c r="D75" i="30" s="1"/>
  <c r="E76" i="30"/>
  <c r="D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F67" i="30" l="1"/>
  <c r="E65" i="30"/>
  <c r="E60" i="30" s="1"/>
  <c r="E66" i="30" s="1"/>
  <c r="E68" i="30" s="1"/>
  <c r="E75" i="30" s="1"/>
  <c r="B82" i="30"/>
  <c r="B70" i="30"/>
  <c r="B71" i="30" s="1"/>
  <c r="C53" i="30"/>
  <c r="C55" i="30" s="1"/>
  <c r="D53" i="30"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8" i="30" l="1"/>
  <c r="G67" i="30"/>
  <c r="F65" i="30"/>
  <c r="F60" i="30" s="1"/>
  <c r="F66" i="30" s="1"/>
  <c r="F68" i="30" s="1"/>
  <c r="F75" i="30" s="1"/>
  <c r="B72" i="30"/>
  <c r="D55" i="30"/>
  <c r="E53" i="30" s="1"/>
  <c r="C56" i="30"/>
  <c r="C69" i="30" s="1"/>
  <c r="AB30" i="15"/>
  <c r="C49" i="7" s="1"/>
  <c r="P33" i="15"/>
  <c r="L33" i="15" s="1"/>
  <c r="AB33" i="15" s="1"/>
  <c r="P32" i="15"/>
  <c r="H67" i="30" l="1"/>
  <c r="G65" i="30"/>
  <c r="G60" i="30" s="1"/>
  <c r="G66" i="30" s="1"/>
  <c r="G68" i="30" s="1"/>
  <c r="G75" i="30" s="1"/>
  <c r="G76" i="30"/>
  <c r="P34" i="15"/>
  <c r="C77" i="30"/>
  <c r="C70" i="30"/>
  <c r="C71" i="30" s="1"/>
  <c r="E55" i="30"/>
  <c r="F53" i="30" s="1"/>
  <c r="F55" i="30" s="1"/>
  <c r="D56" i="30"/>
  <c r="D69" i="30" s="1"/>
  <c r="L32" i="15"/>
  <c r="I67" i="30" l="1"/>
  <c r="H65" i="30"/>
  <c r="H60" i="30" s="1"/>
  <c r="H66" i="30" s="1"/>
  <c r="H68" i="30" s="1"/>
  <c r="H75" i="30" s="1"/>
  <c r="H76" i="30"/>
  <c r="C78" i="30"/>
  <c r="D77" i="30"/>
  <c r="D70" i="30"/>
  <c r="D71" i="30" s="1"/>
  <c r="D72" i="30" s="1"/>
  <c r="E82" i="30"/>
  <c r="E56" i="30"/>
  <c r="E69" i="30" s="1"/>
  <c r="G53" i="30"/>
  <c r="F82" i="30"/>
  <c r="F56" i="30"/>
  <c r="F69" i="30" s="1"/>
  <c r="L34" i="15"/>
  <c r="AB34" i="15" s="1"/>
  <c r="AB32" i="15"/>
  <c r="J67" i="30" l="1"/>
  <c r="I65" i="30"/>
  <c r="I60" i="30" s="1"/>
  <c r="I66" i="30" s="1"/>
  <c r="I68" i="30" s="1"/>
  <c r="I75" i="30" s="1"/>
  <c r="I76" i="30"/>
  <c r="C72" i="30"/>
  <c r="G55" i="30"/>
  <c r="H53" i="30" s="1"/>
  <c r="H55" i="30" s="1"/>
  <c r="F77" i="30"/>
  <c r="F70" i="30"/>
  <c r="F71" i="30" s="1"/>
  <c r="F72" i="30" s="1"/>
  <c r="E77" i="30"/>
  <c r="E70" i="30"/>
  <c r="K67" i="30" l="1"/>
  <c r="J65" i="30"/>
  <c r="J60" i="30" s="1"/>
  <c r="J66" i="30" s="1"/>
  <c r="J68" i="30" s="1"/>
  <c r="J75" i="30" s="1"/>
  <c r="J76" i="30"/>
  <c r="D78" i="30"/>
  <c r="I53" i="30"/>
  <c r="H56" i="30"/>
  <c r="H69" i="30" s="1"/>
  <c r="H82" i="30"/>
  <c r="E71" i="30"/>
  <c r="E72" i="30" s="1"/>
  <c r="G56" i="30"/>
  <c r="G69" i="30" s="1"/>
  <c r="G82" i="30"/>
  <c r="L67" i="30" l="1"/>
  <c r="K65" i="30"/>
  <c r="K60" i="30" s="1"/>
  <c r="K66" i="30" s="1"/>
  <c r="K68" i="30" s="1"/>
  <c r="K75" i="30" s="1"/>
  <c r="K76" i="30"/>
  <c r="E78" i="30"/>
  <c r="H77" i="30"/>
  <c r="H70" i="30"/>
  <c r="G77" i="30"/>
  <c r="G70" i="30"/>
  <c r="G71" i="30" s="1"/>
  <c r="G72" i="30" s="1"/>
  <c r="I55" i="30"/>
  <c r="J53" i="30" s="1"/>
  <c r="J55" i="30" s="1"/>
  <c r="L65" i="30" l="1"/>
  <c r="L60" i="30" s="1"/>
  <c r="L66" i="30" s="1"/>
  <c r="L68" i="30" s="1"/>
  <c r="L75" i="30" s="1"/>
  <c r="L76" i="30"/>
  <c r="M67" i="30"/>
  <c r="F78" i="30"/>
  <c r="K53" i="30"/>
  <c r="J56" i="30"/>
  <c r="J69" i="30" s="1"/>
  <c r="J82" i="30"/>
  <c r="H71" i="30"/>
  <c r="H72" i="30" s="1"/>
  <c r="I56" i="30"/>
  <c r="I69" i="30" s="1"/>
  <c r="I82" i="30"/>
  <c r="M76" i="30" l="1"/>
  <c r="N67" i="30"/>
  <c r="M65" i="30"/>
  <c r="M60" i="30" s="1"/>
  <c r="M66" i="30" s="1"/>
  <c r="M68" i="30" s="1"/>
  <c r="M75" i="30" s="1"/>
  <c r="G78" i="30"/>
  <c r="J77" i="30"/>
  <c r="J70" i="30"/>
  <c r="I77" i="30"/>
  <c r="I70" i="30"/>
  <c r="K55" i="30"/>
  <c r="L53" i="30" s="1"/>
  <c r="L55" i="30" s="1"/>
  <c r="O67" i="30" l="1"/>
  <c r="N76" i="30"/>
  <c r="N65" i="30"/>
  <c r="N60" i="30" s="1"/>
  <c r="N66" i="30" s="1"/>
  <c r="N68" i="30" s="1"/>
  <c r="N75" i="30" s="1"/>
  <c r="H78" i="30"/>
  <c r="J71" i="30"/>
  <c r="J72" i="30" s="1"/>
  <c r="K82" i="30"/>
  <c r="K56" i="30"/>
  <c r="K69" i="30" s="1"/>
  <c r="M53" i="30"/>
  <c r="M55" i="30" s="1"/>
  <c r="L82" i="30"/>
  <c r="L56" i="30"/>
  <c r="L69" i="30" s="1"/>
  <c r="I71" i="30"/>
  <c r="I72" i="30" s="1"/>
  <c r="P67" i="30" l="1"/>
  <c r="O65" i="30"/>
  <c r="O60" i="30" s="1"/>
  <c r="O66" i="30" s="1"/>
  <c r="O68" i="30" s="1"/>
  <c r="O75" i="30" s="1"/>
  <c r="O76" i="30"/>
  <c r="I78" i="30"/>
  <c r="K77" i="30"/>
  <c r="K70" i="30"/>
  <c r="L77" i="30"/>
  <c r="L70" i="30"/>
  <c r="N53" i="30"/>
  <c r="M56" i="30"/>
  <c r="M69" i="30" s="1"/>
  <c r="M82" i="30"/>
  <c r="P76" i="30" l="1"/>
  <c r="Q67" i="30"/>
  <c r="P65" i="30"/>
  <c r="P60" i="30" s="1"/>
  <c r="P66" i="30" s="1"/>
  <c r="P68" i="30" s="1"/>
  <c r="P75" i="30" s="1"/>
  <c r="J78" i="30"/>
  <c r="K71" i="30"/>
  <c r="M77" i="30"/>
  <c r="M70" i="30"/>
  <c r="N55" i="30"/>
  <c r="L71" i="30"/>
  <c r="L72" i="30" s="1"/>
  <c r="R67" i="30" l="1"/>
  <c r="Q65" i="30"/>
  <c r="Q60" i="30" s="1"/>
  <c r="Q66" i="30" s="1"/>
  <c r="Q68" i="30" s="1"/>
  <c r="Q75" i="30" s="1"/>
  <c r="Q76" i="30"/>
  <c r="K78" i="30"/>
  <c r="N82" i="30"/>
  <c r="N56" i="30"/>
  <c r="N69" i="30" s="1"/>
  <c r="O53" i="30"/>
  <c r="O55" i="30" s="1"/>
  <c r="K72" i="30"/>
  <c r="M71" i="30"/>
  <c r="S67" i="30" l="1"/>
  <c r="R65" i="30"/>
  <c r="R60" i="30" s="1"/>
  <c r="R66" i="30" s="1"/>
  <c r="R68" i="30" s="1"/>
  <c r="R75" i="30" s="1"/>
  <c r="R76" i="30"/>
  <c r="L78" i="30"/>
  <c r="M72" i="30"/>
  <c r="N77" i="30"/>
  <c r="N70" i="30"/>
  <c r="P53" i="30"/>
  <c r="P55" i="30" s="1"/>
  <c r="O56" i="30"/>
  <c r="O69" i="30" s="1"/>
  <c r="O82" i="30"/>
  <c r="T67" i="30" l="1"/>
  <c r="S65" i="30"/>
  <c r="S60" i="30" s="1"/>
  <c r="S66" i="30" s="1"/>
  <c r="S68" i="30" s="1"/>
  <c r="S75" i="30" s="1"/>
  <c r="S76" i="30"/>
  <c r="M78" i="30"/>
  <c r="O77" i="30"/>
  <c r="O70" i="30"/>
  <c r="Q53" i="30"/>
  <c r="Q55" i="30" s="1"/>
  <c r="P56" i="30"/>
  <c r="P69" i="30" s="1"/>
  <c r="P82" i="30"/>
  <c r="N71" i="30"/>
  <c r="U67" i="30" l="1"/>
  <c r="T65" i="30"/>
  <c r="T60" i="30" s="1"/>
  <c r="T66" i="30" s="1"/>
  <c r="T68" i="30" s="1"/>
  <c r="T75" i="30" s="1"/>
  <c r="T76" i="30"/>
  <c r="N78" i="30"/>
  <c r="P77" i="30"/>
  <c r="P70" i="30"/>
  <c r="R53" i="30"/>
  <c r="R55" i="30" s="1"/>
  <c r="Q82" i="30"/>
  <c r="Q56" i="30"/>
  <c r="Q69" i="30" s="1"/>
  <c r="N72" i="30"/>
  <c r="O71" i="30"/>
  <c r="U76" i="30" l="1"/>
  <c r="V67" i="30"/>
  <c r="U65" i="30"/>
  <c r="U60" i="30" s="1"/>
  <c r="U66" i="30" s="1"/>
  <c r="U68" i="30" s="1"/>
  <c r="U75" i="30" s="1"/>
  <c r="O78" i="30"/>
  <c r="O72" i="30"/>
  <c r="S53" i="30"/>
  <c r="S55" i="30" s="1"/>
  <c r="R82" i="30"/>
  <c r="R56" i="30"/>
  <c r="R69" i="30" s="1"/>
  <c r="P71" i="30"/>
  <c r="Q77" i="30"/>
  <c r="Q70" i="30"/>
  <c r="V76" i="30" l="1"/>
  <c r="W67" i="30"/>
  <c r="V65" i="30"/>
  <c r="V60" i="30" s="1"/>
  <c r="V66" i="30" s="1"/>
  <c r="V68" i="30" s="1"/>
  <c r="V75" i="30" s="1"/>
  <c r="P78" i="30"/>
  <c r="P72" i="30"/>
  <c r="R77" i="30"/>
  <c r="R70" i="30"/>
  <c r="T53" i="30"/>
  <c r="T55" i="30" s="1"/>
  <c r="S56" i="30"/>
  <c r="S69" i="30" s="1"/>
  <c r="S82" i="30"/>
  <c r="Q71" i="30"/>
  <c r="W76" i="30" l="1"/>
  <c r="X67" i="30"/>
  <c r="W65" i="30"/>
  <c r="W60" i="30" s="1"/>
  <c r="W66" i="30" s="1"/>
  <c r="W68" i="30" s="1"/>
  <c r="W75" i="30" s="1"/>
  <c r="Q78" i="30"/>
  <c r="R71" i="30"/>
  <c r="Q72" i="30"/>
  <c r="U53" i="30"/>
  <c r="T82" i="30"/>
  <c r="T56" i="30"/>
  <c r="T69" i="30" s="1"/>
  <c r="S77" i="30"/>
  <c r="S70" i="30"/>
  <c r="Y67" i="30" l="1"/>
  <c r="X76" i="30"/>
  <c r="X65" i="30"/>
  <c r="X60" i="30" s="1"/>
  <c r="X66" i="30" s="1"/>
  <c r="X68" i="30" s="1"/>
  <c r="X75" i="30" s="1"/>
  <c r="R78" i="30"/>
  <c r="U55" i="30"/>
  <c r="V53" i="30" s="1"/>
  <c r="V55" i="30" s="1"/>
  <c r="T77" i="30"/>
  <c r="T70" i="30"/>
  <c r="R72" i="30"/>
  <c r="S71" i="30"/>
  <c r="Y76" i="30" l="1"/>
  <c r="Z67" i="30"/>
  <c r="Y65" i="30"/>
  <c r="Y60" i="30" s="1"/>
  <c r="Y66" i="30" s="1"/>
  <c r="Y68" i="30" s="1"/>
  <c r="Y75" i="30" s="1"/>
  <c r="S78" i="30"/>
  <c r="S72" i="30"/>
  <c r="T71" i="30"/>
  <c r="W53" i="30"/>
  <c r="W55" i="30" s="1"/>
  <c r="V82" i="30"/>
  <c r="V56" i="30"/>
  <c r="V69" i="30" s="1"/>
  <c r="U82" i="30"/>
  <c r="U56" i="30"/>
  <c r="U69" i="30" s="1"/>
  <c r="AA67" i="30" l="1"/>
  <c r="Z65" i="30"/>
  <c r="Z60" i="30" s="1"/>
  <c r="Z66" i="30" s="1"/>
  <c r="Z68" i="30" s="1"/>
  <c r="Z75" i="30" s="1"/>
  <c r="Z76" i="30"/>
  <c r="T78" i="30"/>
  <c r="T72" i="30"/>
  <c r="U77" i="30"/>
  <c r="U70" i="30"/>
  <c r="V77" i="30"/>
  <c r="V70" i="30"/>
  <c r="X53" i="30"/>
  <c r="X55" i="30" s="1"/>
  <c r="W82" i="30"/>
  <c r="W56" i="30"/>
  <c r="W69" i="30" s="1"/>
  <c r="AB67" i="30" l="1"/>
  <c r="AA65" i="30"/>
  <c r="AA60" i="30" s="1"/>
  <c r="AA66" i="30" s="1"/>
  <c r="AA68" i="30" s="1"/>
  <c r="AA75" i="30" s="1"/>
  <c r="AA76" i="30"/>
  <c r="U71" i="30"/>
  <c r="U78" i="30" s="1"/>
  <c r="W77" i="30"/>
  <c r="W70" i="30"/>
  <c r="V71" i="30"/>
  <c r="Y53" i="30"/>
  <c r="Y55" i="30" s="1"/>
  <c r="X82" i="30"/>
  <c r="X56" i="30"/>
  <c r="X69" i="30" s="1"/>
  <c r="AB76" i="30" l="1"/>
  <c r="AC67" i="30"/>
  <c r="AB65" i="30"/>
  <c r="AB60" i="30" s="1"/>
  <c r="AB66" i="30" s="1"/>
  <c r="AB68" i="30" s="1"/>
  <c r="AB75" i="30" s="1"/>
  <c r="V78" i="30"/>
  <c r="U72" i="30"/>
  <c r="X77" i="30"/>
  <c r="X70" i="30"/>
  <c r="W71" i="30"/>
  <c r="Z53" i="30"/>
  <c r="Y82" i="30"/>
  <c r="Y56" i="30"/>
  <c r="Y69" i="30" s="1"/>
  <c r="V72" i="30"/>
  <c r="AC76" i="30" l="1"/>
  <c r="AC65" i="30"/>
  <c r="AC60" i="30" s="1"/>
  <c r="AC66" i="30" s="1"/>
  <c r="AC68" i="30" s="1"/>
  <c r="AC75" i="30" s="1"/>
  <c r="AD67" i="30"/>
  <c r="W78" i="30"/>
  <c r="X71" i="30"/>
  <c r="W72" i="30"/>
  <c r="Z55" i="30"/>
  <c r="AA53" i="30" s="1"/>
  <c r="AA55" i="30" s="1"/>
  <c r="Y77" i="30"/>
  <c r="Y70" i="30"/>
  <c r="AE67" i="30" l="1"/>
  <c r="AD76" i="30"/>
  <c r="AD65" i="30"/>
  <c r="AD60" i="30" s="1"/>
  <c r="AD66" i="30" s="1"/>
  <c r="AD68" i="30" s="1"/>
  <c r="AD75" i="30" s="1"/>
  <c r="X78" i="30"/>
  <c r="X72" i="30"/>
  <c r="AB53" i="30"/>
  <c r="AB55" i="30" s="1"/>
  <c r="AA56" i="30"/>
  <c r="AA69" i="30" s="1"/>
  <c r="AA82" i="30"/>
  <c r="Y71" i="30"/>
  <c r="Z82" i="30"/>
  <c r="Z56" i="30"/>
  <c r="Z69" i="30" s="1"/>
  <c r="AE65" i="30" l="1"/>
  <c r="AE60" i="30" s="1"/>
  <c r="AE66" i="30" s="1"/>
  <c r="AE68" i="30" s="1"/>
  <c r="AE75" i="30" s="1"/>
  <c r="AE76" i="30"/>
  <c r="AF67" i="30"/>
  <c r="Y78" i="30"/>
  <c r="Y72" i="30"/>
  <c r="AA77" i="30"/>
  <c r="AA70" i="30"/>
  <c r="Z77" i="30"/>
  <c r="Z70" i="30"/>
  <c r="AC53" i="30"/>
  <c r="AC55" i="30" s="1"/>
  <c r="AB56" i="30"/>
  <c r="AB69" i="30" s="1"/>
  <c r="AB82" i="30"/>
  <c r="AF65" i="30" l="1"/>
  <c r="AF60" i="30" s="1"/>
  <c r="AF66" i="30" s="1"/>
  <c r="AF68" i="30" s="1"/>
  <c r="AF75" i="30" s="1"/>
  <c r="AF76" i="30"/>
  <c r="AG67" i="30"/>
  <c r="AA71" i="30"/>
  <c r="AB77" i="30"/>
  <c r="AB70" i="30"/>
  <c r="AD53" i="30"/>
  <c r="AD55" i="30" s="1"/>
  <c r="AC56" i="30"/>
  <c r="AC69" i="30" s="1"/>
  <c r="AC82" i="30"/>
  <c r="Z71" i="30"/>
  <c r="Z78" i="30" s="1"/>
  <c r="AG76" i="30" l="1"/>
  <c r="AH67" i="30"/>
  <c r="AG68" i="30"/>
  <c r="AG75" i="30" s="1"/>
  <c r="Z72" i="30"/>
  <c r="AA78" i="30"/>
  <c r="AE53" i="30"/>
  <c r="AD82" i="30"/>
  <c r="AD56" i="30"/>
  <c r="AD69" i="30" s="1"/>
  <c r="AC77" i="30"/>
  <c r="AC70" i="30"/>
  <c r="AA72" i="30"/>
  <c r="AB71" i="30"/>
  <c r="AI67" i="30" l="1"/>
  <c r="AH76" i="30"/>
  <c r="AH68" i="30"/>
  <c r="AH75" i="30" s="1"/>
  <c r="AB78" i="30"/>
  <c r="AB72" i="30"/>
  <c r="AC71" i="30"/>
  <c r="AD77" i="30"/>
  <c r="AD70" i="30"/>
  <c r="AE55" i="30"/>
  <c r="AF53" i="30" s="1"/>
  <c r="AJ67" i="30" l="1"/>
  <c r="AI76" i="30"/>
  <c r="AI68" i="30"/>
  <c r="AI75" i="30" s="1"/>
  <c r="AC78" i="30"/>
  <c r="AF55" i="30"/>
  <c r="AG53" i="30" s="1"/>
  <c r="AG55" i="30" s="1"/>
  <c r="AE56" i="30"/>
  <c r="AE69" i="30" s="1"/>
  <c r="AE82" i="30"/>
  <c r="AC72" i="30"/>
  <c r="AD71" i="30"/>
  <c r="AK67" i="30" l="1"/>
  <c r="AJ76" i="30"/>
  <c r="AJ68" i="30"/>
  <c r="AJ75" i="30" s="1"/>
  <c r="AD78" i="30"/>
  <c r="AH53" i="30"/>
  <c r="AH55" i="30" s="1"/>
  <c r="AG82" i="30"/>
  <c r="AG56" i="30"/>
  <c r="AG69" i="30" s="1"/>
  <c r="AD72" i="30"/>
  <c r="AE77" i="30"/>
  <c r="AE70" i="30"/>
  <c r="AF82" i="30"/>
  <c r="AF56" i="30"/>
  <c r="AF69" i="30" s="1"/>
  <c r="AL67" i="30" l="1"/>
  <c r="AK76" i="30"/>
  <c r="AK68" i="30"/>
  <c r="AK75" i="30" s="1"/>
  <c r="AG77" i="30"/>
  <c r="AG70" i="30"/>
  <c r="AE71" i="30"/>
  <c r="AE78" i="30" s="1"/>
  <c r="AI53" i="30"/>
  <c r="AH56" i="30"/>
  <c r="AH69" i="30" s="1"/>
  <c r="AH82" i="30"/>
  <c r="AF77" i="30"/>
  <c r="AF70" i="30"/>
  <c r="AL76" i="30" l="1"/>
  <c r="AM67" i="30"/>
  <c r="AL68" i="30"/>
  <c r="AL75" i="30" s="1"/>
  <c r="AE72" i="30"/>
  <c r="AF71" i="30"/>
  <c r="AF78" i="30" s="1"/>
  <c r="AG71" i="30"/>
  <c r="AH77" i="30"/>
  <c r="AH70" i="30"/>
  <c r="AI55" i="30"/>
  <c r="AM68" i="30" l="1"/>
  <c r="AM75" i="30" s="1"/>
  <c r="AM76" i="30"/>
  <c r="AN67" i="30"/>
  <c r="AG78" i="30"/>
  <c r="AG72" i="30"/>
  <c r="AH71" i="30"/>
  <c r="AI82" i="30"/>
  <c r="AI56" i="30"/>
  <c r="AI69" i="30" s="1"/>
  <c r="AF72" i="30"/>
  <c r="AJ53" i="30"/>
  <c r="AN68" i="30" l="1"/>
  <c r="AN75" i="30" s="1"/>
  <c r="AO67" i="30"/>
  <c r="AN76" i="30"/>
  <c r="AH78" i="30"/>
  <c r="AI77" i="30"/>
  <c r="AI70" i="30"/>
  <c r="AH72" i="30"/>
  <c r="AJ55" i="30"/>
  <c r="AK53" i="30" s="1"/>
  <c r="AK55" i="30" s="1"/>
  <c r="AP67" i="30" l="1"/>
  <c r="AO68" i="30"/>
  <c r="AO75" i="30" s="1"/>
  <c r="AO76" i="30"/>
  <c r="AL53" i="30"/>
  <c r="AK56" i="30"/>
  <c r="AK69" i="30" s="1"/>
  <c r="AK82" i="30"/>
  <c r="AI71" i="30"/>
  <c r="AI78" i="30" s="1"/>
  <c r="AJ82" i="30"/>
  <c r="AJ56" i="30"/>
  <c r="AJ69" i="30" s="1"/>
  <c r="AP76" i="30" l="1"/>
  <c r="AP68" i="30"/>
  <c r="AP75" i="30" s="1"/>
  <c r="AI72" i="30"/>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AC24" i="29" l="1"/>
  <c r="D86" i="30" l="1"/>
  <c r="D83" i="30"/>
  <c r="D79" i="30"/>
  <c r="L90" i="30"/>
  <c r="AA89" i="30"/>
  <c r="AA84" i="30"/>
  <c r="AF86" i="30"/>
  <c r="AF83" i="30"/>
  <c r="AF79" i="30"/>
  <c r="H90" i="30"/>
  <c r="H87" i="30"/>
  <c r="AD89" i="30"/>
  <c r="AD84" i="30"/>
  <c r="M90" i="30"/>
  <c r="M87" i="30"/>
  <c r="V89" i="30"/>
  <c r="V84" i="30"/>
  <c r="I90" i="30"/>
  <c r="I87" i="30"/>
  <c r="AN89" i="30"/>
  <c r="AN84" i="30"/>
  <c r="AL86" i="30"/>
  <c r="AL83" i="30"/>
  <c r="AL79" i="30"/>
  <c r="G90" i="30"/>
  <c r="G87" i="30"/>
  <c r="G86" i="30"/>
  <c r="G83" i="30"/>
  <c r="G79" i="30"/>
  <c r="AD90" i="30"/>
  <c r="AD87" i="30"/>
  <c r="B105" i="30"/>
  <c r="L88" i="30"/>
  <c r="W86" i="30"/>
  <c r="W83" i="30"/>
  <c r="W79" i="30"/>
  <c r="Y86" i="30"/>
  <c r="Y83" i="30"/>
  <c r="Y79" i="30"/>
  <c r="N89" i="30"/>
  <c r="N84" i="30"/>
  <c r="AF90" i="30"/>
  <c r="AF87" i="30"/>
  <c r="K86" i="30"/>
  <c r="K83" i="30"/>
  <c r="K79" i="30"/>
  <c r="M89" i="30"/>
  <c r="M84" i="30"/>
  <c r="U90" i="30"/>
  <c r="U87" i="30"/>
  <c r="AG90" i="30"/>
  <c r="AG87" i="30"/>
  <c r="AC89" i="30"/>
  <c r="AC84" i="30"/>
  <c r="Z90" i="30"/>
  <c r="Z87" i="30"/>
  <c r="Z89" i="30"/>
  <c r="Z84" i="30"/>
  <c r="AE89" i="30"/>
  <c r="AE84" i="30"/>
  <c r="T89" i="30"/>
  <c r="T84" i="30"/>
  <c r="AD86" i="30"/>
  <c r="AD83" i="30"/>
  <c r="AD79" i="30"/>
  <c r="X86" i="30"/>
  <c r="X83" i="30"/>
  <c r="X79" i="30"/>
  <c r="AO89" i="30"/>
  <c r="AO84" i="30"/>
  <c r="K89" i="30"/>
  <c r="K84" i="30"/>
  <c r="O90" i="30"/>
  <c r="O87" i="30"/>
  <c r="H89" i="30"/>
  <c r="H84" i="30"/>
  <c r="AB89" i="30"/>
  <c r="AB84" i="30"/>
  <c r="AA90" i="30"/>
  <c r="AA87" i="30"/>
  <c r="L86" i="30"/>
  <c r="L83" i="30"/>
  <c r="L79" i="30"/>
  <c r="F89" i="30"/>
  <c r="F84" i="30"/>
  <c r="AH86" i="30"/>
  <c r="AH83" i="30"/>
  <c r="AH79" i="30"/>
  <c r="S90" i="30"/>
  <c r="S87" i="30"/>
  <c r="AE90" i="30"/>
  <c r="AE87" i="30"/>
  <c r="F86" i="30"/>
  <c r="F83" i="30"/>
  <c r="F79" i="30"/>
  <c r="AL90" i="30"/>
  <c r="AL87" i="30"/>
  <c r="AB86" i="30"/>
  <c r="AB83" i="30"/>
  <c r="AB79" i="30"/>
  <c r="AB90" i="30"/>
  <c r="AB87" i="30"/>
  <c r="AN90" i="30"/>
  <c r="AN87" i="30"/>
  <c r="B102" i="30"/>
  <c r="A101" i="30"/>
  <c r="Q79" i="30"/>
  <c r="Q83" i="30"/>
  <c r="Q86" i="30"/>
  <c r="W89" i="30"/>
  <c r="W84" i="30"/>
  <c r="Z86" i="30"/>
  <c r="Z83" i="30"/>
  <c r="Z79" i="30"/>
  <c r="F90" i="30"/>
  <c r="F87" i="30"/>
  <c r="Q90" i="30"/>
  <c r="Q87" i="30"/>
  <c r="AJ86" i="30"/>
  <c r="AJ83" i="30"/>
  <c r="AJ79" i="30"/>
  <c r="AC90" i="30"/>
  <c r="AC87" i="30"/>
  <c r="E89" i="30"/>
  <c r="E84" i="30"/>
  <c r="O89" i="30"/>
  <c r="O84" i="30"/>
  <c r="AJ90" i="30"/>
  <c r="AJ87" i="30"/>
  <c r="J90" i="30"/>
  <c r="J87" i="30"/>
  <c r="B87" i="30"/>
  <c r="B90" i="30"/>
  <c r="G29" i="30"/>
  <c r="D105" i="30"/>
  <c r="AG79" i="30"/>
  <c r="AG83" i="30"/>
  <c r="AG86" i="30"/>
  <c r="T90" i="30"/>
  <c r="T87" i="30"/>
  <c r="AP87" i="30"/>
  <c r="AP90" i="30"/>
  <c r="O86" i="30"/>
  <c r="O83" i="30"/>
  <c r="O79" i="30"/>
  <c r="X90" i="30"/>
  <c r="X87" i="30"/>
  <c r="AC86" i="30"/>
  <c r="AC83" i="30"/>
  <c r="AC79" i="30"/>
  <c r="D89" i="30"/>
  <c r="D84" i="30"/>
  <c r="I89" i="30"/>
  <c r="I84" i="30"/>
  <c r="C90" i="30"/>
  <c r="C87" i="30"/>
  <c r="X89" i="30"/>
  <c r="X84" i="30"/>
  <c r="J86" i="30"/>
  <c r="J83" i="30"/>
  <c r="J79" i="30"/>
  <c r="AJ89" i="30"/>
  <c r="AJ84" i="30"/>
  <c r="AP89" i="30"/>
  <c r="AP84" i="30"/>
  <c r="AO86" i="30"/>
  <c r="AO83" i="30"/>
  <c r="AO79" i="30"/>
  <c r="U89" i="30"/>
  <c r="U84" i="30"/>
  <c r="Y89" i="30"/>
  <c r="Y84" i="30"/>
  <c r="AK79" i="30"/>
  <c r="AK83" i="30"/>
  <c r="AK86" i="30"/>
  <c r="C89" i="30"/>
  <c r="C84" i="30"/>
  <c r="E90" i="30"/>
  <c r="E87" i="30"/>
  <c r="AF89" i="30"/>
  <c r="AF84" i="30"/>
  <c r="AI79" i="30"/>
  <c r="AI83" i="30"/>
  <c r="AI86" i="30"/>
  <c r="AM79" i="30"/>
  <c r="AM83" i="30"/>
  <c r="AM86" i="30"/>
  <c r="AM89" i="30"/>
  <c r="AM84" i="30"/>
  <c r="AI89" i="30"/>
  <c r="AI84" i="30"/>
  <c r="P79" i="30"/>
  <c r="P83" i="30"/>
  <c r="P86" i="30"/>
  <c r="R89" i="30"/>
  <c r="R84" i="30"/>
  <c r="AA79" i="30"/>
  <c r="AA83" i="30"/>
  <c r="AA86" i="30"/>
  <c r="AK89" i="30"/>
  <c r="AK84" i="30"/>
  <c r="M79" i="30"/>
  <c r="M83" i="30"/>
  <c r="M86" i="30"/>
  <c r="R90" i="30"/>
  <c r="R87" i="30"/>
  <c r="J89" i="30"/>
  <c r="J84" i="30"/>
  <c r="R79" i="30"/>
  <c r="R83" i="30"/>
  <c r="R86" i="30"/>
  <c r="AH90" i="30"/>
  <c r="AH87" i="30"/>
  <c r="L87" i="30"/>
  <c r="G30" i="30"/>
  <c r="A105" i="30"/>
  <c r="P89" i="30"/>
  <c r="P84" i="30"/>
  <c r="AN79" i="30"/>
  <c r="AN83" i="30"/>
  <c r="AN86" i="30"/>
  <c r="AK90" i="30"/>
  <c r="AK87" i="30"/>
  <c r="AI90" i="30"/>
  <c r="AI87" i="30"/>
  <c r="Y90" i="30"/>
  <c r="Y87" i="30"/>
  <c r="P90" i="30"/>
  <c r="P87" i="30"/>
  <c r="V79" i="30"/>
  <c r="V83" i="30"/>
  <c r="V86" i="30"/>
  <c r="AG89" i="30"/>
  <c r="AG84" i="30"/>
  <c r="H79" i="30"/>
  <c r="H83" i="30"/>
  <c r="H86" i="30"/>
  <c r="Q89" i="30"/>
  <c r="Q84" i="30"/>
  <c r="L89" i="30"/>
  <c r="L84" i="30"/>
  <c r="G89" i="30"/>
  <c r="G84" i="30"/>
  <c r="N90" i="30"/>
  <c r="N87" i="30"/>
  <c r="S79" i="30"/>
  <c r="S83" i="30"/>
  <c r="S86" i="30"/>
  <c r="AM90" i="30"/>
  <c r="AM87" i="30"/>
  <c r="AP79" i="30"/>
  <c r="AP83" i="30"/>
  <c r="AP86" i="30"/>
  <c r="U79" i="30"/>
  <c r="U83" i="30"/>
  <c r="U86" i="30"/>
  <c r="S89" i="30"/>
  <c r="S84" i="30"/>
  <c r="K90" i="30"/>
  <c r="K87" i="30"/>
  <c r="AL89" i="30"/>
  <c r="AL84" i="30"/>
  <c r="AE79" i="30"/>
  <c r="AE83" i="30"/>
  <c r="AE86" i="30"/>
  <c r="W90" i="30"/>
  <c r="W87" i="30"/>
  <c r="AO90" i="30"/>
  <c r="AO87" i="30"/>
  <c r="D90" i="30"/>
  <c r="D87" i="30"/>
  <c r="V90" i="30"/>
  <c r="B86" i="30"/>
  <c r="V87" i="30"/>
  <c r="C79" i="30"/>
  <c r="C83" i="30"/>
  <c r="C86" i="30"/>
  <c r="T79" i="30"/>
  <c r="T83" i="30"/>
  <c r="T86" i="30"/>
  <c r="B84" i="30"/>
  <c r="B89" i="30"/>
  <c r="G28" i="30"/>
  <c r="C105" i="30"/>
  <c r="E79" i="30"/>
  <c r="E83" i="30"/>
  <c r="E86" i="30"/>
  <c r="N79" i="30"/>
  <c r="N83" i="30"/>
  <c r="N86" i="30"/>
  <c r="I79" i="30"/>
  <c r="I83" i="30"/>
  <c r="I86" i="30"/>
  <c r="K88" i="30"/>
  <c r="V88" i="30"/>
  <c r="I88" i="30"/>
  <c r="R88" i="30"/>
  <c r="O88" i="30"/>
  <c r="T88" i="30"/>
  <c r="H88" i="30"/>
  <c r="AN88" i="30"/>
  <c r="AG88" i="30"/>
  <c r="AD88" i="30"/>
  <c r="AP88" i="30"/>
  <c r="M88" i="30"/>
  <c r="F88" i="30"/>
  <c r="AF88" i="30"/>
  <c r="AH88" i="30"/>
  <c r="AK88" i="30"/>
  <c r="AB88" i="30"/>
  <c r="AJ88" i="30"/>
  <c r="G88" i="30"/>
  <c r="P88" i="30"/>
  <c r="AC88" i="30"/>
  <c r="X88" i="30"/>
  <c r="J88" i="30"/>
  <c r="Y88" i="30"/>
  <c r="N88" i="30"/>
  <c r="D88" i="30"/>
  <c r="AI88" i="30"/>
  <c r="C88" i="30"/>
  <c r="AE88" i="30"/>
  <c r="W88" i="30"/>
  <c r="AL88" i="30"/>
  <c r="Q88" i="30"/>
  <c r="S88" i="30"/>
  <c r="AO88" i="30"/>
  <c r="AA88" i="30"/>
  <c r="Z88" i="30"/>
  <c r="B88" i="30"/>
  <c r="AM88" i="30"/>
  <c r="E88" i="30"/>
  <c r="U88" i="30"/>
  <c r="B79" i="30"/>
  <c r="B83" i="30"/>
  <c r="AH84" i="30"/>
  <c r="AH89" i="30"/>
</calcChain>
</file>

<file path=xl/sharedStrings.xml><?xml version="1.0" encoding="utf-8"?>
<sst xmlns="http://schemas.openxmlformats.org/spreadsheetml/2006/main" count="1666" uniqueCount="661">
  <si>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</si>
  <si>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</si>
  <si>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</si>
  <si>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</si>
  <si>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</si>
  <si>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</si>
  <si>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</si>
  <si>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</si>
  <si>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</si>
  <si>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</si>
  <si>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</si>
  <si>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</si>
  <si>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</si>
  <si>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</si>
  <si>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</si>
  <si>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</si>
  <si>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</si>
  <si>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</si>
  <si>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</si>
  <si>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</si>
  <si>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</si>
  <si>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</si>
  <si>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</si>
  <si>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</si>
  <si>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</si>
  <si>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</si>
  <si>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</si>
  <si>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</si>
  <si>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</si>
  <si>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</si>
  <si>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</si>
  <si>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</si>
  <si>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</si>
  <si>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</si>
  <si>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</si>
  <si>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</si>
  <si>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</si>
  <si>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</si>
  <si>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</si>
  <si>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</si>
  <si>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</si>
  <si>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</si>
  <si>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</si>
  <si>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</si>
  <si>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</si>
  <si>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</si>
  <si>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</si>
  <si>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</si>
  <si>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</si>
  <si>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</si>
  <si>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</si>
  <si>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</si>
  <si>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</si>
  <si>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</si>
  <si>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</si>
  <si>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</si>
  <si>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</si>
  <si>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</si>
  <si>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</si>
  <si>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</si>
  <si>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</si>
  <si>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</si>
  <si>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</si>
  <si>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</si>
  <si>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</si>
  <si>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</si>
  <si>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</si>
  <si>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</si>
  <si>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</si>
  <si>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</si>
  <si>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</si>
  <si>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</si>
  <si>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</si>
  <si>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</si>
  <si>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</si>
  <si>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</si>
  <si>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</si>
  <si>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</si>
  <si>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</si>
  <si>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</si>
  <si>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</si>
  <si>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</si>
  <si>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</si>
  <si>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</si>
  <si>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</si>
  <si>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</si>
  <si>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</si>
  <si>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</si>
  <si>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</si>
  <si>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</si>
  <si>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</si>
  <si>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</si>
  <si>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</si>
  <si>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</si>
  <si>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</si>
  <si>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</si>
  <si>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</si>
  <si>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</si>
  <si>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</si>
  <si>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</si>
  <si>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</si>
  <si>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</si>
  <si>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</si>
  <si>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</si>
  <si>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</si>
  <si>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</si>
  <si>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</si>
  <si>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</si>
  <si>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</si>
  <si>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</si>
  <si>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</si>
  <si>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</si>
  <si>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</si>
  <si>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</si>
  <si>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</si>
  <si>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</si>
  <si>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</si>
  <si>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</si>
  <si>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</si>
  <si>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</si>
  <si>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</si>
  <si>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</si>
  <si>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</si>
  <si>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</si>
  <si>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</si>
  <si>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</si>
  <si>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</si>
  <si>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</si>
  <si>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</si>
  <si>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</si>
  <si>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</si>
  <si>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</si>
  <si>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</si>
  <si>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</si>
  <si>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</si>
  <si>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</si>
  <si>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</si>
  <si>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</si>
  <si>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</si>
  <si>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</si>
  <si>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</si>
  <si>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</si>
  <si>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</si>
  <si>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</si>
  <si>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</si>
  <si>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</si>
  <si>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</si>
  <si>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</si>
  <si>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</si>
  <si>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</si>
  <si>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</si>
  <si>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</si>
  <si>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</si>
  <si>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</si>
  <si>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</si>
  <si>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</si>
  <si>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</si>
  <si>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</si>
  <si>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</si>
  <si>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</si>
  <si>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</si>
  <si>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</si>
  <si>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</si>
  <si>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</si>
  <si>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</si>
  <si>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</si>
  <si>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</si>
  <si>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</si>
  <si>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</si>
  <si>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</si>
  <si>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</si>
  <si>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</si>
  <si>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</si>
  <si>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</si>
  <si>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</si>
  <si>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</si>
  <si>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</si>
  <si>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</si>
  <si>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</si>
  <si>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</si>
  <si>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</si>
  <si>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</si>
  <si>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</si>
  <si>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</si>
  <si>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</si>
  <si>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</si>
  <si>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</si>
  <si>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</si>
  <si>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</si>
  <si>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</si>
  <si>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</si>
  <si>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</si>
  <si>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</si>
  <si>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</si>
  <si>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</si>
  <si>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</si>
  <si>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</si>
  <si>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</si>
  <si>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</si>
  <si>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</si>
  <si>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</si>
  <si>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</si>
  <si>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</si>
  <si>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</si>
  <si>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</si>
  <si>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</si>
  <si>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</si>
  <si>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</si>
  <si>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</si>
  <si>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</si>
  <si>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</si>
  <si>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</si>
  <si>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</si>
  <si>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</si>
  <si>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</si>
  <si>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</si>
  <si>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</si>
  <si>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</si>
  <si>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</si>
  <si>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</si>
  <si>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</si>
  <si>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</si>
  <si>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</si>
  <si>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</si>
  <si>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</si>
  <si>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</si>
  <si>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</si>
  <si>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</si>
  <si>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</si>
  <si>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</si>
  <si>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</si>
  <si>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</si>
  <si>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</si>
  <si>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</si>
  <si>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</si>
  <si>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</si>
  <si>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</si>
  <si>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</si>
  <si>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</si>
  <si>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</si>
  <si>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</si>
  <si>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</si>
  <si>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</si>
  <si>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</si>
  <si>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</si>
  <si>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</si>
  <si>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</si>
  <si>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</si>
  <si>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</si>
  <si>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</si>
  <si>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</si>
  <si>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</si>
  <si>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</si>
  <si>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</si>
  <si>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</si>
  <si>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</si>
  <si>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</si>
  <si>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</si>
  <si>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</si>
  <si>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</si>
  <si>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</si>
  <si>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</si>
  <si>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</si>
  <si>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</si>
  <si>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</si>
  <si>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</si>
  <si>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</si>
  <si>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</si>
  <si>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</si>
  <si>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</si>
  <si>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</si>
  <si>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</si>
  <si>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</si>
  <si>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</si>
  <si>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</si>
  <si>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</si>
  <si>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</si>
  <si>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</si>
  <si>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</si>
  <si>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</si>
  <si>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</si>
  <si>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</si>
  <si>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</si>
  <si>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</si>
  <si>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</si>
  <si>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</si>
  <si>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</si>
  <si>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</si>
  <si>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</si>
  <si>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</si>
  <si>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</si>
  <si>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</si>
  <si>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</si>
  <si>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</si>
  <si>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</si>
  <si>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</si>
  <si>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</si>
  <si>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</si>
  <si>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</si>
  <si>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</si>
  <si>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</si>
  <si>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</si>
  <si>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</si>
  <si>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</si>
  <si>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</si>
  <si>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</si>
  <si>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</si>
  <si>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</si>
  <si>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</si>
  <si>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</si>
  <si>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</si>
  <si>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</si>
  <si>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</si>
  <si>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</si>
  <si>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</si>
  <si>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</si>
  <si>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</si>
  <si>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</si>
  <si>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</si>
  <si>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</si>
  <si>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</si>
  <si>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</si>
  <si>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</si>
  <si>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</si>
  <si>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</si>
  <si>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</si>
  <si>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</si>
  <si>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</si>
  <si>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</si>
  <si>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</si>
  <si>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</si>
  <si>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</si>
  <si>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</si>
  <si>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</si>
  <si>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</si>
  <si>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</si>
  <si>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</si>
  <si>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</si>
  <si>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</si>
  <si>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</si>
  <si>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</si>
  <si>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</si>
  <si>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</si>
  <si>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</si>
  <si>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</si>
  <si>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</si>
  <si>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</si>
  <si>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</si>
  <si>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</si>
  <si>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</si>
  <si>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</si>
  <si>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</si>
  <si>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</si>
  <si>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</si>
  <si>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</si>
  <si>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</si>
  <si>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</si>
  <si>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</si>
  <si>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</si>
  <si>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</si>
  <si>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</si>
  <si>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</si>
  <si>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</si>
  <si>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</si>
  <si>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</si>
  <si>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</si>
  <si>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</si>
  <si>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</si>
  <si>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</si>
  <si>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</si>
  <si>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</si>
  <si>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</si>
  <si>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</si>
  <si>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</si>
  <si>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</si>
  <si>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</si>
  <si>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</si>
  <si>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</si>
  <si>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</si>
  <si>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</si>
  <si>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</si>
  <si>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</si>
  <si>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</si>
  <si>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</si>
  <si>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</si>
  <si>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</si>
  <si>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</si>
  <si>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</si>
  <si>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</si>
  <si>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</si>
  <si>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</si>
  <si>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</si>
  <si>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</si>
  <si>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</si>
  <si>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</si>
  <si>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</si>
  <si>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</si>
  <si>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</si>
  <si>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</si>
  <si>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</si>
  <si>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</si>
  <si>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</si>
  <si>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</si>
  <si>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</si>
  <si>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</si>
  <si>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</si>
  <si>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</si>
  <si>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</si>
  <si>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</si>
  <si>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</si>
  <si>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</si>
  <si>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</si>
  <si>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</si>
  <si>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</si>
  <si>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</si>
  <si>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</si>
  <si>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</si>
  <si>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</si>
  <si>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</si>
  <si>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</si>
  <si>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</si>
  <si>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</si>
  <si>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</si>
  <si>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</si>
  <si>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</si>
  <si>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</si>
  <si>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</si>
  <si>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</si>
  <si>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</si>
  <si>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</si>
  <si>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</si>
  <si>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</si>
  <si>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</si>
  <si>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</si>
  <si>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</si>
  <si>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</si>
  <si>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</si>
  <si>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</si>
  <si>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</si>
  <si>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</si>
  <si>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</si>
  <si>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</si>
  <si>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</si>
  <si>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</si>
  <si>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</si>
  <si>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</si>
  <si>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</si>
  <si>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</si>
  <si>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</si>
  <si>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</si>
  <si>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</si>
  <si>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</si>
  <si>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</si>
  <si>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</si>
  <si>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</si>
  <si>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</si>
  <si>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</si>
  <si>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</si>
  <si>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</si>
  <si>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</si>
  <si>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</si>
  <si>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</si>
  <si>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</si>
  <si>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</si>
  <si>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</si>
  <si>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</si>
  <si>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</si>
  <si>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</si>
  <si>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</si>
  <si>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</si>
  <si>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</si>
  <si>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</si>
  <si>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</si>
  <si>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</si>
  <si>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</si>
  <si>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</si>
  <si>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</si>
  <si>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</si>
  <si>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</si>
  <si>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</si>
  <si>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</si>
  <si>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</si>
  <si>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</si>
  <si>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</si>
  <si>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</si>
  <si>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</si>
  <si>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</si>
  <si>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</si>
  <si>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</si>
  <si>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</si>
  <si>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</si>
  <si>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</si>
  <si>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</si>
  <si>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</si>
  <si>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</si>
  <si>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</si>
  <si>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</si>
  <si>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</si>
  <si>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</si>
  <si>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</si>
  <si>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</si>
  <si>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</si>
  <si>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</si>
  <si>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</si>
  <si>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</si>
  <si>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</si>
  <si>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</si>
  <si>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</si>
  <si>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</si>
  <si>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</si>
  <si>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</si>
  <si>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</si>
  <si>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</si>
  <si>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</si>
  <si>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</si>
  <si>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</si>
  <si>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</si>
  <si>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</si>
  <si>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</si>
  <si>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</si>
  <si>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</si>
  <si>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</si>
  <si>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</si>
  <si>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</si>
  <si>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</si>
  <si>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</si>
  <si>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</si>
  <si>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</si>
  <si>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</si>
  <si>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</si>
  <si>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</si>
  <si>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</si>
  <si>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</si>
  <si>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</si>
  <si>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</si>
  <si>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</si>
  <si>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</si>
  <si>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</si>
  <si>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</si>
  <si>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</si>
  <si>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</si>
  <si>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</si>
  <si>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</si>
  <si>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</si>
  <si>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</si>
  <si>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</si>
  <si>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</si>
  <si>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</si>
  <si>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</si>
  <si>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</si>
  <si>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</si>
  <si>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</si>
  <si>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</si>
  <si>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</si>
  <si>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</si>
  <si>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</si>
  <si>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</si>
  <si>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</si>
  <si>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</si>
  <si>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</si>
  <si>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</si>
  <si>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</si>
  <si>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</si>
  <si>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</si>
  <si>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</si>
  <si>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</si>
  <si>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</si>
  <si>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</si>
  <si>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</si>
  <si>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</si>
  <si>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</si>
  <si>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</si>
  <si>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</si>
  <si>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</si>
  <si>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</si>
  <si>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</si>
  <si>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</si>
  <si>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</si>
  <si>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</si>
  <si>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</si>
  <si>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</si>
  <si>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</si>
  <si>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</si>
  <si>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</si>
  <si>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</si>
  <si>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</si>
  <si>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</si>
  <si>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</si>
  <si>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</si>
  <si>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</si>
  <si>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</si>
  <si>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</si>
  <si>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</si>
  <si>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</si>
  <si>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</si>
  <si>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</si>
  <si>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</si>
  <si>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</si>
  <si>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</si>
  <si>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</si>
  <si>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</si>
  <si>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</si>
  <si>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</si>
  <si>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</si>
  <si>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</si>
  <si>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</si>
  <si>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</si>
  <si>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</si>
  <si>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</si>
  <si>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</si>
  <si>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</si>
  <si>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</si>
  <si>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0,4</t>
  </si>
  <si>
    <t xml:space="preserve">Трансформатор  </t>
  </si>
  <si>
    <t>ячейки РУ-15кВ 5шт</t>
  </si>
  <si>
    <t>ячейки с элегазовыми выключателями нагрузки</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</si>
  <si>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</si>
  <si>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</si>
  <si>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</si>
  <si>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</si>
  <si>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</si>
  <si>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</si>
  <si>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</si>
  <si>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</si>
  <si>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</si>
  <si>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</si>
  <si>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</si>
  <si>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</si>
  <si>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Электроснабжение квартала жилых домов</t>
  </si>
  <si>
    <t>строительство сетей электроснабжения квартала жилых домов, создание 3-й категории надёжности электроснабжения.</t>
  </si>
  <si>
    <t>Год раскрытия информации: 2023 год</t>
  </si>
  <si>
    <t>показатель увеличения мощности силовых трансформаторов на подстанциях в рамках осуществления технологического присоединения к электрическим сетям Ртп_тр 2х400 кВА,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  по 200 м</t>
  </si>
  <si>
    <t xml:space="preserve"> техприсоединение</t>
  </si>
  <si>
    <t>2022</t>
  </si>
  <si>
    <t>Электроснабжение объекта "Кампус ФГАЩУ ВО "БФУ им. И. Канта" г.Калининград, ул.Невского 14</t>
  </si>
  <si>
    <t>г. Калининград</t>
  </si>
  <si>
    <t>51-03/22ТП от 28.04.2022</t>
  </si>
  <si>
    <t>Кампус ФГАЩУ ВО БФУ им. И. Канта"</t>
  </si>
  <si>
    <t xml:space="preserve"> г.Калининград, ул.Невского 14</t>
  </si>
  <si>
    <t>Строительство КЛ-10 кВ от ПС 110 кВ Университетская до проектируемых ТП №63/1, №63/2, №63/3, №63/4.Строительство распределительные трансформаторные подстанции №63/1, №63/2, №63/3, №63/4.</t>
  </si>
  <si>
    <t>10 кВ</t>
  </si>
  <si>
    <t>M_22-21</t>
  </si>
  <si>
    <t>ТП №63/1</t>
  </si>
  <si>
    <t>ТП№63/ 2</t>
  </si>
  <si>
    <t>ТП №63/3</t>
  </si>
  <si>
    <t>ТП  №63/3</t>
  </si>
  <si>
    <t>ячейки РУ-10кВ 5шт</t>
  </si>
  <si>
    <t>РУ-10кВ</t>
  </si>
  <si>
    <t>ТМГ-10/0,4кВ 1000кВА</t>
  </si>
  <si>
    <t>КЛ 10кВ от 2 с ПС "Университетская" 110/10 кВ   до проектируемой  ТП 10/0,4 кВ   №63/2</t>
  </si>
  <si>
    <t>КЛ 10кВ от 1 с ПС "Университетская" 110/10 кВ   до проектируемой ТП 10/0,4 кВ   №63/1</t>
  </si>
  <si>
    <t>КЛ 10кВ от 1 с ПС "Университетская" 110/10 кВ   до проектируемой  ТП 10/0,4 кВ   №63/3</t>
  </si>
  <si>
    <t>КЛ 10кВ от 2 с ПС "Университетская" 110/10 кВ   до проектируемой  ТП 10/0,4 кВ   №63/4</t>
  </si>
  <si>
    <t>Строительство 4 ТП 10/0,4 кВ, 4 КЛ 10 кВ , протяженностью 4x0,2 км</t>
  </si>
  <si>
    <t>4 КЛ 10 кВ сеч 3 (1х240/50 мм2, протяженностью 200 м, 4 ТП 1х1000 кВА</t>
  </si>
  <si>
    <t>С</t>
  </si>
  <si>
    <t xml:space="preserve"> по состоянию на 01.01.2023</t>
  </si>
  <si>
    <t>ООО «БалтСтройСервис» №  12-2023/ЗЭК от 01.02.2023</t>
  </si>
  <si>
    <t>ООО «БалтСтройСервис»</t>
  </si>
  <si>
    <t>Т-1, Т2</t>
  </si>
  <si>
    <t>АПВПу2г    3*(1*120/50) 10кВ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</si>
</sst>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 numFmtId="179" formatCode="0.0000000"/>
  </numFmts>
  <fonts count="10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
      <sz val="14"/>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2" fontId="39" fillId="0" borderId="4" xfId="1" applyNumberFormat="1" applyFont="1" applyBorder="1" applyAlignment="1">
      <alignment horizontal="center" vertical="center" wrapText="1"/>
    </xf>
    <xf numFmtId="175" fontId="103" fillId="0" borderId="1" xfId="2" applyNumberFormat="1" applyFont="1" applyBorder="1" applyAlignment="1">
      <alignment horizontal="center" vertical="center" wrapText="1"/>
    </xf>
    <xf numFmtId="179" fontId="39" fillId="0" borderId="0" xfId="2" applyNumberFormat="1" applyFont="1"/>
    <xf numFmtId="175" fontId="104" fillId="27" borderId="50" xfId="0" applyNumberFormat="1" applyFont="1" applyFill="1" applyBorder="1" applyAlignment="1">
      <alignment horizontal="center" vertical="center" wrapText="1"/>
    </xf>
    <xf numFmtId="175" fontId="69" fillId="0" borderId="1" xfId="2"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7"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0" t="s">
        <v>630</v>
      </c>
      <c r="B5" s="350"/>
      <c r="C5" s="350"/>
      <c r="D5" s="84"/>
      <c r="E5" s="84"/>
      <c r="F5" s="84"/>
      <c r="G5" s="84"/>
      <c r="H5" s="84"/>
      <c r="I5" s="84"/>
      <c r="J5" s="84"/>
    </row>
    <row r="6" spans="1:22" s="8" customFormat="1" ht="18.75" x14ac:dyDescent="0.3">
      <c r="A6" s="13"/>
      <c r="H6" s="12"/>
    </row>
    <row r="7" spans="1:22" s="8" customFormat="1" ht="18.75" x14ac:dyDescent="0.2">
      <c r="A7" s="354" t="s">
        <v>7</v>
      </c>
      <c r="B7" s="354"/>
      <c r="C7" s="35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5" t="s">
        <v>544</v>
      </c>
      <c r="B9" s="355"/>
      <c r="C9" s="355"/>
      <c r="D9" s="7"/>
      <c r="E9" s="7"/>
      <c r="F9" s="7"/>
      <c r="G9" s="7"/>
      <c r="H9" s="7"/>
      <c r="I9" s="10"/>
      <c r="J9" s="10"/>
      <c r="K9" s="10"/>
      <c r="L9" s="10"/>
      <c r="M9" s="10"/>
      <c r="N9" s="10"/>
      <c r="O9" s="10"/>
      <c r="P9" s="10"/>
      <c r="Q9" s="10"/>
      <c r="R9" s="10"/>
      <c r="S9" s="10"/>
      <c r="T9" s="10"/>
      <c r="U9" s="10"/>
      <c r="V9" s="10"/>
    </row>
    <row r="10" spans="1:22" s="8" customFormat="1" ht="18.75" x14ac:dyDescent="0.2">
      <c r="A10" s="351" t="s">
        <v>6</v>
      </c>
      <c r="B10" s="351"/>
      <c r="C10" s="35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5" t="s">
        <v>641</v>
      </c>
      <c r="B12" s="355"/>
      <c r="C12" s="355"/>
      <c r="D12" s="7"/>
      <c r="E12" s="7"/>
      <c r="F12" s="7"/>
      <c r="G12" s="7"/>
      <c r="H12" s="7"/>
      <c r="I12" s="10"/>
      <c r="J12" s="10"/>
      <c r="K12" s="10"/>
      <c r="L12" s="10"/>
      <c r="M12" s="10"/>
      <c r="N12" s="10"/>
      <c r="O12" s="10"/>
      <c r="P12" s="10"/>
      <c r="Q12" s="10"/>
      <c r="R12" s="10"/>
      <c r="S12" s="10"/>
      <c r="T12" s="10"/>
      <c r="U12" s="10"/>
      <c r="V12" s="10"/>
    </row>
    <row r="13" spans="1:22" s="8" customFormat="1" ht="18.75" x14ac:dyDescent="0.2">
      <c r="A13" s="351" t="s">
        <v>5</v>
      </c>
      <c r="B13" s="351"/>
      <c r="C13" s="35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8.25" customHeight="1" x14ac:dyDescent="0.2">
      <c r="A15" s="352" t="s">
        <v>634</v>
      </c>
      <c r="B15" s="352"/>
      <c r="C15" s="352"/>
      <c r="D15" s="7"/>
      <c r="E15" s="7"/>
      <c r="F15" s="7"/>
      <c r="G15" s="7"/>
      <c r="H15" s="7"/>
      <c r="I15" s="7"/>
      <c r="J15" s="7"/>
      <c r="K15" s="7"/>
      <c r="L15" s="7"/>
      <c r="M15" s="7"/>
      <c r="N15" s="7"/>
      <c r="O15" s="7"/>
      <c r="P15" s="7"/>
      <c r="Q15" s="7"/>
      <c r="R15" s="7"/>
      <c r="S15" s="7"/>
      <c r="T15" s="7"/>
      <c r="U15" s="7"/>
      <c r="V15" s="7"/>
    </row>
    <row r="16" spans="1:22" s="3" customFormat="1" ht="15" customHeight="1" x14ac:dyDescent="0.2">
      <c r="A16" s="351" t="s">
        <v>4</v>
      </c>
      <c r="B16" s="351"/>
      <c r="C16" s="35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2" t="s">
        <v>408</v>
      </c>
      <c r="B18" s="353"/>
      <c r="C18" s="35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625</v>
      </c>
      <c r="D22" s="5"/>
      <c r="E22" s="5"/>
      <c r="F22" s="5"/>
      <c r="G22" s="5"/>
      <c r="H22" s="5"/>
      <c r="I22" s="4"/>
      <c r="J22" s="4"/>
      <c r="K22" s="4"/>
      <c r="L22" s="4"/>
      <c r="M22" s="4"/>
      <c r="N22" s="4"/>
      <c r="O22" s="4"/>
      <c r="P22" s="4"/>
      <c r="Q22" s="4"/>
      <c r="R22" s="4"/>
      <c r="S22" s="4"/>
    </row>
    <row r="23" spans="1:22" s="3" customFormat="1" ht="31.5" x14ac:dyDescent="0.2">
      <c r="A23" s="15" t="s">
        <v>61</v>
      </c>
      <c r="B23" s="18" t="s">
        <v>533</v>
      </c>
      <c r="C23" s="328" t="s">
        <v>626</v>
      </c>
      <c r="D23" s="5"/>
      <c r="E23" s="5"/>
      <c r="F23" s="5"/>
      <c r="G23" s="5"/>
      <c r="H23" s="5"/>
      <c r="I23" s="4"/>
      <c r="J23" s="4"/>
      <c r="K23" s="4"/>
      <c r="L23" s="4"/>
      <c r="M23" s="4"/>
      <c r="N23" s="4"/>
      <c r="O23" s="4"/>
      <c r="P23" s="4"/>
      <c r="Q23" s="4"/>
      <c r="R23" s="4"/>
      <c r="S23" s="4"/>
    </row>
    <row r="24" spans="1:22" s="3" customFormat="1" ht="22.5" customHeight="1" x14ac:dyDescent="0.2">
      <c r="A24" s="347"/>
      <c r="B24" s="348"/>
      <c r="C24" s="349"/>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604</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605</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635</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606</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607</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608</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609</v>
      </c>
    </row>
    <row r="37" spans="1:18" ht="43.5" customHeight="1" x14ac:dyDescent="0.25">
      <c r="A37" s="15" t="s">
        <v>368</v>
      </c>
      <c r="B37" s="22" t="s">
        <v>366</v>
      </c>
      <c r="C37" s="16" t="s">
        <v>542</v>
      </c>
    </row>
    <row r="38" spans="1:18" ht="43.5" customHeight="1" x14ac:dyDescent="0.25">
      <c r="A38" s="15" t="s">
        <v>379</v>
      </c>
      <c r="B38" s="22" t="s">
        <v>209</v>
      </c>
      <c r="C38" s="16" t="s">
        <v>609</v>
      </c>
    </row>
    <row r="39" spans="1:18" ht="23.25" customHeight="1" x14ac:dyDescent="0.25">
      <c r="A39" s="347"/>
      <c r="B39" s="348"/>
      <c r="C39" s="349"/>
    </row>
    <row r="40" spans="1:18" ht="78.75" x14ac:dyDescent="0.25">
      <c r="A40" s="15" t="s">
        <v>369</v>
      </c>
      <c r="B40" s="22" t="s">
        <v>420</v>
      </c>
      <c r="C40" s="16" t="s">
        <v>631</v>
      </c>
    </row>
    <row r="41" spans="1:18" ht="169.5" customHeight="1" x14ac:dyDescent="0.25">
      <c r="A41" s="15" t="s">
        <v>380</v>
      </c>
      <c r="B41" s="22" t="s">
        <v>403</v>
      </c>
      <c r="C41" s="122"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5" t="s">
        <v>537</v>
      </c>
    </row>
    <row r="46" spans="1:18" ht="101.25" customHeight="1" x14ac:dyDescent="0.25">
      <c r="A46" s="15" t="s">
        <v>372</v>
      </c>
      <c r="B46" s="22" t="s">
        <v>411</v>
      </c>
      <c r="C46" s="95" t="s">
        <v>537</v>
      </c>
    </row>
    <row r="47" spans="1:18" ht="18.75" customHeight="1" x14ac:dyDescent="0.25">
      <c r="A47" s="347"/>
      <c r="B47" s="348"/>
      <c r="C47" s="349"/>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336">
        <f>'6.2. Паспорт фин осв ввод'!D24</f>
        <v>73.608676105260187</v>
      </c>
      <c r="D50" s="1" t="s">
        <v>540</v>
      </c>
    </row>
    <row r="51" spans="1:4" ht="71.25" customHeight="1" x14ac:dyDescent="0.25">
      <c r="A51" s="15" t="s">
        <v>373</v>
      </c>
      <c r="B51" s="22" t="s">
        <v>419</v>
      </c>
      <c r="C51" s="336">
        <f>'6.2. Паспорт фин осв ввод'!D30</f>
        <v>61.322218103799997</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8" t="str">
        <f>'1. паспорт местоположение'!A5:C5</f>
        <v>Год раскрытия информации: 2023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C5" s="12"/>
    </row>
    <row r="6" spans="1:29" ht="18.75" x14ac:dyDescent="0.25">
      <c r="A6" s="354" t="s">
        <v>7</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9" t="str">
        <f>'1. паспорт местоположение'!A9:C9</f>
        <v xml:space="preserve">Акционерное общество "Западная энергетическая компания" </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row>
    <row r="9" spans="1:29" ht="18.75" customHeight="1" x14ac:dyDescent="0.25">
      <c r="A9" s="351" t="s">
        <v>6</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9" t="str">
        <f>'1. паспорт местоположение'!A12:C12</f>
        <v>M_22-21</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row>
    <row r="12" spans="1:29" x14ac:dyDescent="0.25">
      <c r="A12" s="351" t="s">
        <v>5</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0" t="str">
        <f>'1. паспорт местоположение'!A15:C15</f>
        <v>Электроснабжение объекта "Кампус ФГАЩУ ВО "БФУ им. И. Канта" г.Калининград, ул.Невского 14</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row>
    <row r="15" spans="1:29" ht="15.75" customHeight="1" x14ac:dyDescent="0.25">
      <c r="A15" s="351" t="s">
        <v>4</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8" spans="1:32" x14ac:dyDescent="0.25">
      <c r="A18" s="433" t="s">
        <v>393</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20" spans="1:32" ht="33" customHeight="1" x14ac:dyDescent="0.25">
      <c r="A20" s="422" t="s">
        <v>183</v>
      </c>
      <c r="B20" s="422" t="s">
        <v>182</v>
      </c>
      <c r="C20" s="418" t="s">
        <v>181</v>
      </c>
      <c r="D20" s="418"/>
      <c r="E20" s="432" t="s">
        <v>180</v>
      </c>
      <c r="F20" s="432"/>
      <c r="G20" s="422" t="s">
        <v>423</v>
      </c>
      <c r="H20" s="425" t="s">
        <v>424</v>
      </c>
      <c r="I20" s="426"/>
      <c r="J20" s="426"/>
      <c r="K20" s="426"/>
      <c r="L20" s="425" t="s">
        <v>425</v>
      </c>
      <c r="M20" s="426"/>
      <c r="N20" s="426"/>
      <c r="O20" s="426"/>
      <c r="P20" s="425" t="s">
        <v>426</v>
      </c>
      <c r="Q20" s="426"/>
      <c r="R20" s="426"/>
      <c r="S20" s="426"/>
      <c r="T20" s="425" t="s">
        <v>438</v>
      </c>
      <c r="U20" s="426"/>
      <c r="V20" s="426"/>
      <c r="W20" s="426"/>
      <c r="X20" s="425" t="s">
        <v>439</v>
      </c>
      <c r="Y20" s="426"/>
      <c r="Z20" s="426"/>
      <c r="AA20" s="426"/>
      <c r="AB20" s="434" t="s">
        <v>179</v>
      </c>
      <c r="AC20" s="434"/>
      <c r="AD20" s="49"/>
      <c r="AE20" s="49"/>
      <c r="AF20" s="49"/>
    </row>
    <row r="21" spans="1:32" ht="99.75" customHeight="1" x14ac:dyDescent="0.25">
      <c r="A21" s="423"/>
      <c r="B21" s="423"/>
      <c r="C21" s="418"/>
      <c r="D21" s="418"/>
      <c r="E21" s="432"/>
      <c r="F21" s="432"/>
      <c r="G21" s="423"/>
      <c r="H21" s="418" t="s">
        <v>2</v>
      </c>
      <c r="I21" s="418"/>
      <c r="J21" s="418" t="s">
        <v>9</v>
      </c>
      <c r="K21" s="418"/>
      <c r="L21" s="418" t="s">
        <v>2</v>
      </c>
      <c r="M21" s="418"/>
      <c r="N21" s="418" t="s">
        <v>9</v>
      </c>
      <c r="O21" s="418"/>
      <c r="P21" s="418" t="s">
        <v>2</v>
      </c>
      <c r="Q21" s="418"/>
      <c r="R21" s="418" t="s">
        <v>178</v>
      </c>
      <c r="S21" s="418"/>
      <c r="T21" s="418" t="s">
        <v>2</v>
      </c>
      <c r="U21" s="418"/>
      <c r="V21" s="418" t="s">
        <v>178</v>
      </c>
      <c r="W21" s="418"/>
      <c r="X21" s="418" t="s">
        <v>2</v>
      </c>
      <c r="Y21" s="418"/>
      <c r="Z21" s="418" t="s">
        <v>178</v>
      </c>
      <c r="AA21" s="418"/>
      <c r="AB21" s="434"/>
      <c r="AC21" s="434"/>
    </row>
    <row r="22" spans="1:32" ht="89.25" customHeight="1" x14ac:dyDescent="0.25">
      <c r="A22" s="424"/>
      <c r="B22" s="424"/>
      <c r="C22" s="46" t="s">
        <v>2</v>
      </c>
      <c r="D22" s="46" t="s">
        <v>178</v>
      </c>
      <c r="E22" s="48" t="s">
        <v>437</v>
      </c>
      <c r="F22" s="48" t="s">
        <v>482</v>
      </c>
      <c r="G22" s="42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1"/>
      <c r="C66" s="421"/>
      <c r="D66" s="421"/>
      <c r="E66" s="421"/>
      <c r="F66" s="421"/>
      <c r="G66" s="421"/>
      <c r="H66" s="421"/>
      <c r="I66" s="42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1"/>
      <c r="C68" s="421"/>
      <c r="D68" s="421"/>
      <c r="E68" s="421"/>
      <c r="F68" s="421"/>
      <c r="G68" s="421"/>
      <c r="H68" s="421"/>
      <c r="I68" s="421"/>
      <c r="J68" s="35"/>
      <c r="K68" s="35"/>
    </row>
    <row r="70" spans="1:28" ht="36.75" customHeight="1" x14ac:dyDescent="0.25">
      <c r="B70" s="421"/>
      <c r="C70" s="421"/>
      <c r="D70" s="421"/>
      <c r="E70" s="421"/>
      <c r="F70" s="421"/>
      <c r="G70" s="421"/>
      <c r="H70" s="421"/>
      <c r="I70" s="421"/>
      <c r="J70" s="35"/>
      <c r="K70" s="35"/>
    </row>
    <row r="71" spans="1:28" x14ac:dyDescent="0.25">
      <c r="N71" s="36"/>
      <c r="V71" s="36"/>
    </row>
    <row r="72" spans="1:28" ht="51" customHeight="1" x14ac:dyDescent="0.25">
      <c r="B72" s="421"/>
      <c r="C72" s="421"/>
      <c r="D72" s="421"/>
      <c r="E72" s="421"/>
      <c r="F72" s="421"/>
      <c r="G72" s="421"/>
      <c r="H72" s="421"/>
      <c r="I72" s="421"/>
      <c r="J72" s="35"/>
      <c r="K72" s="35"/>
      <c r="N72" s="36"/>
      <c r="V72" s="36"/>
    </row>
    <row r="73" spans="1:28" ht="32.25" customHeight="1" x14ac:dyDescent="0.25">
      <c r="B73" s="421"/>
      <c r="C73" s="421"/>
      <c r="D73" s="421"/>
      <c r="E73" s="421"/>
      <c r="F73" s="421"/>
      <c r="G73" s="421"/>
      <c r="H73" s="421"/>
      <c r="I73" s="421"/>
      <c r="J73" s="35"/>
      <c r="K73" s="35"/>
    </row>
    <row r="74" spans="1:28" ht="51.75" customHeight="1" x14ac:dyDescent="0.25">
      <c r="B74" s="421"/>
      <c r="C74" s="421"/>
      <c r="D74" s="421"/>
      <c r="E74" s="421"/>
      <c r="F74" s="421"/>
      <c r="G74" s="421"/>
      <c r="H74" s="421"/>
      <c r="I74" s="421"/>
      <c r="J74" s="35"/>
      <c r="K74" s="35"/>
    </row>
    <row r="75" spans="1:28" ht="21.75" customHeight="1" x14ac:dyDescent="0.25">
      <c r="B75" s="427"/>
      <c r="C75" s="427"/>
      <c r="D75" s="427"/>
      <c r="E75" s="427"/>
      <c r="F75" s="427"/>
      <c r="G75" s="427"/>
      <c r="H75" s="427"/>
      <c r="I75" s="427"/>
      <c r="J75" s="34"/>
      <c r="K75" s="34"/>
    </row>
    <row r="76" spans="1:28" ht="23.25" customHeight="1" x14ac:dyDescent="0.25"/>
    <row r="77" spans="1:28" ht="18.75" customHeight="1" x14ac:dyDescent="0.25">
      <c r="B77" s="420"/>
      <c r="C77" s="420"/>
      <c r="D77" s="420"/>
      <c r="E77" s="420"/>
      <c r="F77" s="420"/>
      <c r="G77" s="420"/>
      <c r="H77" s="420"/>
      <c r="I77" s="42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J64">
    <cfRule type="cellIs" dxfId="8" priority="6" operator="notEqual">
      <formula>0</formula>
    </cfRule>
  </conditionalFormatting>
  <conditionalFormatting sqref="E31:I44 K58:M64 O58:Q64">
    <cfRule type="cellIs" dxfId="7" priority="24" operator="notEqual">
      <formula>0</formula>
    </cfRule>
  </conditionalFormatting>
  <conditionalFormatting sqref="K24:M51">
    <cfRule type="cellIs" dxfId="6" priority="17" operator="notEqual">
      <formula>0</formula>
    </cfRule>
  </conditionalFormatting>
  <conditionalFormatting sqref="K52:Q57">
    <cfRule type="cellIs" dxfId="5" priority="13" operator="notEqual">
      <formula>0</formula>
    </cfRule>
  </conditionalFormatting>
  <conditionalFormatting sqref="N24:N64">
    <cfRule type="cellIs" dxfId="4" priority="2" operator="notEqual">
      <formula>0</formula>
    </cfRule>
  </conditionalFormatting>
  <conditionalFormatting sqref="O31:Q51">
    <cfRule type="cellIs" dxfId="3" priority="1" operator="notEqual">
      <formula>0</formula>
    </cfRule>
  </conditionalFormatting>
  <conditionalFormatting sqref="O24:Y30">
    <cfRule type="cellIs" dxfId="2" priority="23" operator="notEqual">
      <formula>0</formula>
    </cfRule>
  </conditionalFormatting>
  <conditionalFormatting sqref="R31:Y64">
    <cfRule type="cellIs" dxfId="1" priority="26" operator="notEqual">
      <formula>0</formula>
    </cfRule>
  </conditionalFormatting>
  <conditionalFormatting sqref="Z24:AC64">
    <cfRule type="cellIs" dxfId="0" priority="5"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1" zoomScale="70" zoomScaleNormal="70" zoomScaleSheetLayoutView="70" workbookViewId="0">
      <selection activeCell="V24" sqref="V2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3" width="9.28515625" style="32" customWidth="1"/>
    <col min="14" max="14" width="15.85546875" style="32" customWidth="1"/>
    <col min="15"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30" width="17.85546875" style="32" customWidth="1"/>
    <col min="31"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0" t="str">
        <f>'6.1. Паспорт сетевой график'!A5:K5</f>
        <v>Год раскрытия информации: 2023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row>
    <row r="5" spans="1:29" ht="18.75" x14ac:dyDescent="0.3">
      <c r="AC5" s="12"/>
    </row>
    <row r="6" spans="1:29"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55" t="str">
        <f>'6.1. Паспорт сетевой график'!A9</f>
        <v xml:space="preserve">Акционерное общество "Западная энергетическая компания" </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row>
    <row r="9" spans="1:29" ht="18.75" customHeight="1" x14ac:dyDescent="0.25">
      <c r="A9" s="361" t="s">
        <v>6</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row>
    <row r="10" spans="1:29" ht="18.75" x14ac:dyDescent="0.3">
      <c r="A10" s="107"/>
      <c r="B10" s="107"/>
      <c r="C10" s="107"/>
      <c r="D10" s="107"/>
      <c r="E10" s="107"/>
      <c r="F10" s="107"/>
      <c r="G10" s="107"/>
      <c r="H10" s="167"/>
      <c r="I10" s="167"/>
      <c r="J10" s="167"/>
      <c r="K10" s="167"/>
      <c r="L10" s="167"/>
      <c r="M10" s="167"/>
      <c r="N10" s="167"/>
      <c r="O10" s="167"/>
      <c r="P10" s="167"/>
      <c r="Q10" s="167"/>
      <c r="R10" s="167"/>
      <c r="S10" s="167"/>
      <c r="T10" s="167"/>
      <c r="U10" s="167"/>
      <c r="V10" s="50"/>
      <c r="W10" s="167"/>
      <c r="X10" s="167"/>
      <c r="Y10" s="167"/>
      <c r="Z10" s="167"/>
      <c r="AA10" s="167"/>
      <c r="AB10" s="167"/>
      <c r="AC10" s="167"/>
    </row>
    <row r="11" spans="1:29" x14ac:dyDescent="0.25">
      <c r="A11" s="355" t="str">
        <f>'6.1. Паспорт сетевой график'!A12</f>
        <v>M_22-21</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row>
    <row r="12" spans="1:29"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82" t="str">
        <f>'6.1. Паспорт сетевой график'!A15</f>
        <v>Электроснабжение объекта "Кампус ФГАЩУ ВО "БФУ им. И. Канта" г.Калининград, ул.Невского 14</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row>
    <row r="15" spans="1:29" ht="15.75" customHeight="1"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7" spans="1:32" ht="18.75" x14ac:dyDescent="0.3">
      <c r="U17" s="50"/>
      <c r="V17" s="50"/>
      <c r="W17" s="50"/>
      <c r="X17" s="50"/>
      <c r="Y17" s="167"/>
      <c r="Z17" s="167"/>
      <c r="AA17" s="167"/>
      <c r="AB17" s="167"/>
      <c r="AC17" s="167"/>
      <c r="AF17" s="167"/>
    </row>
    <row r="18" spans="1:32" x14ac:dyDescent="0.25">
      <c r="A18" s="433" t="s">
        <v>393</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2" ht="49.5" hidden="1" customHeight="1" x14ac:dyDescent="0.25">
      <c r="E19" s="48" t="s">
        <v>598</v>
      </c>
      <c r="F19" s="48" t="s">
        <v>599</v>
      </c>
      <c r="G19" s="48" t="s">
        <v>600</v>
      </c>
      <c r="H19" s="32" t="s">
        <v>601</v>
      </c>
      <c r="L19" s="32" t="s">
        <v>602</v>
      </c>
      <c r="P19" s="32" t="s">
        <v>603</v>
      </c>
    </row>
    <row r="20" spans="1:32" ht="33" customHeight="1" x14ac:dyDescent="0.25">
      <c r="A20" s="422" t="s">
        <v>183</v>
      </c>
      <c r="B20" s="422" t="s">
        <v>182</v>
      </c>
      <c r="C20" s="418" t="s">
        <v>181</v>
      </c>
      <c r="D20" s="418"/>
      <c r="E20" s="432" t="s">
        <v>180</v>
      </c>
      <c r="F20" s="432"/>
      <c r="G20" s="422" t="s">
        <v>620</v>
      </c>
      <c r="H20" s="425">
        <v>2020</v>
      </c>
      <c r="I20" s="426"/>
      <c r="J20" s="426"/>
      <c r="K20" s="435"/>
      <c r="L20" s="425">
        <v>2021</v>
      </c>
      <c r="M20" s="426"/>
      <c r="N20" s="426"/>
      <c r="O20" s="435"/>
      <c r="P20" s="425">
        <v>2022</v>
      </c>
      <c r="Q20" s="426"/>
      <c r="R20" s="426"/>
      <c r="S20" s="435"/>
      <c r="T20" s="425">
        <v>2023</v>
      </c>
      <c r="U20" s="426"/>
      <c r="V20" s="426"/>
      <c r="W20" s="435"/>
      <c r="X20" s="425">
        <v>2024</v>
      </c>
      <c r="Y20" s="426"/>
      <c r="Z20" s="426"/>
      <c r="AA20" s="426"/>
      <c r="AB20" s="434" t="s">
        <v>179</v>
      </c>
      <c r="AC20" s="434"/>
      <c r="AD20" s="49"/>
      <c r="AE20" s="49"/>
      <c r="AF20" s="49"/>
    </row>
    <row r="21" spans="1:32" ht="99.75" customHeight="1" x14ac:dyDescent="0.25">
      <c r="A21" s="423"/>
      <c r="B21" s="423"/>
      <c r="C21" s="418"/>
      <c r="D21" s="418"/>
      <c r="E21" s="432"/>
      <c r="F21" s="432"/>
      <c r="G21" s="423"/>
      <c r="H21" s="418" t="s">
        <v>2</v>
      </c>
      <c r="I21" s="418"/>
      <c r="J21" s="418" t="s">
        <v>624</v>
      </c>
      <c r="K21" s="418"/>
      <c r="L21" s="418" t="s">
        <v>2</v>
      </c>
      <c r="M21" s="418"/>
      <c r="N21" s="418" t="s">
        <v>624</v>
      </c>
      <c r="O21" s="418"/>
      <c r="P21" s="418" t="s">
        <v>2</v>
      </c>
      <c r="Q21" s="418"/>
      <c r="R21" s="418" t="s">
        <v>624</v>
      </c>
      <c r="S21" s="418"/>
      <c r="T21" s="418" t="s">
        <v>2</v>
      </c>
      <c r="U21" s="418"/>
      <c r="V21" s="418" t="s">
        <v>178</v>
      </c>
      <c r="W21" s="418"/>
      <c r="X21" s="418" t="s">
        <v>2</v>
      </c>
      <c r="Y21" s="418"/>
      <c r="Z21" s="418" t="s">
        <v>178</v>
      </c>
      <c r="AA21" s="418"/>
      <c r="AB21" s="434"/>
      <c r="AC21" s="434"/>
    </row>
    <row r="22" spans="1:32" ht="89.25" customHeight="1" x14ac:dyDescent="0.25">
      <c r="A22" s="424"/>
      <c r="B22" s="424"/>
      <c r="C22" s="46" t="s">
        <v>2</v>
      </c>
      <c r="D22" s="46" t="s">
        <v>178</v>
      </c>
      <c r="E22" s="48" t="s">
        <v>545</v>
      </c>
      <c r="F22" s="48" t="s">
        <v>656</v>
      </c>
      <c r="G22" s="42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610</v>
      </c>
      <c r="AC22" s="46" t="s">
        <v>536</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t="s">
        <v>537</v>
      </c>
      <c r="D24" s="96">
        <f>D25+D26+D27+D28+D29</f>
        <v>73.608676105260187</v>
      </c>
      <c r="E24" s="96">
        <f>D24</f>
        <v>73.608676105260187</v>
      </c>
      <c r="F24" s="98">
        <f>D24-G24-J24-N24-R24</f>
        <v>73.535176105260192</v>
      </c>
      <c r="G24" s="98">
        <v>0</v>
      </c>
      <c r="H24" s="96" t="s">
        <v>537</v>
      </c>
      <c r="I24" s="96">
        <f>SUM(I25:I29)</f>
        <v>0</v>
      </c>
      <c r="J24" s="98">
        <v>0</v>
      </c>
      <c r="K24" s="96">
        <f>SUM(K25:K29)</f>
        <v>0</v>
      </c>
      <c r="L24" s="98" t="s">
        <v>537</v>
      </c>
      <c r="M24" s="96">
        <f t="shared" ref="M24:Y24" si="0">SUM(M25:M29)</f>
        <v>0</v>
      </c>
      <c r="N24" s="98">
        <v>0</v>
      </c>
      <c r="O24" s="98">
        <v>0</v>
      </c>
      <c r="P24" s="98" t="s">
        <v>537</v>
      </c>
      <c r="Q24" s="96">
        <f t="shared" si="0"/>
        <v>0</v>
      </c>
      <c r="R24" s="345">
        <v>7.3499999999999996E-2</v>
      </c>
      <c r="S24" s="96">
        <v>0</v>
      </c>
      <c r="T24" s="98" t="s">
        <v>537</v>
      </c>
      <c r="U24" s="96">
        <f t="shared" si="0"/>
        <v>0</v>
      </c>
      <c r="V24" s="346">
        <f>D24-R24</f>
        <v>73.535176105260192</v>
      </c>
      <c r="W24" s="98">
        <v>1</v>
      </c>
      <c r="X24" s="98" t="s">
        <v>537</v>
      </c>
      <c r="Y24" s="96">
        <f t="shared" si="0"/>
        <v>0</v>
      </c>
      <c r="Z24" s="96">
        <v>0</v>
      </c>
      <c r="AA24" s="96">
        <f t="shared" ref="AA24" si="1">SUM(AA25:AA29)</f>
        <v>0</v>
      </c>
      <c r="AB24" s="96" t="s">
        <v>537</v>
      </c>
      <c r="AC24" s="96">
        <f>SUM(J24,N24,R24,V24,Z24)</f>
        <v>73.608676105260187</v>
      </c>
    </row>
    <row r="25" spans="1:32" ht="24" customHeight="1" x14ac:dyDescent="0.25">
      <c r="A25" s="41" t="s">
        <v>176</v>
      </c>
      <c r="B25" s="25" t="s">
        <v>175</v>
      </c>
      <c r="C25" s="96" t="s">
        <v>537</v>
      </c>
      <c r="D25" s="96">
        <v>0</v>
      </c>
      <c r="E25" s="96">
        <f t="shared" ref="E25:E64" si="2">D25</f>
        <v>0</v>
      </c>
      <c r="F25" s="98">
        <f t="shared" ref="F25:F64" si="3">D25-G25-J25-N25-R25</f>
        <v>0</v>
      </c>
      <c r="G25" s="98">
        <v>0</v>
      </c>
      <c r="H25" s="96" t="s">
        <v>537</v>
      </c>
      <c r="I25" s="98">
        <v>0</v>
      </c>
      <c r="J25" s="98">
        <v>0</v>
      </c>
      <c r="K25" s="98">
        <v>0</v>
      </c>
      <c r="L25" s="98" t="s">
        <v>537</v>
      </c>
      <c r="M25" s="98">
        <v>0</v>
      </c>
      <c r="N25" s="98">
        <v>0</v>
      </c>
      <c r="O25" s="98">
        <v>0</v>
      </c>
      <c r="P25" s="98" t="s">
        <v>537</v>
      </c>
      <c r="Q25" s="98">
        <v>0</v>
      </c>
      <c r="R25" s="98">
        <v>0</v>
      </c>
      <c r="S25" s="98">
        <v>0</v>
      </c>
      <c r="T25" s="98" t="s">
        <v>537</v>
      </c>
      <c r="U25" s="98">
        <v>0</v>
      </c>
      <c r="V25" s="346">
        <f t="shared" ref="V25:V64" si="4">D25-R25</f>
        <v>0</v>
      </c>
      <c r="W25" s="98">
        <v>0</v>
      </c>
      <c r="X25" s="98" t="s">
        <v>537</v>
      </c>
      <c r="Y25" s="98">
        <v>0</v>
      </c>
      <c r="Z25" s="98">
        <v>0</v>
      </c>
      <c r="AA25" s="98">
        <v>0</v>
      </c>
      <c r="AB25" s="96" t="s">
        <v>537</v>
      </c>
      <c r="AC25" s="96">
        <f t="shared" ref="AC25:AC64" si="5">SUM(J25,N25,R25,V25,Z25)</f>
        <v>0</v>
      </c>
    </row>
    <row r="26" spans="1:32" x14ac:dyDescent="0.25">
      <c r="A26" s="41" t="s">
        <v>174</v>
      </c>
      <c r="B26" s="25" t="s">
        <v>173</v>
      </c>
      <c r="C26" s="96" t="s">
        <v>537</v>
      </c>
      <c r="D26" s="96">
        <v>0</v>
      </c>
      <c r="E26" s="96">
        <f t="shared" si="2"/>
        <v>0</v>
      </c>
      <c r="F26" s="98">
        <f t="shared" si="3"/>
        <v>0</v>
      </c>
      <c r="G26" s="98">
        <v>0</v>
      </c>
      <c r="H26" s="96" t="s">
        <v>537</v>
      </c>
      <c r="I26" s="98">
        <v>0</v>
      </c>
      <c r="J26" s="98">
        <v>0</v>
      </c>
      <c r="K26" s="98">
        <v>0</v>
      </c>
      <c r="L26" s="98" t="s">
        <v>537</v>
      </c>
      <c r="M26" s="98">
        <v>0</v>
      </c>
      <c r="N26" s="98">
        <v>0</v>
      </c>
      <c r="O26" s="98">
        <v>0</v>
      </c>
      <c r="P26" s="98" t="s">
        <v>537</v>
      </c>
      <c r="Q26" s="98">
        <v>0</v>
      </c>
      <c r="R26" s="98">
        <v>0</v>
      </c>
      <c r="S26" s="98">
        <v>0</v>
      </c>
      <c r="T26" s="98" t="s">
        <v>537</v>
      </c>
      <c r="U26" s="98">
        <v>0</v>
      </c>
      <c r="V26" s="346">
        <f t="shared" si="4"/>
        <v>0</v>
      </c>
      <c r="W26" s="98">
        <v>0</v>
      </c>
      <c r="X26" s="98" t="s">
        <v>537</v>
      </c>
      <c r="Y26" s="98">
        <v>0</v>
      </c>
      <c r="Z26" s="98">
        <v>0</v>
      </c>
      <c r="AA26" s="98">
        <v>0</v>
      </c>
      <c r="AB26" s="96" t="s">
        <v>537</v>
      </c>
      <c r="AC26" s="96">
        <f t="shared" si="5"/>
        <v>0</v>
      </c>
    </row>
    <row r="27" spans="1:32" ht="31.5" x14ac:dyDescent="0.25">
      <c r="A27" s="41" t="s">
        <v>172</v>
      </c>
      <c r="B27" s="25" t="s">
        <v>356</v>
      </c>
      <c r="C27" s="96" t="s">
        <v>537</v>
      </c>
      <c r="D27" s="96">
        <v>0</v>
      </c>
      <c r="E27" s="96">
        <f t="shared" si="2"/>
        <v>0</v>
      </c>
      <c r="F27" s="98">
        <f t="shared" si="3"/>
        <v>0</v>
      </c>
      <c r="G27" s="98">
        <v>0</v>
      </c>
      <c r="H27" s="96" t="s">
        <v>537</v>
      </c>
      <c r="I27" s="98">
        <v>0</v>
      </c>
      <c r="J27" s="98">
        <v>0</v>
      </c>
      <c r="K27" s="98">
        <v>0</v>
      </c>
      <c r="L27" s="98" t="s">
        <v>537</v>
      </c>
      <c r="M27" s="98">
        <v>0</v>
      </c>
      <c r="N27" s="98">
        <v>0</v>
      </c>
      <c r="O27" s="98">
        <v>0</v>
      </c>
      <c r="P27" s="98" t="s">
        <v>537</v>
      </c>
      <c r="Q27" s="98">
        <v>0</v>
      </c>
      <c r="R27" s="98">
        <v>0</v>
      </c>
      <c r="S27" s="98">
        <v>0</v>
      </c>
      <c r="T27" s="98" t="s">
        <v>537</v>
      </c>
      <c r="U27" s="98">
        <v>0</v>
      </c>
      <c r="V27" s="346">
        <f t="shared" si="4"/>
        <v>0</v>
      </c>
      <c r="W27" s="98">
        <v>0</v>
      </c>
      <c r="X27" s="98" t="s">
        <v>537</v>
      </c>
      <c r="Y27" s="98">
        <v>0</v>
      </c>
      <c r="Z27" s="98">
        <f>Z24</f>
        <v>0</v>
      </c>
      <c r="AA27" s="98">
        <v>0</v>
      </c>
      <c r="AB27" s="96" t="s">
        <v>537</v>
      </c>
      <c r="AC27" s="96">
        <f t="shared" si="5"/>
        <v>0</v>
      </c>
    </row>
    <row r="28" spans="1:32" x14ac:dyDescent="0.25">
      <c r="A28" s="41" t="s">
        <v>171</v>
      </c>
      <c r="B28" s="25" t="s">
        <v>538</v>
      </c>
      <c r="C28" s="96" t="s">
        <v>537</v>
      </c>
      <c r="D28" s="96">
        <v>73.608676105260187</v>
      </c>
      <c r="E28" s="96">
        <f t="shared" si="2"/>
        <v>73.608676105260187</v>
      </c>
      <c r="F28" s="98">
        <f t="shared" si="3"/>
        <v>73.535176105260192</v>
      </c>
      <c r="G28" s="98">
        <v>0</v>
      </c>
      <c r="H28" s="96" t="s">
        <v>537</v>
      </c>
      <c r="I28" s="98">
        <v>0</v>
      </c>
      <c r="J28" s="98">
        <v>0</v>
      </c>
      <c r="K28" s="98">
        <v>0</v>
      </c>
      <c r="L28" s="98" t="s">
        <v>537</v>
      </c>
      <c r="M28" s="98">
        <v>0</v>
      </c>
      <c r="N28" s="98">
        <v>0</v>
      </c>
      <c r="O28" s="98">
        <v>0</v>
      </c>
      <c r="P28" s="98" t="s">
        <v>537</v>
      </c>
      <c r="Q28" s="98">
        <v>0</v>
      </c>
      <c r="R28" s="98">
        <v>7.3499999999999996E-2</v>
      </c>
      <c r="S28" s="98">
        <v>0</v>
      </c>
      <c r="T28" s="98" t="s">
        <v>537</v>
      </c>
      <c r="U28" s="98">
        <v>0</v>
      </c>
      <c r="V28" s="346">
        <f t="shared" si="4"/>
        <v>73.535176105260192</v>
      </c>
      <c r="W28" s="98">
        <v>0</v>
      </c>
      <c r="X28" s="98" t="s">
        <v>537</v>
      </c>
      <c r="Y28" s="98">
        <v>0</v>
      </c>
      <c r="Z28" s="98">
        <v>0</v>
      </c>
      <c r="AA28" s="98">
        <v>0</v>
      </c>
      <c r="AB28" s="96" t="s">
        <v>537</v>
      </c>
      <c r="AC28" s="96">
        <f t="shared" si="5"/>
        <v>73.608676105260187</v>
      </c>
    </row>
    <row r="29" spans="1:32" x14ac:dyDescent="0.25">
      <c r="A29" s="41" t="s">
        <v>169</v>
      </c>
      <c r="B29" s="45" t="s">
        <v>168</v>
      </c>
      <c r="C29" s="96" t="s">
        <v>537</v>
      </c>
      <c r="D29" s="96">
        <v>0</v>
      </c>
      <c r="E29" s="96">
        <f t="shared" si="2"/>
        <v>0</v>
      </c>
      <c r="F29" s="98">
        <f t="shared" si="3"/>
        <v>0</v>
      </c>
      <c r="G29" s="98">
        <v>0</v>
      </c>
      <c r="H29" s="96" t="s">
        <v>537</v>
      </c>
      <c r="I29" s="98">
        <v>0</v>
      </c>
      <c r="J29" s="98">
        <v>0</v>
      </c>
      <c r="K29" s="98">
        <v>0</v>
      </c>
      <c r="L29" s="98" t="s">
        <v>537</v>
      </c>
      <c r="M29" s="98">
        <v>0</v>
      </c>
      <c r="N29" s="98">
        <v>0</v>
      </c>
      <c r="O29" s="98">
        <v>0</v>
      </c>
      <c r="P29" s="98" t="s">
        <v>537</v>
      </c>
      <c r="Q29" s="98">
        <v>0</v>
      </c>
      <c r="R29" s="98">
        <v>0</v>
      </c>
      <c r="S29" s="98">
        <v>0</v>
      </c>
      <c r="T29" s="98" t="s">
        <v>537</v>
      </c>
      <c r="U29" s="98">
        <v>0</v>
      </c>
      <c r="V29" s="346">
        <f t="shared" si="4"/>
        <v>0</v>
      </c>
      <c r="W29" s="98">
        <v>0</v>
      </c>
      <c r="X29" s="98" t="s">
        <v>537</v>
      </c>
      <c r="Y29" s="98">
        <v>0</v>
      </c>
      <c r="Z29" s="98">
        <v>0</v>
      </c>
      <c r="AA29" s="98">
        <v>0</v>
      </c>
      <c r="AB29" s="96" t="s">
        <v>537</v>
      </c>
      <c r="AC29" s="96">
        <f t="shared" si="5"/>
        <v>0</v>
      </c>
    </row>
    <row r="30" spans="1:32" s="338" customFormat="1" ht="47.25" x14ac:dyDescent="0.25">
      <c r="A30" s="44" t="s">
        <v>61</v>
      </c>
      <c r="B30" s="43" t="s">
        <v>167</v>
      </c>
      <c r="C30" s="96" t="s">
        <v>537</v>
      </c>
      <c r="D30" s="343">
        <f>SUM(D31:D34)</f>
        <v>61.322218103799997</v>
      </c>
      <c r="E30" s="96">
        <f t="shared" si="2"/>
        <v>61.322218103799997</v>
      </c>
      <c r="F30" s="98">
        <f t="shared" si="3"/>
        <v>61.260968103799996</v>
      </c>
      <c r="G30" s="98">
        <v>0</v>
      </c>
      <c r="H30" s="96" t="s">
        <v>537</v>
      </c>
      <c r="I30" s="96">
        <v>0</v>
      </c>
      <c r="J30" s="98">
        <v>0</v>
      </c>
      <c r="K30" s="96">
        <v>0</v>
      </c>
      <c r="L30" s="98" t="s">
        <v>537</v>
      </c>
      <c r="M30" s="96">
        <v>0</v>
      </c>
      <c r="N30" s="98">
        <v>0</v>
      </c>
      <c r="O30" s="98">
        <v>0</v>
      </c>
      <c r="P30" s="98" t="s">
        <v>537</v>
      </c>
      <c r="Q30" s="96">
        <v>0</v>
      </c>
      <c r="R30" s="346">
        <f>SUM(R31:R34)</f>
        <v>6.1249999999999999E-2</v>
      </c>
      <c r="S30" s="96">
        <v>0</v>
      </c>
      <c r="T30" s="98" t="s">
        <v>537</v>
      </c>
      <c r="U30" s="96">
        <v>0</v>
      </c>
      <c r="V30" s="346">
        <f>D30-R30</f>
        <v>61.260968103799996</v>
      </c>
      <c r="W30" s="96">
        <v>1</v>
      </c>
      <c r="X30" s="98" t="s">
        <v>537</v>
      </c>
      <c r="Y30" s="96">
        <v>0</v>
      </c>
      <c r="Z30" s="96">
        <v>0</v>
      </c>
      <c r="AA30" s="96">
        <v>0</v>
      </c>
      <c r="AB30" s="96" t="s">
        <v>537</v>
      </c>
      <c r="AC30" s="96">
        <f t="shared" si="5"/>
        <v>61.322218103799997</v>
      </c>
      <c r="AD30" s="344"/>
    </row>
    <row r="31" spans="1:32" x14ac:dyDescent="0.25">
      <c r="A31" s="44" t="s">
        <v>166</v>
      </c>
      <c r="B31" s="25" t="s">
        <v>165</v>
      </c>
      <c r="C31" s="96" t="s">
        <v>537</v>
      </c>
      <c r="D31" s="343">
        <v>4.3511610000000003</v>
      </c>
      <c r="E31" s="96">
        <f t="shared" si="2"/>
        <v>4.3511610000000003</v>
      </c>
      <c r="F31" s="98">
        <f t="shared" si="3"/>
        <v>4.3511610000000003</v>
      </c>
      <c r="G31" s="98">
        <v>0</v>
      </c>
      <c r="H31" s="96" t="s">
        <v>537</v>
      </c>
      <c r="I31" s="98">
        <v>0</v>
      </c>
      <c r="J31" s="98">
        <v>0</v>
      </c>
      <c r="K31" s="98">
        <v>0</v>
      </c>
      <c r="L31" s="98" t="s">
        <v>537</v>
      </c>
      <c r="M31" s="98">
        <v>0</v>
      </c>
      <c r="N31" s="98">
        <v>0</v>
      </c>
      <c r="O31" s="98">
        <v>0</v>
      </c>
      <c r="P31" s="98" t="s">
        <v>537</v>
      </c>
      <c r="Q31" s="98">
        <v>0</v>
      </c>
      <c r="R31" s="98">
        <v>0</v>
      </c>
      <c r="S31" s="98">
        <v>0</v>
      </c>
      <c r="T31" s="98" t="s">
        <v>537</v>
      </c>
      <c r="U31" s="98">
        <v>0</v>
      </c>
      <c r="V31" s="346">
        <f t="shared" si="4"/>
        <v>4.3511610000000003</v>
      </c>
      <c r="W31" s="98">
        <v>0</v>
      </c>
      <c r="X31" s="98" t="s">
        <v>537</v>
      </c>
      <c r="Y31" s="98">
        <v>0</v>
      </c>
      <c r="Z31" s="98">
        <v>0</v>
      </c>
      <c r="AA31" s="98">
        <v>0</v>
      </c>
      <c r="AB31" s="96" t="s">
        <v>537</v>
      </c>
      <c r="AC31" s="96">
        <f t="shared" si="5"/>
        <v>4.3511610000000003</v>
      </c>
    </row>
    <row r="32" spans="1:32" ht="31.5" x14ac:dyDescent="0.25">
      <c r="A32" s="44" t="s">
        <v>164</v>
      </c>
      <c r="B32" s="25" t="s">
        <v>163</v>
      </c>
      <c r="C32" s="96" t="s">
        <v>537</v>
      </c>
      <c r="D32" s="343">
        <v>25.146529000000001</v>
      </c>
      <c r="E32" s="96">
        <f t="shared" si="2"/>
        <v>25.146529000000001</v>
      </c>
      <c r="F32" s="98">
        <f t="shared" si="3"/>
        <v>25.146529000000001</v>
      </c>
      <c r="G32" s="98">
        <v>0</v>
      </c>
      <c r="H32" s="96" t="s">
        <v>537</v>
      </c>
      <c r="I32" s="98">
        <v>0</v>
      </c>
      <c r="J32" s="98">
        <v>0</v>
      </c>
      <c r="K32" s="98">
        <v>0</v>
      </c>
      <c r="L32" s="98" t="s">
        <v>537</v>
      </c>
      <c r="M32" s="98">
        <v>0</v>
      </c>
      <c r="N32" s="98">
        <v>0</v>
      </c>
      <c r="O32" s="98">
        <v>0</v>
      </c>
      <c r="P32" s="98" t="s">
        <v>537</v>
      </c>
      <c r="Q32" s="98">
        <v>0</v>
      </c>
      <c r="R32" s="98">
        <v>0</v>
      </c>
      <c r="S32" s="98">
        <v>0</v>
      </c>
      <c r="T32" s="98" t="s">
        <v>537</v>
      </c>
      <c r="U32" s="98">
        <v>0</v>
      </c>
      <c r="V32" s="346">
        <f t="shared" si="4"/>
        <v>25.146529000000001</v>
      </c>
      <c r="W32" s="98">
        <v>0</v>
      </c>
      <c r="X32" s="98" t="s">
        <v>537</v>
      </c>
      <c r="Y32" s="98">
        <v>0</v>
      </c>
      <c r="Z32" s="98">
        <v>0</v>
      </c>
      <c r="AA32" s="98">
        <v>0</v>
      </c>
      <c r="AB32" s="96" t="s">
        <v>537</v>
      </c>
      <c r="AC32" s="96">
        <f t="shared" si="5"/>
        <v>25.146529000000001</v>
      </c>
    </row>
    <row r="33" spans="1:29" x14ac:dyDescent="0.25">
      <c r="A33" s="44" t="s">
        <v>162</v>
      </c>
      <c r="B33" s="25" t="s">
        <v>161</v>
      </c>
      <c r="C33" s="96" t="s">
        <v>537</v>
      </c>
      <c r="D33" s="343">
        <v>30.0440357238</v>
      </c>
      <c r="E33" s="96">
        <f t="shared" si="2"/>
        <v>30.0440357238</v>
      </c>
      <c r="F33" s="98">
        <f t="shared" si="3"/>
        <v>30.0440357238</v>
      </c>
      <c r="G33" s="98">
        <v>0</v>
      </c>
      <c r="H33" s="96" t="s">
        <v>537</v>
      </c>
      <c r="I33" s="98">
        <v>0</v>
      </c>
      <c r="J33" s="98">
        <v>0</v>
      </c>
      <c r="K33" s="98">
        <v>0</v>
      </c>
      <c r="L33" s="98" t="s">
        <v>537</v>
      </c>
      <c r="M33" s="98">
        <v>0</v>
      </c>
      <c r="N33" s="98">
        <v>0</v>
      </c>
      <c r="O33" s="98">
        <v>0</v>
      </c>
      <c r="P33" s="98" t="s">
        <v>537</v>
      </c>
      <c r="Q33" s="98">
        <v>0</v>
      </c>
      <c r="R33" s="98">
        <v>0</v>
      </c>
      <c r="S33" s="98">
        <v>0</v>
      </c>
      <c r="T33" s="98" t="s">
        <v>537</v>
      </c>
      <c r="U33" s="98">
        <v>0</v>
      </c>
      <c r="V33" s="346">
        <f t="shared" si="4"/>
        <v>30.0440357238</v>
      </c>
      <c r="W33" s="98">
        <v>0</v>
      </c>
      <c r="X33" s="98" t="s">
        <v>537</v>
      </c>
      <c r="Y33" s="98">
        <v>0</v>
      </c>
      <c r="Z33" s="98">
        <v>0</v>
      </c>
      <c r="AA33" s="98">
        <v>0</v>
      </c>
      <c r="AB33" s="96" t="s">
        <v>537</v>
      </c>
      <c r="AC33" s="96">
        <f t="shared" si="5"/>
        <v>30.0440357238</v>
      </c>
    </row>
    <row r="34" spans="1:29" x14ac:dyDescent="0.25">
      <c r="A34" s="44" t="s">
        <v>160</v>
      </c>
      <c r="B34" s="25" t="s">
        <v>159</v>
      </c>
      <c r="C34" s="96" t="s">
        <v>537</v>
      </c>
      <c r="D34" s="343">
        <v>1.7804923799999999</v>
      </c>
      <c r="E34" s="96">
        <f t="shared" si="2"/>
        <v>1.7804923799999999</v>
      </c>
      <c r="F34" s="98">
        <f t="shared" si="3"/>
        <v>1.7192423799999998</v>
      </c>
      <c r="G34" s="98">
        <v>0</v>
      </c>
      <c r="H34" s="96" t="s">
        <v>537</v>
      </c>
      <c r="I34" s="98">
        <v>0</v>
      </c>
      <c r="J34" s="98">
        <v>0</v>
      </c>
      <c r="K34" s="98">
        <v>0</v>
      </c>
      <c r="L34" s="98" t="s">
        <v>537</v>
      </c>
      <c r="M34" s="98">
        <v>0</v>
      </c>
      <c r="N34" s="98">
        <v>0</v>
      </c>
      <c r="O34" s="98">
        <v>0</v>
      </c>
      <c r="P34" s="98" t="s">
        <v>537</v>
      </c>
      <c r="Q34" s="98">
        <v>0</v>
      </c>
      <c r="R34" s="346">
        <v>6.1249999999999999E-2</v>
      </c>
      <c r="S34" s="98">
        <v>0</v>
      </c>
      <c r="T34" s="98" t="s">
        <v>537</v>
      </c>
      <c r="U34" s="98">
        <v>0</v>
      </c>
      <c r="V34" s="346">
        <f t="shared" si="4"/>
        <v>1.7192423799999998</v>
      </c>
      <c r="W34" s="98">
        <v>0</v>
      </c>
      <c r="X34" s="98" t="s">
        <v>537</v>
      </c>
      <c r="Y34" s="98">
        <v>0</v>
      </c>
      <c r="Z34" s="98">
        <v>0</v>
      </c>
      <c r="AA34" s="98">
        <v>0</v>
      </c>
      <c r="AB34" s="96" t="s">
        <v>537</v>
      </c>
      <c r="AC34" s="96">
        <f t="shared" si="5"/>
        <v>1.7804923799999999</v>
      </c>
    </row>
    <row r="35" spans="1:29" s="338" customFormat="1" ht="31.5" x14ac:dyDescent="0.25">
      <c r="A35" s="44" t="s">
        <v>60</v>
      </c>
      <c r="B35" s="43" t="s">
        <v>158</v>
      </c>
      <c r="C35" s="96" t="s">
        <v>537</v>
      </c>
      <c r="D35" s="96">
        <v>0</v>
      </c>
      <c r="E35" s="96">
        <f t="shared" si="2"/>
        <v>0</v>
      </c>
      <c r="F35" s="98">
        <f t="shared" si="3"/>
        <v>0</v>
      </c>
      <c r="G35" s="98">
        <v>0</v>
      </c>
      <c r="H35" s="96" t="s">
        <v>537</v>
      </c>
      <c r="I35" s="96">
        <v>0</v>
      </c>
      <c r="J35" s="98">
        <v>0</v>
      </c>
      <c r="K35" s="96">
        <v>0</v>
      </c>
      <c r="L35" s="98" t="s">
        <v>537</v>
      </c>
      <c r="M35" s="96">
        <v>0</v>
      </c>
      <c r="N35" s="98">
        <v>0</v>
      </c>
      <c r="O35" s="98">
        <v>0</v>
      </c>
      <c r="P35" s="98" t="s">
        <v>537</v>
      </c>
      <c r="Q35" s="96">
        <v>0</v>
      </c>
      <c r="R35" s="98">
        <v>0</v>
      </c>
      <c r="S35" s="96">
        <v>0</v>
      </c>
      <c r="T35" s="98" t="s">
        <v>537</v>
      </c>
      <c r="U35" s="96">
        <v>0</v>
      </c>
      <c r="V35" s="346">
        <f t="shared" si="4"/>
        <v>0</v>
      </c>
      <c r="W35" s="96">
        <v>0</v>
      </c>
      <c r="X35" s="98" t="s">
        <v>537</v>
      </c>
      <c r="Y35" s="96">
        <v>0</v>
      </c>
      <c r="Z35" s="96">
        <v>0</v>
      </c>
      <c r="AA35" s="96">
        <v>0</v>
      </c>
      <c r="AB35" s="96" t="s">
        <v>537</v>
      </c>
      <c r="AC35" s="96">
        <f t="shared" si="5"/>
        <v>0</v>
      </c>
    </row>
    <row r="36" spans="1:29" ht="31.5" x14ac:dyDescent="0.25">
      <c r="A36" s="41" t="s">
        <v>157</v>
      </c>
      <c r="B36" s="168" t="s">
        <v>156</v>
      </c>
      <c r="C36" s="96" t="s">
        <v>537</v>
      </c>
      <c r="D36" s="96">
        <v>0</v>
      </c>
      <c r="E36" s="96">
        <f t="shared" si="2"/>
        <v>0</v>
      </c>
      <c r="F36" s="98">
        <f t="shared" si="3"/>
        <v>0</v>
      </c>
      <c r="G36" s="98">
        <v>0</v>
      </c>
      <c r="H36" s="96" t="s">
        <v>537</v>
      </c>
      <c r="I36" s="98">
        <v>0</v>
      </c>
      <c r="J36" s="98">
        <v>0</v>
      </c>
      <c r="K36" s="98">
        <v>0</v>
      </c>
      <c r="L36" s="98" t="s">
        <v>537</v>
      </c>
      <c r="M36" s="98">
        <v>0</v>
      </c>
      <c r="N36" s="98">
        <v>0</v>
      </c>
      <c r="O36" s="98">
        <v>0</v>
      </c>
      <c r="P36" s="98" t="s">
        <v>537</v>
      </c>
      <c r="Q36" s="98">
        <v>0</v>
      </c>
      <c r="R36" s="98">
        <v>0</v>
      </c>
      <c r="S36" s="98">
        <v>0</v>
      </c>
      <c r="T36" s="98" t="s">
        <v>537</v>
      </c>
      <c r="U36" s="98">
        <v>0</v>
      </c>
      <c r="V36" s="346">
        <f t="shared" si="4"/>
        <v>0</v>
      </c>
      <c r="W36" s="98">
        <v>0</v>
      </c>
      <c r="X36" s="98" t="s">
        <v>537</v>
      </c>
      <c r="Y36" s="98">
        <v>0</v>
      </c>
      <c r="Z36" s="98">
        <v>0</v>
      </c>
      <c r="AA36" s="98">
        <v>0</v>
      </c>
      <c r="AB36" s="96" t="s">
        <v>537</v>
      </c>
      <c r="AC36" s="96">
        <f t="shared" si="5"/>
        <v>0</v>
      </c>
    </row>
    <row r="37" spans="1:29" x14ac:dyDescent="0.25">
      <c r="A37" s="41" t="s">
        <v>155</v>
      </c>
      <c r="B37" s="168" t="s">
        <v>145</v>
      </c>
      <c r="C37" s="96" t="s">
        <v>537</v>
      </c>
      <c r="D37" s="96">
        <v>4</v>
      </c>
      <c r="E37" s="96">
        <f t="shared" si="2"/>
        <v>4</v>
      </c>
      <c r="F37" s="98">
        <f t="shared" si="3"/>
        <v>4</v>
      </c>
      <c r="G37" s="98">
        <v>0</v>
      </c>
      <c r="H37" s="96" t="s">
        <v>537</v>
      </c>
      <c r="I37" s="98">
        <v>0</v>
      </c>
      <c r="J37" s="98">
        <v>0</v>
      </c>
      <c r="K37" s="98">
        <v>0</v>
      </c>
      <c r="L37" s="98" t="s">
        <v>537</v>
      </c>
      <c r="M37" s="98">
        <v>0</v>
      </c>
      <c r="N37" s="98">
        <v>0</v>
      </c>
      <c r="O37" s="98">
        <v>0</v>
      </c>
      <c r="P37" s="98" t="s">
        <v>537</v>
      </c>
      <c r="Q37" s="98">
        <v>0</v>
      </c>
      <c r="R37" s="98">
        <v>0</v>
      </c>
      <c r="S37" s="98">
        <v>0</v>
      </c>
      <c r="T37" s="98" t="s">
        <v>537</v>
      </c>
      <c r="U37" s="98">
        <v>0</v>
      </c>
      <c r="V37" s="346">
        <f t="shared" si="4"/>
        <v>4</v>
      </c>
      <c r="W37" s="98">
        <v>0</v>
      </c>
      <c r="X37" s="98" t="s">
        <v>537</v>
      </c>
      <c r="Y37" s="98">
        <v>0</v>
      </c>
      <c r="Z37" s="98">
        <v>0</v>
      </c>
      <c r="AA37" s="98">
        <v>0</v>
      </c>
      <c r="AB37" s="96" t="s">
        <v>537</v>
      </c>
      <c r="AC37" s="96">
        <f t="shared" si="5"/>
        <v>4</v>
      </c>
    </row>
    <row r="38" spans="1:29" x14ac:dyDescent="0.25">
      <c r="A38" s="41" t="s">
        <v>154</v>
      </c>
      <c r="B38" s="168" t="s">
        <v>143</v>
      </c>
      <c r="C38" s="96" t="s">
        <v>537</v>
      </c>
      <c r="D38" s="96">
        <v>0</v>
      </c>
      <c r="E38" s="96">
        <f t="shared" si="2"/>
        <v>0</v>
      </c>
      <c r="F38" s="98">
        <f t="shared" si="3"/>
        <v>0</v>
      </c>
      <c r="G38" s="98">
        <v>0</v>
      </c>
      <c r="H38" s="96" t="s">
        <v>537</v>
      </c>
      <c r="I38" s="98">
        <v>0</v>
      </c>
      <c r="J38" s="98">
        <v>0</v>
      </c>
      <c r="K38" s="98">
        <v>0</v>
      </c>
      <c r="L38" s="98" t="s">
        <v>537</v>
      </c>
      <c r="M38" s="98">
        <v>0</v>
      </c>
      <c r="N38" s="98">
        <v>0</v>
      </c>
      <c r="O38" s="98">
        <v>0</v>
      </c>
      <c r="P38" s="98" t="s">
        <v>537</v>
      </c>
      <c r="Q38" s="98">
        <v>0</v>
      </c>
      <c r="R38" s="98">
        <v>0</v>
      </c>
      <c r="S38" s="98">
        <v>0</v>
      </c>
      <c r="T38" s="98" t="s">
        <v>537</v>
      </c>
      <c r="U38" s="98">
        <v>0</v>
      </c>
      <c r="V38" s="346">
        <f t="shared" si="4"/>
        <v>0</v>
      </c>
      <c r="W38" s="98">
        <v>0</v>
      </c>
      <c r="X38" s="98" t="s">
        <v>537</v>
      </c>
      <c r="Y38" s="98">
        <v>0</v>
      </c>
      <c r="Z38" s="98">
        <v>0</v>
      </c>
      <c r="AA38" s="98">
        <v>0</v>
      </c>
      <c r="AB38" s="96" t="s">
        <v>537</v>
      </c>
      <c r="AC38" s="96">
        <f t="shared" si="5"/>
        <v>0</v>
      </c>
    </row>
    <row r="39" spans="1:29" ht="31.5" x14ac:dyDescent="0.25">
      <c r="A39" s="41" t="s">
        <v>153</v>
      </c>
      <c r="B39" s="25" t="s">
        <v>141</v>
      </c>
      <c r="C39" s="96" t="s">
        <v>537</v>
      </c>
      <c r="D39" s="96">
        <v>0</v>
      </c>
      <c r="E39" s="96">
        <f t="shared" si="2"/>
        <v>0</v>
      </c>
      <c r="F39" s="98">
        <f t="shared" si="3"/>
        <v>0</v>
      </c>
      <c r="G39" s="98">
        <v>0</v>
      </c>
      <c r="H39" s="96" t="s">
        <v>537</v>
      </c>
      <c r="I39" s="98">
        <v>0</v>
      </c>
      <c r="J39" s="98">
        <v>0</v>
      </c>
      <c r="K39" s="98">
        <v>0</v>
      </c>
      <c r="L39" s="98" t="s">
        <v>537</v>
      </c>
      <c r="M39" s="98">
        <v>0</v>
      </c>
      <c r="N39" s="98">
        <v>0</v>
      </c>
      <c r="O39" s="98">
        <v>0</v>
      </c>
      <c r="P39" s="98" t="s">
        <v>537</v>
      </c>
      <c r="Q39" s="98">
        <v>0</v>
      </c>
      <c r="R39" s="98">
        <v>0</v>
      </c>
      <c r="S39" s="98">
        <v>0</v>
      </c>
      <c r="T39" s="98" t="s">
        <v>537</v>
      </c>
      <c r="U39" s="98">
        <v>0</v>
      </c>
      <c r="V39" s="346">
        <f t="shared" si="4"/>
        <v>0</v>
      </c>
      <c r="W39" s="98">
        <v>0</v>
      </c>
      <c r="X39" s="98" t="s">
        <v>537</v>
      </c>
      <c r="Y39" s="98">
        <v>0</v>
      </c>
      <c r="Z39" s="98">
        <v>0</v>
      </c>
      <c r="AA39" s="98">
        <v>0</v>
      </c>
      <c r="AB39" s="96" t="s">
        <v>537</v>
      </c>
      <c r="AC39" s="96">
        <f t="shared" si="5"/>
        <v>0</v>
      </c>
    </row>
    <row r="40" spans="1:29" ht="31.5" x14ac:dyDescent="0.25">
      <c r="A40" s="41" t="s">
        <v>152</v>
      </c>
      <c r="B40" s="25" t="s">
        <v>139</v>
      </c>
      <c r="C40" s="96" t="s">
        <v>537</v>
      </c>
      <c r="D40" s="96">
        <v>0</v>
      </c>
      <c r="E40" s="96">
        <f t="shared" si="2"/>
        <v>0</v>
      </c>
      <c r="F40" s="98">
        <f t="shared" si="3"/>
        <v>0</v>
      </c>
      <c r="G40" s="98">
        <v>0</v>
      </c>
      <c r="H40" s="96" t="s">
        <v>537</v>
      </c>
      <c r="I40" s="98">
        <v>0</v>
      </c>
      <c r="J40" s="98">
        <v>0</v>
      </c>
      <c r="K40" s="98">
        <v>0</v>
      </c>
      <c r="L40" s="98" t="s">
        <v>537</v>
      </c>
      <c r="M40" s="98">
        <v>0</v>
      </c>
      <c r="N40" s="98">
        <v>0</v>
      </c>
      <c r="O40" s="98">
        <v>0</v>
      </c>
      <c r="P40" s="98" t="s">
        <v>537</v>
      </c>
      <c r="Q40" s="98">
        <v>0</v>
      </c>
      <c r="R40" s="98">
        <v>0</v>
      </c>
      <c r="S40" s="98">
        <v>0</v>
      </c>
      <c r="T40" s="98" t="s">
        <v>537</v>
      </c>
      <c r="U40" s="98">
        <v>0</v>
      </c>
      <c r="V40" s="346">
        <f t="shared" si="4"/>
        <v>0</v>
      </c>
      <c r="W40" s="98">
        <v>0</v>
      </c>
      <c r="X40" s="98" t="s">
        <v>537</v>
      </c>
      <c r="Y40" s="98">
        <v>0</v>
      </c>
      <c r="Z40" s="98">
        <v>0</v>
      </c>
      <c r="AA40" s="98">
        <v>0</v>
      </c>
      <c r="AB40" s="96" t="s">
        <v>537</v>
      </c>
      <c r="AC40" s="96">
        <f t="shared" si="5"/>
        <v>0</v>
      </c>
    </row>
    <row r="41" spans="1:29" x14ac:dyDescent="0.25">
      <c r="A41" s="41" t="s">
        <v>151</v>
      </c>
      <c r="B41" s="25" t="s">
        <v>137</v>
      </c>
      <c r="C41" s="96" t="s">
        <v>537</v>
      </c>
      <c r="D41" s="343">
        <v>2.5</v>
      </c>
      <c r="E41" s="96">
        <f t="shared" si="2"/>
        <v>2.5</v>
      </c>
      <c r="F41" s="98">
        <f t="shared" si="3"/>
        <v>2.5</v>
      </c>
      <c r="G41" s="98">
        <v>0</v>
      </c>
      <c r="H41" s="96" t="s">
        <v>537</v>
      </c>
      <c r="I41" s="98">
        <v>0</v>
      </c>
      <c r="J41" s="98">
        <v>0</v>
      </c>
      <c r="K41" s="98">
        <v>0</v>
      </c>
      <c r="L41" s="98" t="s">
        <v>537</v>
      </c>
      <c r="M41" s="98">
        <v>0</v>
      </c>
      <c r="N41" s="98">
        <v>0</v>
      </c>
      <c r="O41" s="98">
        <v>0</v>
      </c>
      <c r="P41" s="98" t="s">
        <v>537</v>
      </c>
      <c r="Q41" s="98">
        <v>0</v>
      </c>
      <c r="R41" s="98">
        <v>0</v>
      </c>
      <c r="S41" s="98">
        <v>0</v>
      </c>
      <c r="T41" s="98" t="s">
        <v>537</v>
      </c>
      <c r="U41" s="98">
        <v>0</v>
      </c>
      <c r="V41" s="346">
        <f t="shared" si="4"/>
        <v>2.5</v>
      </c>
      <c r="W41" s="98">
        <v>0</v>
      </c>
      <c r="X41" s="98" t="s">
        <v>537</v>
      </c>
      <c r="Y41" s="98">
        <v>0</v>
      </c>
      <c r="Z41" s="98">
        <v>0</v>
      </c>
      <c r="AA41" s="98">
        <v>0</v>
      </c>
      <c r="AB41" s="96" t="s">
        <v>537</v>
      </c>
      <c r="AC41" s="96">
        <f t="shared" si="5"/>
        <v>2.5</v>
      </c>
    </row>
    <row r="42" spans="1:29" ht="18.75" x14ac:dyDescent="0.25">
      <c r="A42" s="41" t="s">
        <v>150</v>
      </c>
      <c r="B42" s="168" t="s">
        <v>543</v>
      </c>
      <c r="C42" s="96" t="s">
        <v>537</v>
      </c>
      <c r="D42" s="96">
        <v>0</v>
      </c>
      <c r="E42" s="96">
        <f t="shared" si="2"/>
        <v>0</v>
      </c>
      <c r="F42" s="98">
        <f t="shared" si="3"/>
        <v>0</v>
      </c>
      <c r="G42" s="98">
        <v>0</v>
      </c>
      <c r="H42" s="96" t="s">
        <v>537</v>
      </c>
      <c r="I42" s="98">
        <v>0</v>
      </c>
      <c r="J42" s="98">
        <v>0</v>
      </c>
      <c r="K42" s="98">
        <v>0</v>
      </c>
      <c r="L42" s="98" t="s">
        <v>537</v>
      </c>
      <c r="M42" s="98">
        <v>0</v>
      </c>
      <c r="N42" s="98">
        <v>0</v>
      </c>
      <c r="O42" s="98">
        <v>0</v>
      </c>
      <c r="P42" s="98" t="s">
        <v>537</v>
      </c>
      <c r="Q42" s="98">
        <v>0</v>
      </c>
      <c r="R42" s="98">
        <v>0</v>
      </c>
      <c r="S42" s="98">
        <v>0</v>
      </c>
      <c r="T42" s="98" t="s">
        <v>537</v>
      </c>
      <c r="U42" s="98">
        <v>0</v>
      </c>
      <c r="V42" s="346">
        <f t="shared" si="4"/>
        <v>0</v>
      </c>
      <c r="W42" s="98">
        <v>0</v>
      </c>
      <c r="X42" s="98" t="s">
        <v>537</v>
      </c>
      <c r="Y42" s="98">
        <v>0</v>
      </c>
      <c r="Z42" s="98">
        <v>0</v>
      </c>
      <c r="AA42" s="98">
        <v>0</v>
      </c>
      <c r="AB42" s="96" t="s">
        <v>537</v>
      </c>
      <c r="AC42" s="96">
        <f t="shared" si="5"/>
        <v>0</v>
      </c>
    </row>
    <row r="43" spans="1:29" s="338" customFormat="1" x14ac:dyDescent="0.25">
      <c r="A43" s="44" t="s">
        <v>59</v>
      </c>
      <c r="B43" s="43" t="s">
        <v>149</v>
      </c>
      <c r="C43" s="96" t="s">
        <v>537</v>
      </c>
      <c r="D43" s="96">
        <v>0</v>
      </c>
      <c r="E43" s="96">
        <f t="shared" si="2"/>
        <v>0</v>
      </c>
      <c r="F43" s="98">
        <f t="shared" si="3"/>
        <v>0</v>
      </c>
      <c r="G43" s="98">
        <v>0</v>
      </c>
      <c r="H43" s="96" t="s">
        <v>537</v>
      </c>
      <c r="I43" s="96">
        <v>0</v>
      </c>
      <c r="J43" s="98">
        <v>0</v>
      </c>
      <c r="K43" s="96">
        <v>0</v>
      </c>
      <c r="L43" s="98" t="s">
        <v>537</v>
      </c>
      <c r="M43" s="96">
        <v>0</v>
      </c>
      <c r="N43" s="98">
        <v>0</v>
      </c>
      <c r="O43" s="98">
        <v>0</v>
      </c>
      <c r="P43" s="98" t="s">
        <v>537</v>
      </c>
      <c r="Q43" s="96">
        <v>0</v>
      </c>
      <c r="R43" s="98">
        <v>0</v>
      </c>
      <c r="S43" s="96">
        <v>0</v>
      </c>
      <c r="T43" s="98" t="s">
        <v>537</v>
      </c>
      <c r="U43" s="96">
        <v>0</v>
      </c>
      <c r="V43" s="346">
        <f t="shared" si="4"/>
        <v>0</v>
      </c>
      <c r="W43" s="96">
        <v>0</v>
      </c>
      <c r="X43" s="98" t="s">
        <v>537</v>
      </c>
      <c r="Y43" s="96">
        <v>0</v>
      </c>
      <c r="Z43" s="96">
        <v>0</v>
      </c>
      <c r="AA43" s="96">
        <v>0</v>
      </c>
      <c r="AB43" s="96" t="s">
        <v>537</v>
      </c>
      <c r="AC43" s="96">
        <f t="shared" si="5"/>
        <v>0</v>
      </c>
    </row>
    <row r="44" spans="1:29" x14ac:dyDescent="0.25">
      <c r="A44" s="41" t="s">
        <v>148</v>
      </c>
      <c r="B44" s="25" t="s">
        <v>147</v>
      </c>
      <c r="C44" s="96" t="s">
        <v>537</v>
      </c>
      <c r="D44" s="96">
        <v>0</v>
      </c>
      <c r="E44" s="96">
        <f t="shared" si="2"/>
        <v>0</v>
      </c>
      <c r="F44" s="98">
        <f t="shared" si="3"/>
        <v>0</v>
      </c>
      <c r="G44" s="98">
        <v>0</v>
      </c>
      <c r="H44" s="96" t="s">
        <v>537</v>
      </c>
      <c r="I44" s="98">
        <v>0</v>
      </c>
      <c r="J44" s="98">
        <v>0</v>
      </c>
      <c r="K44" s="98">
        <v>0</v>
      </c>
      <c r="L44" s="98" t="s">
        <v>537</v>
      </c>
      <c r="M44" s="98">
        <v>0</v>
      </c>
      <c r="N44" s="98">
        <v>0</v>
      </c>
      <c r="O44" s="98">
        <v>0</v>
      </c>
      <c r="P44" s="98" t="s">
        <v>537</v>
      </c>
      <c r="Q44" s="98">
        <v>0</v>
      </c>
      <c r="R44" s="98">
        <v>0</v>
      </c>
      <c r="S44" s="98">
        <v>0</v>
      </c>
      <c r="T44" s="98" t="s">
        <v>537</v>
      </c>
      <c r="U44" s="98">
        <v>0</v>
      </c>
      <c r="V44" s="346">
        <f t="shared" si="4"/>
        <v>0</v>
      </c>
      <c r="W44" s="98">
        <v>0</v>
      </c>
      <c r="X44" s="98" t="s">
        <v>537</v>
      </c>
      <c r="Y44" s="98">
        <v>0</v>
      </c>
      <c r="Z44" s="98">
        <v>0</v>
      </c>
      <c r="AA44" s="98">
        <v>0</v>
      </c>
      <c r="AB44" s="96" t="s">
        <v>537</v>
      </c>
      <c r="AC44" s="96">
        <f t="shared" si="5"/>
        <v>0</v>
      </c>
    </row>
    <row r="45" spans="1:29" x14ac:dyDescent="0.25">
      <c r="A45" s="41" t="s">
        <v>146</v>
      </c>
      <c r="B45" s="25" t="s">
        <v>145</v>
      </c>
      <c r="C45" s="96" t="s">
        <v>537</v>
      </c>
      <c r="D45" s="96">
        <f>D37</f>
        <v>4</v>
      </c>
      <c r="E45" s="96">
        <f t="shared" si="2"/>
        <v>4</v>
      </c>
      <c r="F45" s="98">
        <f t="shared" si="3"/>
        <v>4</v>
      </c>
      <c r="G45" s="98">
        <v>0</v>
      </c>
      <c r="H45" s="96" t="s">
        <v>537</v>
      </c>
      <c r="I45" s="98">
        <v>0</v>
      </c>
      <c r="J45" s="98">
        <v>0</v>
      </c>
      <c r="K45" s="98">
        <v>0</v>
      </c>
      <c r="L45" s="98" t="s">
        <v>537</v>
      </c>
      <c r="M45" s="98">
        <v>0</v>
      </c>
      <c r="N45" s="98">
        <v>0</v>
      </c>
      <c r="O45" s="98">
        <v>0</v>
      </c>
      <c r="P45" s="98" t="s">
        <v>537</v>
      </c>
      <c r="Q45" s="98">
        <v>0</v>
      </c>
      <c r="R45" s="98">
        <v>0</v>
      </c>
      <c r="S45" s="98">
        <v>0</v>
      </c>
      <c r="T45" s="98" t="s">
        <v>537</v>
      </c>
      <c r="U45" s="98">
        <v>0</v>
      </c>
      <c r="V45" s="346">
        <f t="shared" si="4"/>
        <v>4</v>
      </c>
      <c r="W45" s="98">
        <v>0</v>
      </c>
      <c r="X45" s="98" t="s">
        <v>537</v>
      </c>
      <c r="Y45" s="98">
        <v>0</v>
      </c>
      <c r="Z45" s="98">
        <v>0</v>
      </c>
      <c r="AA45" s="98">
        <v>0</v>
      </c>
      <c r="AB45" s="96" t="s">
        <v>537</v>
      </c>
      <c r="AC45" s="96">
        <f t="shared" si="5"/>
        <v>4</v>
      </c>
    </row>
    <row r="46" spans="1:29" x14ac:dyDescent="0.25">
      <c r="A46" s="41" t="s">
        <v>144</v>
      </c>
      <c r="B46" s="25" t="s">
        <v>143</v>
      </c>
      <c r="C46" s="96" t="s">
        <v>537</v>
      </c>
      <c r="D46" s="96">
        <v>0</v>
      </c>
      <c r="E46" s="96">
        <f t="shared" si="2"/>
        <v>0</v>
      </c>
      <c r="F46" s="98">
        <f t="shared" si="3"/>
        <v>0</v>
      </c>
      <c r="G46" s="98">
        <v>0</v>
      </c>
      <c r="H46" s="96" t="s">
        <v>537</v>
      </c>
      <c r="I46" s="98">
        <v>0</v>
      </c>
      <c r="J46" s="98">
        <v>0</v>
      </c>
      <c r="K46" s="98">
        <v>0</v>
      </c>
      <c r="L46" s="98" t="s">
        <v>537</v>
      </c>
      <c r="M46" s="98">
        <v>0</v>
      </c>
      <c r="N46" s="98">
        <v>0</v>
      </c>
      <c r="O46" s="98">
        <v>0</v>
      </c>
      <c r="P46" s="98" t="s">
        <v>537</v>
      </c>
      <c r="Q46" s="98">
        <v>0</v>
      </c>
      <c r="R46" s="98">
        <v>0</v>
      </c>
      <c r="S46" s="98">
        <v>0</v>
      </c>
      <c r="T46" s="98" t="s">
        <v>537</v>
      </c>
      <c r="U46" s="98">
        <v>0</v>
      </c>
      <c r="V46" s="346">
        <f t="shared" si="4"/>
        <v>0</v>
      </c>
      <c r="W46" s="98">
        <v>0</v>
      </c>
      <c r="X46" s="98" t="s">
        <v>537</v>
      </c>
      <c r="Y46" s="98">
        <v>0</v>
      </c>
      <c r="Z46" s="98">
        <v>0</v>
      </c>
      <c r="AA46" s="98">
        <v>0</v>
      </c>
      <c r="AB46" s="96" t="s">
        <v>537</v>
      </c>
      <c r="AC46" s="96">
        <f t="shared" si="5"/>
        <v>0</v>
      </c>
    </row>
    <row r="47" spans="1:29" ht="31.5" x14ac:dyDescent="0.25">
      <c r="A47" s="41" t="s">
        <v>142</v>
      </c>
      <c r="B47" s="25" t="s">
        <v>141</v>
      </c>
      <c r="C47" s="96" t="s">
        <v>537</v>
      </c>
      <c r="D47" s="96">
        <v>0</v>
      </c>
      <c r="E47" s="96">
        <f t="shared" si="2"/>
        <v>0</v>
      </c>
      <c r="F47" s="98">
        <f t="shared" si="3"/>
        <v>0</v>
      </c>
      <c r="G47" s="98">
        <v>0</v>
      </c>
      <c r="H47" s="96" t="s">
        <v>537</v>
      </c>
      <c r="I47" s="98">
        <v>0</v>
      </c>
      <c r="J47" s="98">
        <v>0</v>
      </c>
      <c r="K47" s="98">
        <v>0</v>
      </c>
      <c r="L47" s="98" t="s">
        <v>537</v>
      </c>
      <c r="M47" s="98">
        <v>0</v>
      </c>
      <c r="N47" s="98">
        <v>0</v>
      </c>
      <c r="O47" s="98">
        <v>0</v>
      </c>
      <c r="P47" s="98" t="s">
        <v>537</v>
      </c>
      <c r="Q47" s="98">
        <v>0</v>
      </c>
      <c r="R47" s="98">
        <v>0</v>
      </c>
      <c r="S47" s="98">
        <v>0</v>
      </c>
      <c r="T47" s="98" t="s">
        <v>537</v>
      </c>
      <c r="U47" s="98">
        <v>0</v>
      </c>
      <c r="V47" s="346">
        <f t="shared" si="4"/>
        <v>0</v>
      </c>
      <c r="W47" s="98">
        <v>0</v>
      </c>
      <c r="X47" s="98" t="s">
        <v>537</v>
      </c>
      <c r="Y47" s="98">
        <v>0</v>
      </c>
      <c r="Z47" s="98">
        <v>0</v>
      </c>
      <c r="AA47" s="98">
        <v>0</v>
      </c>
      <c r="AB47" s="96" t="s">
        <v>537</v>
      </c>
      <c r="AC47" s="96">
        <f t="shared" si="5"/>
        <v>0</v>
      </c>
    </row>
    <row r="48" spans="1:29" ht="31.5" x14ac:dyDescent="0.25">
      <c r="A48" s="41" t="s">
        <v>140</v>
      </c>
      <c r="B48" s="25" t="s">
        <v>139</v>
      </c>
      <c r="C48" s="96" t="s">
        <v>537</v>
      </c>
      <c r="D48" s="96">
        <v>0</v>
      </c>
      <c r="E48" s="96">
        <f t="shared" si="2"/>
        <v>0</v>
      </c>
      <c r="F48" s="98">
        <f t="shared" si="3"/>
        <v>0</v>
      </c>
      <c r="G48" s="98">
        <v>0</v>
      </c>
      <c r="H48" s="96" t="s">
        <v>537</v>
      </c>
      <c r="I48" s="98">
        <v>0</v>
      </c>
      <c r="J48" s="98">
        <v>0</v>
      </c>
      <c r="K48" s="98">
        <v>0</v>
      </c>
      <c r="L48" s="98" t="s">
        <v>537</v>
      </c>
      <c r="M48" s="98">
        <v>0</v>
      </c>
      <c r="N48" s="98">
        <v>0</v>
      </c>
      <c r="O48" s="98">
        <v>0</v>
      </c>
      <c r="P48" s="98" t="s">
        <v>537</v>
      </c>
      <c r="Q48" s="98">
        <v>0</v>
      </c>
      <c r="R48" s="98">
        <v>0</v>
      </c>
      <c r="S48" s="98">
        <v>0</v>
      </c>
      <c r="T48" s="98" t="s">
        <v>537</v>
      </c>
      <c r="U48" s="98">
        <v>0</v>
      </c>
      <c r="V48" s="346">
        <f t="shared" si="4"/>
        <v>0</v>
      </c>
      <c r="W48" s="98">
        <v>0</v>
      </c>
      <c r="X48" s="98" t="s">
        <v>537</v>
      </c>
      <c r="Y48" s="98">
        <v>0</v>
      </c>
      <c r="Z48" s="98">
        <v>0</v>
      </c>
      <c r="AA48" s="98">
        <v>0</v>
      </c>
      <c r="AB48" s="96" t="s">
        <v>537</v>
      </c>
      <c r="AC48" s="96">
        <f t="shared" si="5"/>
        <v>0</v>
      </c>
    </row>
    <row r="49" spans="1:29" x14ac:dyDescent="0.25">
      <c r="A49" s="41" t="s">
        <v>138</v>
      </c>
      <c r="B49" s="25" t="s">
        <v>137</v>
      </c>
      <c r="C49" s="96" t="s">
        <v>537</v>
      </c>
      <c r="D49" s="96">
        <f>D41</f>
        <v>2.5</v>
      </c>
      <c r="E49" s="96">
        <f t="shared" si="2"/>
        <v>2.5</v>
      </c>
      <c r="F49" s="98">
        <f t="shared" si="3"/>
        <v>2.5</v>
      </c>
      <c r="G49" s="98">
        <v>0</v>
      </c>
      <c r="H49" s="96" t="s">
        <v>537</v>
      </c>
      <c r="I49" s="98">
        <v>0</v>
      </c>
      <c r="J49" s="98">
        <v>0</v>
      </c>
      <c r="K49" s="98">
        <v>0</v>
      </c>
      <c r="L49" s="98" t="s">
        <v>537</v>
      </c>
      <c r="M49" s="98">
        <v>0</v>
      </c>
      <c r="N49" s="98">
        <v>0</v>
      </c>
      <c r="O49" s="98">
        <v>0</v>
      </c>
      <c r="P49" s="98" t="s">
        <v>537</v>
      </c>
      <c r="Q49" s="98">
        <v>0</v>
      </c>
      <c r="R49" s="98">
        <v>0</v>
      </c>
      <c r="S49" s="98">
        <v>0</v>
      </c>
      <c r="T49" s="98" t="s">
        <v>537</v>
      </c>
      <c r="U49" s="98">
        <v>0</v>
      </c>
      <c r="V49" s="346">
        <f t="shared" si="4"/>
        <v>2.5</v>
      </c>
      <c r="W49" s="98">
        <v>0</v>
      </c>
      <c r="X49" s="98" t="s">
        <v>537</v>
      </c>
      <c r="Y49" s="98">
        <v>0</v>
      </c>
      <c r="Z49" s="98">
        <v>0</v>
      </c>
      <c r="AA49" s="98">
        <v>0</v>
      </c>
      <c r="AB49" s="96" t="s">
        <v>537</v>
      </c>
      <c r="AC49" s="96">
        <f t="shared" si="5"/>
        <v>2.5</v>
      </c>
    </row>
    <row r="50" spans="1:29" ht="18.75" x14ac:dyDescent="0.25">
      <c r="A50" s="41" t="s">
        <v>136</v>
      </c>
      <c r="B50" s="168" t="s">
        <v>543</v>
      </c>
      <c r="C50" s="96" t="s">
        <v>537</v>
      </c>
      <c r="D50" s="96">
        <v>0</v>
      </c>
      <c r="E50" s="96">
        <f t="shared" si="2"/>
        <v>0</v>
      </c>
      <c r="F50" s="98">
        <f t="shared" si="3"/>
        <v>0</v>
      </c>
      <c r="G50" s="98">
        <v>0</v>
      </c>
      <c r="H50" s="96" t="s">
        <v>537</v>
      </c>
      <c r="I50" s="98">
        <v>0</v>
      </c>
      <c r="J50" s="98">
        <v>0</v>
      </c>
      <c r="K50" s="98">
        <v>0</v>
      </c>
      <c r="L50" s="98" t="s">
        <v>537</v>
      </c>
      <c r="M50" s="98">
        <v>0</v>
      </c>
      <c r="N50" s="98">
        <v>0</v>
      </c>
      <c r="O50" s="98">
        <v>0</v>
      </c>
      <c r="P50" s="98" t="s">
        <v>537</v>
      </c>
      <c r="Q50" s="98">
        <v>0</v>
      </c>
      <c r="R50" s="98">
        <v>0</v>
      </c>
      <c r="S50" s="98">
        <v>0</v>
      </c>
      <c r="T50" s="98" t="s">
        <v>537</v>
      </c>
      <c r="U50" s="98">
        <v>0</v>
      </c>
      <c r="V50" s="346">
        <f t="shared" si="4"/>
        <v>0</v>
      </c>
      <c r="W50" s="98">
        <v>0</v>
      </c>
      <c r="X50" s="98" t="s">
        <v>537</v>
      </c>
      <c r="Y50" s="98">
        <v>0</v>
      </c>
      <c r="Z50" s="98">
        <v>0</v>
      </c>
      <c r="AA50" s="98">
        <v>0</v>
      </c>
      <c r="AB50" s="96" t="s">
        <v>537</v>
      </c>
      <c r="AC50" s="96">
        <f t="shared" si="5"/>
        <v>0</v>
      </c>
    </row>
    <row r="51" spans="1:29" s="338" customFormat="1" ht="35.25" customHeight="1" x14ac:dyDescent="0.25">
      <c r="A51" s="44" t="s">
        <v>57</v>
      </c>
      <c r="B51" s="43" t="s">
        <v>135</v>
      </c>
      <c r="C51" s="96" t="s">
        <v>537</v>
      </c>
      <c r="D51" s="96">
        <v>0</v>
      </c>
      <c r="E51" s="96">
        <f t="shared" si="2"/>
        <v>0</v>
      </c>
      <c r="F51" s="98">
        <f t="shared" si="3"/>
        <v>0</v>
      </c>
      <c r="G51" s="98">
        <v>0</v>
      </c>
      <c r="H51" s="96" t="s">
        <v>537</v>
      </c>
      <c r="I51" s="96">
        <v>0</v>
      </c>
      <c r="J51" s="98">
        <v>0</v>
      </c>
      <c r="K51" s="96">
        <v>0</v>
      </c>
      <c r="L51" s="98" t="s">
        <v>537</v>
      </c>
      <c r="M51" s="96">
        <v>0</v>
      </c>
      <c r="N51" s="98">
        <v>0</v>
      </c>
      <c r="O51" s="98">
        <v>0</v>
      </c>
      <c r="P51" s="98" t="s">
        <v>537</v>
      </c>
      <c r="Q51" s="96">
        <v>0</v>
      </c>
      <c r="R51" s="98">
        <v>0</v>
      </c>
      <c r="S51" s="96">
        <v>0</v>
      </c>
      <c r="T51" s="98" t="s">
        <v>537</v>
      </c>
      <c r="U51" s="96">
        <v>0</v>
      </c>
      <c r="V51" s="346">
        <f t="shared" si="4"/>
        <v>0</v>
      </c>
      <c r="W51" s="96">
        <v>0</v>
      </c>
      <c r="X51" s="98" t="s">
        <v>537</v>
      </c>
      <c r="Y51" s="96">
        <v>0</v>
      </c>
      <c r="Z51" s="96">
        <v>0</v>
      </c>
      <c r="AA51" s="96">
        <v>0</v>
      </c>
      <c r="AB51" s="96" t="s">
        <v>537</v>
      </c>
      <c r="AC51" s="96">
        <f t="shared" si="5"/>
        <v>0</v>
      </c>
    </row>
    <row r="52" spans="1:29" x14ac:dyDescent="0.25">
      <c r="A52" s="41" t="s">
        <v>134</v>
      </c>
      <c r="B52" s="25" t="s">
        <v>133</v>
      </c>
      <c r="C52" s="96" t="s">
        <v>537</v>
      </c>
      <c r="D52" s="96">
        <f>D30</f>
        <v>61.322218103799997</v>
      </c>
      <c r="E52" s="96">
        <f t="shared" si="2"/>
        <v>61.322218103799997</v>
      </c>
      <c r="F52" s="98">
        <f t="shared" si="3"/>
        <v>61.322218103799997</v>
      </c>
      <c r="G52" s="98">
        <v>0</v>
      </c>
      <c r="H52" s="96" t="s">
        <v>537</v>
      </c>
      <c r="I52" s="98">
        <v>0</v>
      </c>
      <c r="J52" s="98">
        <v>0</v>
      </c>
      <c r="K52" s="98">
        <v>0</v>
      </c>
      <c r="L52" s="98" t="s">
        <v>537</v>
      </c>
      <c r="M52" s="98">
        <v>0</v>
      </c>
      <c r="N52" s="98">
        <v>0</v>
      </c>
      <c r="O52" s="98">
        <v>0</v>
      </c>
      <c r="P52" s="98" t="s">
        <v>537</v>
      </c>
      <c r="Q52" s="98">
        <v>0</v>
      </c>
      <c r="R52" s="98">
        <v>0</v>
      </c>
      <c r="S52" s="98">
        <v>0</v>
      </c>
      <c r="T52" s="98" t="s">
        <v>537</v>
      </c>
      <c r="U52" s="98">
        <v>0</v>
      </c>
      <c r="V52" s="346">
        <f t="shared" si="4"/>
        <v>61.322218103799997</v>
      </c>
      <c r="W52" s="98">
        <v>0</v>
      </c>
      <c r="X52" s="98" t="s">
        <v>537</v>
      </c>
      <c r="Y52" s="98">
        <v>0</v>
      </c>
      <c r="Z52" s="98">
        <v>0</v>
      </c>
      <c r="AA52" s="98">
        <v>0</v>
      </c>
      <c r="AB52" s="96" t="s">
        <v>537</v>
      </c>
      <c r="AC52" s="96">
        <f t="shared" si="5"/>
        <v>61.322218103799997</v>
      </c>
    </row>
    <row r="53" spans="1:29" x14ac:dyDescent="0.25">
      <c r="A53" s="41" t="s">
        <v>132</v>
      </c>
      <c r="B53" s="25" t="s">
        <v>126</v>
      </c>
      <c r="C53" s="96" t="s">
        <v>537</v>
      </c>
      <c r="D53" s="96">
        <v>0</v>
      </c>
      <c r="E53" s="96">
        <f t="shared" si="2"/>
        <v>0</v>
      </c>
      <c r="F53" s="98">
        <f t="shared" si="3"/>
        <v>0</v>
      </c>
      <c r="G53" s="98">
        <v>0</v>
      </c>
      <c r="H53" s="96" t="s">
        <v>537</v>
      </c>
      <c r="I53" s="98">
        <v>0</v>
      </c>
      <c r="J53" s="98">
        <v>0</v>
      </c>
      <c r="K53" s="98">
        <v>0</v>
      </c>
      <c r="L53" s="98" t="s">
        <v>537</v>
      </c>
      <c r="M53" s="98">
        <v>0</v>
      </c>
      <c r="N53" s="98">
        <v>0</v>
      </c>
      <c r="O53" s="98">
        <v>0</v>
      </c>
      <c r="P53" s="98" t="s">
        <v>537</v>
      </c>
      <c r="Q53" s="98">
        <v>0</v>
      </c>
      <c r="R53" s="98">
        <v>0</v>
      </c>
      <c r="S53" s="98">
        <v>0</v>
      </c>
      <c r="T53" s="98" t="s">
        <v>537</v>
      </c>
      <c r="U53" s="98">
        <v>0</v>
      </c>
      <c r="V53" s="346">
        <f t="shared" si="4"/>
        <v>0</v>
      </c>
      <c r="W53" s="98">
        <v>0</v>
      </c>
      <c r="X53" s="98" t="s">
        <v>537</v>
      </c>
      <c r="Y53" s="98">
        <v>0</v>
      </c>
      <c r="Z53" s="98">
        <v>0</v>
      </c>
      <c r="AA53" s="98">
        <v>0</v>
      </c>
      <c r="AB53" s="96" t="s">
        <v>537</v>
      </c>
      <c r="AC53" s="96">
        <f t="shared" si="5"/>
        <v>0</v>
      </c>
    </row>
    <row r="54" spans="1:29" x14ac:dyDescent="0.25">
      <c r="A54" s="41" t="s">
        <v>131</v>
      </c>
      <c r="B54" s="168" t="s">
        <v>125</v>
      </c>
      <c r="C54" s="96" t="s">
        <v>537</v>
      </c>
      <c r="D54" s="96">
        <f>D37</f>
        <v>4</v>
      </c>
      <c r="E54" s="96">
        <f t="shared" si="2"/>
        <v>4</v>
      </c>
      <c r="F54" s="98">
        <f t="shared" si="3"/>
        <v>4</v>
      </c>
      <c r="G54" s="98">
        <v>0</v>
      </c>
      <c r="H54" s="96" t="s">
        <v>537</v>
      </c>
      <c r="I54" s="98">
        <v>0</v>
      </c>
      <c r="J54" s="98">
        <v>0</v>
      </c>
      <c r="K54" s="98">
        <v>0</v>
      </c>
      <c r="L54" s="98" t="s">
        <v>537</v>
      </c>
      <c r="M54" s="98">
        <v>0</v>
      </c>
      <c r="N54" s="98">
        <v>0</v>
      </c>
      <c r="O54" s="98">
        <v>0</v>
      </c>
      <c r="P54" s="98" t="s">
        <v>537</v>
      </c>
      <c r="Q54" s="98">
        <v>0</v>
      </c>
      <c r="R54" s="98">
        <v>0</v>
      </c>
      <c r="S54" s="98">
        <v>0</v>
      </c>
      <c r="T54" s="98" t="s">
        <v>537</v>
      </c>
      <c r="U54" s="98">
        <v>0</v>
      </c>
      <c r="V54" s="346">
        <f t="shared" si="4"/>
        <v>4</v>
      </c>
      <c r="W54" s="98">
        <v>0</v>
      </c>
      <c r="X54" s="98" t="s">
        <v>537</v>
      </c>
      <c r="Y54" s="98">
        <v>0</v>
      </c>
      <c r="Z54" s="98">
        <v>0</v>
      </c>
      <c r="AA54" s="98">
        <v>0</v>
      </c>
      <c r="AB54" s="96" t="s">
        <v>537</v>
      </c>
      <c r="AC54" s="96">
        <f t="shared" si="5"/>
        <v>4</v>
      </c>
    </row>
    <row r="55" spans="1:29" x14ac:dyDescent="0.25">
      <c r="A55" s="41" t="s">
        <v>130</v>
      </c>
      <c r="B55" s="168" t="s">
        <v>124</v>
      </c>
      <c r="C55" s="96" t="s">
        <v>537</v>
      </c>
      <c r="D55" s="96">
        <v>0</v>
      </c>
      <c r="E55" s="96">
        <f t="shared" si="2"/>
        <v>0</v>
      </c>
      <c r="F55" s="98">
        <f t="shared" si="3"/>
        <v>0</v>
      </c>
      <c r="G55" s="98">
        <v>0</v>
      </c>
      <c r="H55" s="96" t="s">
        <v>537</v>
      </c>
      <c r="I55" s="98">
        <v>0</v>
      </c>
      <c r="J55" s="98">
        <v>0</v>
      </c>
      <c r="K55" s="98">
        <v>0</v>
      </c>
      <c r="L55" s="98" t="s">
        <v>537</v>
      </c>
      <c r="M55" s="98">
        <v>0</v>
      </c>
      <c r="N55" s="98">
        <v>0</v>
      </c>
      <c r="O55" s="98">
        <v>0</v>
      </c>
      <c r="P55" s="98" t="s">
        <v>537</v>
      </c>
      <c r="Q55" s="98">
        <v>0</v>
      </c>
      <c r="R55" s="98">
        <v>0</v>
      </c>
      <c r="S55" s="98">
        <v>0</v>
      </c>
      <c r="T55" s="98" t="s">
        <v>537</v>
      </c>
      <c r="U55" s="98">
        <v>0</v>
      </c>
      <c r="V55" s="346">
        <f t="shared" si="4"/>
        <v>0</v>
      </c>
      <c r="W55" s="98">
        <v>0</v>
      </c>
      <c r="X55" s="98" t="s">
        <v>537</v>
      </c>
      <c r="Y55" s="98">
        <v>0</v>
      </c>
      <c r="Z55" s="98">
        <v>0</v>
      </c>
      <c r="AA55" s="98">
        <v>0</v>
      </c>
      <c r="AB55" s="96" t="s">
        <v>537</v>
      </c>
      <c r="AC55" s="96">
        <f t="shared" si="5"/>
        <v>0</v>
      </c>
    </row>
    <row r="56" spans="1:29" x14ac:dyDescent="0.25">
      <c r="A56" s="41" t="s">
        <v>129</v>
      </c>
      <c r="B56" s="168" t="s">
        <v>123</v>
      </c>
      <c r="C56" s="96" t="s">
        <v>537</v>
      </c>
      <c r="D56" s="96">
        <f>D41</f>
        <v>2.5</v>
      </c>
      <c r="E56" s="96">
        <f t="shared" si="2"/>
        <v>2.5</v>
      </c>
      <c r="F56" s="98">
        <f t="shared" si="3"/>
        <v>2.5</v>
      </c>
      <c r="G56" s="98">
        <v>0</v>
      </c>
      <c r="H56" s="96" t="s">
        <v>537</v>
      </c>
      <c r="I56" s="98">
        <v>0</v>
      </c>
      <c r="J56" s="98">
        <v>0</v>
      </c>
      <c r="K56" s="98">
        <v>0</v>
      </c>
      <c r="L56" s="98" t="s">
        <v>537</v>
      </c>
      <c r="M56" s="98">
        <v>0</v>
      </c>
      <c r="N56" s="98">
        <v>0</v>
      </c>
      <c r="O56" s="98">
        <v>0</v>
      </c>
      <c r="P56" s="98" t="s">
        <v>537</v>
      </c>
      <c r="Q56" s="98">
        <v>0</v>
      </c>
      <c r="R56" s="98">
        <v>0</v>
      </c>
      <c r="S56" s="98">
        <v>0</v>
      </c>
      <c r="T56" s="98" t="s">
        <v>537</v>
      </c>
      <c r="U56" s="98">
        <v>0</v>
      </c>
      <c r="V56" s="346">
        <f t="shared" si="4"/>
        <v>2.5</v>
      </c>
      <c r="W56" s="98">
        <v>0</v>
      </c>
      <c r="X56" s="98" t="s">
        <v>537</v>
      </c>
      <c r="Y56" s="98">
        <v>0</v>
      </c>
      <c r="Z56" s="98">
        <v>0</v>
      </c>
      <c r="AA56" s="98">
        <v>0</v>
      </c>
      <c r="AB56" s="96" t="s">
        <v>537</v>
      </c>
      <c r="AC56" s="96">
        <f t="shared" si="5"/>
        <v>2.5</v>
      </c>
    </row>
    <row r="57" spans="1:29" ht="18.75" x14ac:dyDescent="0.25">
      <c r="A57" s="41" t="s">
        <v>128</v>
      </c>
      <c r="B57" s="168" t="s">
        <v>543</v>
      </c>
      <c r="C57" s="96" t="s">
        <v>537</v>
      </c>
      <c r="D57" s="96">
        <v>0</v>
      </c>
      <c r="E57" s="96">
        <f t="shared" si="2"/>
        <v>0</v>
      </c>
      <c r="F57" s="98">
        <f t="shared" si="3"/>
        <v>0</v>
      </c>
      <c r="G57" s="98">
        <v>0</v>
      </c>
      <c r="H57" s="96" t="s">
        <v>537</v>
      </c>
      <c r="I57" s="98">
        <v>0</v>
      </c>
      <c r="J57" s="98">
        <v>0</v>
      </c>
      <c r="K57" s="98">
        <v>0</v>
      </c>
      <c r="L57" s="98" t="s">
        <v>537</v>
      </c>
      <c r="M57" s="98">
        <v>0</v>
      </c>
      <c r="N57" s="98">
        <v>0</v>
      </c>
      <c r="O57" s="98">
        <v>0</v>
      </c>
      <c r="P57" s="98" t="s">
        <v>537</v>
      </c>
      <c r="Q57" s="98">
        <v>0</v>
      </c>
      <c r="R57" s="98">
        <v>0</v>
      </c>
      <c r="S57" s="98">
        <v>0</v>
      </c>
      <c r="T57" s="98" t="s">
        <v>537</v>
      </c>
      <c r="U57" s="98">
        <v>0</v>
      </c>
      <c r="V57" s="346">
        <f t="shared" si="4"/>
        <v>0</v>
      </c>
      <c r="W57" s="98">
        <v>0</v>
      </c>
      <c r="X57" s="98" t="s">
        <v>537</v>
      </c>
      <c r="Y57" s="98">
        <v>0</v>
      </c>
      <c r="Z57" s="98">
        <v>0</v>
      </c>
      <c r="AA57" s="98">
        <v>0</v>
      </c>
      <c r="AB57" s="96" t="s">
        <v>537</v>
      </c>
      <c r="AC57" s="96">
        <f t="shared" si="5"/>
        <v>0</v>
      </c>
    </row>
    <row r="58" spans="1:29" s="338" customFormat="1" ht="36.75" customHeight="1" x14ac:dyDescent="0.25">
      <c r="A58" s="44" t="s">
        <v>56</v>
      </c>
      <c r="B58" s="169" t="s">
        <v>207</v>
      </c>
      <c r="C58" s="96" t="s">
        <v>537</v>
      </c>
      <c r="D58" s="96">
        <v>0</v>
      </c>
      <c r="E58" s="96">
        <f t="shared" si="2"/>
        <v>0</v>
      </c>
      <c r="F58" s="98">
        <f t="shared" si="3"/>
        <v>0</v>
      </c>
      <c r="G58" s="98">
        <v>0</v>
      </c>
      <c r="H58" s="96" t="s">
        <v>537</v>
      </c>
      <c r="I58" s="96">
        <v>0</v>
      </c>
      <c r="J58" s="98">
        <v>0</v>
      </c>
      <c r="K58" s="96">
        <v>0</v>
      </c>
      <c r="L58" s="98" t="s">
        <v>537</v>
      </c>
      <c r="M58" s="96">
        <v>0</v>
      </c>
      <c r="N58" s="98">
        <v>0</v>
      </c>
      <c r="O58" s="98">
        <v>0</v>
      </c>
      <c r="P58" s="98" t="s">
        <v>537</v>
      </c>
      <c r="Q58" s="96">
        <v>0</v>
      </c>
      <c r="R58" s="98">
        <v>0</v>
      </c>
      <c r="S58" s="96">
        <v>0</v>
      </c>
      <c r="T58" s="98" t="s">
        <v>537</v>
      </c>
      <c r="U58" s="96">
        <v>0</v>
      </c>
      <c r="V58" s="346">
        <f t="shared" si="4"/>
        <v>0</v>
      </c>
      <c r="W58" s="96">
        <v>0</v>
      </c>
      <c r="X58" s="98" t="s">
        <v>537</v>
      </c>
      <c r="Y58" s="96">
        <v>0</v>
      </c>
      <c r="Z58" s="96">
        <v>0</v>
      </c>
      <c r="AA58" s="96">
        <v>0</v>
      </c>
      <c r="AB58" s="96" t="s">
        <v>537</v>
      </c>
      <c r="AC58" s="96">
        <f>SUM(J58,N58,R58,V58,Z58)</f>
        <v>0</v>
      </c>
    </row>
    <row r="59" spans="1:29" s="338" customFormat="1" x14ac:dyDescent="0.25">
      <c r="A59" s="44" t="s">
        <v>54</v>
      </c>
      <c r="B59" s="43" t="s">
        <v>127</v>
      </c>
      <c r="C59" s="96" t="s">
        <v>537</v>
      </c>
      <c r="D59" s="96">
        <v>0</v>
      </c>
      <c r="E59" s="96">
        <f t="shared" si="2"/>
        <v>0</v>
      </c>
      <c r="F59" s="98">
        <f t="shared" si="3"/>
        <v>0</v>
      </c>
      <c r="G59" s="98">
        <v>0</v>
      </c>
      <c r="H59" s="96" t="s">
        <v>537</v>
      </c>
      <c r="I59" s="96">
        <v>0</v>
      </c>
      <c r="J59" s="98">
        <v>0</v>
      </c>
      <c r="K59" s="96">
        <v>0</v>
      </c>
      <c r="L59" s="98" t="s">
        <v>537</v>
      </c>
      <c r="M59" s="96">
        <v>0</v>
      </c>
      <c r="N59" s="98">
        <v>0</v>
      </c>
      <c r="O59" s="98">
        <v>0</v>
      </c>
      <c r="P59" s="98" t="s">
        <v>537</v>
      </c>
      <c r="Q59" s="96">
        <v>0</v>
      </c>
      <c r="R59" s="98">
        <v>0</v>
      </c>
      <c r="S59" s="96">
        <v>0</v>
      </c>
      <c r="T59" s="98" t="s">
        <v>537</v>
      </c>
      <c r="U59" s="96">
        <v>0</v>
      </c>
      <c r="V59" s="346">
        <f t="shared" si="4"/>
        <v>0</v>
      </c>
      <c r="W59" s="96">
        <v>0</v>
      </c>
      <c r="X59" s="98" t="s">
        <v>537</v>
      </c>
      <c r="Y59" s="96">
        <v>0</v>
      </c>
      <c r="Z59" s="96">
        <v>0</v>
      </c>
      <c r="AA59" s="96">
        <v>0</v>
      </c>
      <c r="AB59" s="96" t="s">
        <v>537</v>
      </c>
      <c r="AC59" s="96">
        <f t="shared" si="5"/>
        <v>0</v>
      </c>
    </row>
    <row r="60" spans="1:29" x14ac:dyDescent="0.25">
      <c r="A60" s="41" t="s">
        <v>201</v>
      </c>
      <c r="B60" s="170" t="s">
        <v>147</v>
      </c>
      <c r="C60" s="96" t="s">
        <v>537</v>
      </c>
      <c r="D60" s="96">
        <v>0</v>
      </c>
      <c r="E60" s="96">
        <f t="shared" si="2"/>
        <v>0</v>
      </c>
      <c r="F60" s="98">
        <f t="shared" si="3"/>
        <v>0</v>
      </c>
      <c r="G60" s="98">
        <v>0</v>
      </c>
      <c r="H60" s="96" t="s">
        <v>537</v>
      </c>
      <c r="I60" s="98">
        <v>0</v>
      </c>
      <c r="J60" s="98">
        <v>0</v>
      </c>
      <c r="K60" s="98">
        <v>0</v>
      </c>
      <c r="L60" s="98" t="s">
        <v>537</v>
      </c>
      <c r="M60" s="98">
        <v>0</v>
      </c>
      <c r="N60" s="98">
        <v>0</v>
      </c>
      <c r="O60" s="98">
        <v>0</v>
      </c>
      <c r="P60" s="98" t="s">
        <v>537</v>
      </c>
      <c r="Q60" s="98">
        <v>0</v>
      </c>
      <c r="R60" s="98">
        <v>0</v>
      </c>
      <c r="S60" s="98">
        <v>0</v>
      </c>
      <c r="T60" s="98" t="s">
        <v>537</v>
      </c>
      <c r="U60" s="98">
        <v>0</v>
      </c>
      <c r="V60" s="346">
        <f t="shared" si="4"/>
        <v>0</v>
      </c>
      <c r="W60" s="98">
        <v>0</v>
      </c>
      <c r="X60" s="98" t="s">
        <v>537</v>
      </c>
      <c r="Y60" s="98">
        <v>0</v>
      </c>
      <c r="Z60" s="98">
        <v>0</v>
      </c>
      <c r="AA60" s="98">
        <v>0</v>
      </c>
      <c r="AB60" s="96" t="s">
        <v>537</v>
      </c>
      <c r="AC60" s="96">
        <f t="shared" si="5"/>
        <v>0</v>
      </c>
    </row>
    <row r="61" spans="1:29" x14ac:dyDescent="0.25">
      <c r="A61" s="41" t="s">
        <v>202</v>
      </c>
      <c r="B61" s="170" t="s">
        <v>145</v>
      </c>
      <c r="C61" s="96" t="s">
        <v>537</v>
      </c>
      <c r="D61" s="96">
        <v>0</v>
      </c>
      <c r="E61" s="96">
        <f t="shared" si="2"/>
        <v>0</v>
      </c>
      <c r="F61" s="98">
        <f t="shared" si="3"/>
        <v>0</v>
      </c>
      <c r="G61" s="98">
        <v>0</v>
      </c>
      <c r="H61" s="96" t="s">
        <v>537</v>
      </c>
      <c r="I61" s="98">
        <v>0</v>
      </c>
      <c r="J61" s="98">
        <v>0</v>
      </c>
      <c r="K61" s="98">
        <v>0</v>
      </c>
      <c r="L61" s="98" t="s">
        <v>537</v>
      </c>
      <c r="M61" s="98">
        <v>0</v>
      </c>
      <c r="N61" s="98">
        <v>0</v>
      </c>
      <c r="O61" s="98">
        <v>0</v>
      </c>
      <c r="P61" s="98" t="s">
        <v>537</v>
      </c>
      <c r="Q61" s="98">
        <v>0</v>
      </c>
      <c r="R61" s="98">
        <v>0</v>
      </c>
      <c r="S61" s="98">
        <v>0</v>
      </c>
      <c r="T61" s="98" t="s">
        <v>537</v>
      </c>
      <c r="U61" s="98">
        <v>0</v>
      </c>
      <c r="V61" s="346">
        <f t="shared" si="4"/>
        <v>0</v>
      </c>
      <c r="W61" s="98">
        <v>0</v>
      </c>
      <c r="X61" s="98" t="s">
        <v>537</v>
      </c>
      <c r="Y61" s="98">
        <v>0</v>
      </c>
      <c r="Z61" s="98">
        <v>0</v>
      </c>
      <c r="AA61" s="98">
        <v>0</v>
      </c>
      <c r="AB61" s="96" t="s">
        <v>537</v>
      </c>
      <c r="AC61" s="96">
        <f t="shared" si="5"/>
        <v>0</v>
      </c>
    </row>
    <row r="62" spans="1:29" x14ac:dyDescent="0.25">
      <c r="A62" s="41" t="s">
        <v>203</v>
      </c>
      <c r="B62" s="170" t="s">
        <v>143</v>
      </c>
      <c r="C62" s="96" t="s">
        <v>537</v>
      </c>
      <c r="D62" s="96">
        <v>0</v>
      </c>
      <c r="E62" s="96">
        <f t="shared" si="2"/>
        <v>0</v>
      </c>
      <c r="F62" s="98">
        <f t="shared" si="3"/>
        <v>0</v>
      </c>
      <c r="G62" s="98">
        <v>0</v>
      </c>
      <c r="H62" s="96" t="s">
        <v>537</v>
      </c>
      <c r="I62" s="98">
        <v>0</v>
      </c>
      <c r="J62" s="98">
        <v>0</v>
      </c>
      <c r="K62" s="98">
        <v>0</v>
      </c>
      <c r="L62" s="98" t="s">
        <v>537</v>
      </c>
      <c r="M62" s="98">
        <v>0</v>
      </c>
      <c r="N62" s="98">
        <v>0</v>
      </c>
      <c r="O62" s="98">
        <v>0</v>
      </c>
      <c r="P62" s="98" t="s">
        <v>537</v>
      </c>
      <c r="Q62" s="98">
        <v>0</v>
      </c>
      <c r="R62" s="98">
        <v>0</v>
      </c>
      <c r="S62" s="98">
        <v>0</v>
      </c>
      <c r="T62" s="98" t="s">
        <v>537</v>
      </c>
      <c r="U62" s="98">
        <v>0</v>
      </c>
      <c r="V62" s="346">
        <f t="shared" si="4"/>
        <v>0</v>
      </c>
      <c r="W62" s="98">
        <v>0</v>
      </c>
      <c r="X62" s="98" t="s">
        <v>537</v>
      </c>
      <c r="Y62" s="98">
        <v>0</v>
      </c>
      <c r="Z62" s="98">
        <v>0</v>
      </c>
      <c r="AA62" s="98">
        <v>0</v>
      </c>
      <c r="AB62" s="96" t="s">
        <v>537</v>
      </c>
      <c r="AC62" s="96">
        <f t="shared" si="5"/>
        <v>0</v>
      </c>
    </row>
    <row r="63" spans="1:29" x14ac:dyDescent="0.25">
      <c r="A63" s="41" t="s">
        <v>204</v>
      </c>
      <c r="B63" s="170" t="s">
        <v>206</v>
      </c>
      <c r="C63" s="96" t="s">
        <v>537</v>
      </c>
      <c r="D63" s="96">
        <v>0</v>
      </c>
      <c r="E63" s="96">
        <f t="shared" si="2"/>
        <v>0</v>
      </c>
      <c r="F63" s="98">
        <f t="shared" si="3"/>
        <v>0</v>
      </c>
      <c r="G63" s="98">
        <v>0</v>
      </c>
      <c r="H63" s="96" t="s">
        <v>537</v>
      </c>
      <c r="I63" s="98">
        <v>0</v>
      </c>
      <c r="J63" s="98">
        <v>0</v>
      </c>
      <c r="K63" s="98">
        <v>0</v>
      </c>
      <c r="L63" s="98" t="s">
        <v>537</v>
      </c>
      <c r="M63" s="98">
        <v>0</v>
      </c>
      <c r="N63" s="98">
        <v>0</v>
      </c>
      <c r="O63" s="98">
        <v>0</v>
      </c>
      <c r="P63" s="98" t="s">
        <v>537</v>
      </c>
      <c r="Q63" s="98">
        <v>0</v>
      </c>
      <c r="R63" s="98">
        <v>0</v>
      </c>
      <c r="S63" s="98">
        <v>0</v>
      </c>
      <c r="T63" s="98" t="s">
        <v>537</v>
      </c>
      <c r="U63" s="98">
        <v>0</v>
      </c>
      <c r="V63" s="346">
        <f t="shared" si="4"/>
        <v>0</v>
      </c>
      <c r="W63" s="98">
        <v>0</v>
      </c>
      <c r="X63" s="98" t="s">
        <v>537</v>
      </c>
      <c r="Y63" s="98">
        <v>0</v>
      </c>
      <c r="Z63" s="98">
        <v>0</v>
      </c>
      <c r="AA63" s="98">
        <v>0</v>
      </c>
      <c r="AB63" s="96" t="s">
        <v>537</v>
      </c>
      <c r="AC63" s="96">
        <f t="shared" si="5"/>
        <v>0</v>
      </c>
    </row>
    <row r="64" spans="1:29" ht="18.75" x14ac:dyDescent="0.25">
      <c r="A64" s="41" t="s">
        <v>205</v>
      </c>
      <c r="B64" s="168" t="s">
        <v>543</v>
      </c>
      <c r="C64" s="96" t="s">
        <v>537</v>
      </c>
      <c r="D64" s="96">
        <v>0</v>
      </c>
      <c r="E64" s="96">
        <f t="shared" si="2"/>
        <v>0</v>
      </c>
      <c r="F64" s="98">
        <f t="shared" si="3"/>
        <v>0</v>
      </c>
      <c r="G64" s="98">
        <v>0</v>
      </c>
      <c r="H64" s="96" t="s">
        <v>537</v>
      </c>
      <c r="I64" s="98">
        <v>0</v>
      </c>
      <c r="J64" s="98">
        <v>0</v>
      </c>
      <c r="K64" s="98">
        <v>0</v>
      </c>
      <c r="L64" s="98" t="s">
        <v>537</v>
      </c>
      <c r="M64" s="98">
        <v>0</v>
      </c>
      <c r="N64" s="98">
        <v>0</v>
      </c>
      <c r="O64" s="98">
        <v>0</v>
      </c>
      <c r="P64" s="98" t="s">
        <v>537</v>
      </c>
      <c r="Q64" s="98">
        <v>0</v>
      </c>
      <c r="R64" s="98">
        <v>0</v>
      </c>
      <c r="S64" s="98">
        <v>0</v>
      </c>
      <c r="T64" s="98" t="s">
        <v>537</v>
      </c>
      <c r="U64" s="98">
        <v>0</v>
      </c>
      <c r="V64" s="346">
        <f t="shared" si="4"/>
        <v>0</v>
      </c>
      <c r="W64" s="98">
        <v>0</v>
      </c>
      <c r="X64" s="98" t="s">
        <v>537</v>
      </c>
      <c r="Y64" s="98">
        <v>0</v>
      </c>
      <c r="Z64" s="98">
        <v>0</v>
      </c>
      <c r="AA64" s="98">
        <v>0</v>
      </c>
      <c r="AB64" s="96" t="s">
        <v>537</v>
      </c>
      <c r="AC64" s="96">
        <f t="shared" si="5"/>
        <v>0</v>
      </c>
    </row>
    <row r="65" spans="1:28" x14ac:dyDescent="0.25">
      <c r="A65" s="38"/>
      <c r="B65" s="33"/>
      <c r="C65" s="33"/>
      <c r="D65" s="33"/>
      <c r="E65" s="33"/>
      <c r="F65" s="33"/>
      <c r="G65" s="33"/>
    </row>
    <row r="66" spans="1:28" ht="54" customHeight="1" x14ac:dyDescent="0.25">
      <c r="B66" s="421"/>
      <c r="C66" s="421"/>
      <c r="D66" s="421"/>
      <c r="E66" s="421"/>
      <c r="F66" s="421"/>
      <c r="G66" s="35"/>
      <c r="H66" s="37"/>
      <c r="I66" s="37"/>
      <c r="J66" s="37"/>
      <c r="K66" s="37"/>
      <c r="L66" s="37"/>
      <c r="M66" s="37"/>
      <c r="N66" s="337"/>
      <c r="O66" s="37"/>
      <c r="P66" s="37"/>
      <c r="Q66" s="37"/>
      <c r="R66" s="37"/>
      <c r="S66" s="37"/>
      <c r="T66" s="37"/>
      <c r="U66" s="37"/>
      <c r="V66" s="37"/>
      <c r="W66" s="37"/>
      <c r="X66" s="37"/>
      <c r="Y66" s="37"/>
      <c r="Z66" s="37"/>
      <c r="AA66" s="37"/>
      <c r="AB66" s="37"/>
    </row>
    <row r="68" spans="1:28" ht="50.25" customHeight="1" x14ac:dyDescent="0.25">
      <c r="B68" s="421"/>
      <c r="C68" s="421"/>
      <c r="D68" s="421"/>
      <c r="E68" s="421"/>
      <c r="F68" s="421"/>
      <c r="G68" s="35"/>
    </row>
    <row r="70" spans="1:28" ht="36.75" customHeight="1" x14ac:dyDescent="0.25">
      <c r="B70" s="421"/>
      <c r="C70" s="421"/>
      <c r="D70" s="421"/>
      <c r="E70" s="421"/>
      <c r="F70" s="421"/>
      <c r="G70" s="35"/>
    </row>
    <row r="72" spans="1:28" ht="51" customHeight="1" x14ac:dyDescent="0.25">
      <c r="B72" s="421"/>
      <c r="C72" s="421"/>
      <c r="D72" s="421"/>
      <c r="E72" s="421"/>
      <c r="F72" s="421"/>
      <c r="G72" s="35"/>
    </row>
    <row r="73" spans="1:28" ht="32.25" customHeight="1" x14ac:dyDescent="0.25">
      <c r="B73" s="421"/>
      <c r="C73" s="421"/>
      <c r="D73" s="421"/>
      <c r="E73" s="421"/>
      <c r="F73" s="421"/>
      <c r="G73" s="35"/>
    </row>
    <row r="74" spans="1:28" ht="51.75" customHeight="1" x14ac:dyDescent="0.25">
      <c r="B74" s="421"/>
      <c r="C74" s="421"/>
      <c r="D74" s="421"/>
      <c r="E74" s="421"/>
      <c r="F74" s="421"/>
      <c r="G74" s="35"/>
    </row>
    <row r="75" spans="1:28" ht="21.75" customHeight="1" x14ac:dyDescent="0.25">
      <c r="B75" s="427"/>
      <c r="C75" s="427"/>
      <c r="D75" s="427"/>
      <c r="E75" s="427"/>
      <c r="F75" s="427"/>
      <c r="G75" s="34"/>
    </row>
    <row r="76" spans="1:28" ht="23.25" customHeight="1" x14ac:dyDescent="0.25"/>
    <row r="77" spans="1:28" ht="18.75" customHeight="1" x14ac:dyDescent="0.25">
      <c r="B77" s="420"/>
      <c r="C77" s="420"/>
      <c r="D77" s="420"/>
      <c r="E77" s="420"/>
      <c r="F77" s="420"/>
      <c r="G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M1" zoomScale="70" zoomScaleSheetLayoutView="70" workbookViewId="0">
      <selection activeCell="Z26" sqref="Z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0" t="str">
        <f>'1. паспорт местоположение'!A5:C5</f>
        <v>Год раскрытия информации: 2023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ht="18.75" x14ac:dyDescent="0.3">
      <c r="AV6" s="12"/>
    </row>
    <row r="7" spans="1:48" ht="18.75" x14ac:dyDescent="0.25">
      <c r="A7" s="357" t="s">
        <v>7</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ht="18.75"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row>
    <row r="9" spans="1:48" ht="15.75" x14ac:dyDescent="0.25">
      <c r="A9" s="355" t="str">
        <f>'1. паспорт местоположение'!A9:C9</f>
        <v xml:space="preserve">Акционерное общество "Западная энергетическая компания" </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M9" s="355"/>
      <c r="AN9" s="355"/>
      <c r="AO9" s="355"/>
      <c r="AP9" s="355"/>
      <c r="AQ9" s="355"/>
      <c r="AR9" s="355"/>
      <c r="AS9" s="355"/>
      <c r="AT9" s="355"/>
      <c r="AU9" s="355"/>
      <c r="AV9" s="355"/>
    </row>
    <row r="10" spans="1:48" ht="15.75" x14ac:dyDescent="0.25">
      <c r="A10" s="361" t="s">
        <v>6</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row>
    <row r="12" spans="1:48" ht="15.75" x14ac:dyDescent="0.25">
      <c r="A12" s="362" t="str">
        <f>'1. паспорт местоположение'!A12:C12</f>
        <v>M_22-21</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362"/>
      <c r="AJ12" s="362"/>
      <c r="AK12" s="362"/>
      <c r="AL12" s="362"/>
      <c r="AM12" s="362"/>
      <c r="AN12" s="362"/>
      <c r="AO12" s="362"/>
      <c r="AP12" s="362"/>
      <c r="AQ12" s="362"/>
      <c r="AR12" s="362"/>
      <c r="AS12" s="362"/>
      <c r="AT12" s="362"/>
      <c r="AU12" s="362"/>
      <c r="AV12" s="362"/>
    </row>
    <row r="13" spans="1:48" ht="15.75" x14ac:dyDescent="0.25">
      <c r="A13" s="361" t="s">
        <v>5</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x14ac:dyDescent="0.25">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63"/>
      <c r="AL14" s="363"/>
      <c r="AM14" s="363"/>
      <c r="AN14" s="363"/>
      <c r="AO14" s="363"/>
      <c r="AP14" s="363"/>
      <c r="AQ14" s="363"/>
      <c r="AR14" s="363"/>
      <c r="AS14" s="363"/>
      <c r="AT14" s="363"/>
      <c r="AU14" s="363"/>
      <c r="AV14" s="363"/>
    </row>
    <row r="15" spans="1:48" ht="15.75" x14ac:dyDescent="0.25">
      <c r="A15" s="355" t="str">
        <f>'1. паспорт местоположение'!A15:C15</f>
        <v>Электроснабжение объекта "Кампус ФГАЩУ ВО "БФУ им. И. Канта" г.Калининград, ул.Невского 14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c r="AP15" s="355"/>
      <c r="AQ15" s="355"/>
      <c r="AR15" s="355"/>
      <c r="AS15" s="355"/>
      <c r="AT15" s="355"/>
      <c r="AU15" s="355"/>
      <c r="AV15" s="355"/>
    </row>
    <row r="16" spans="1:48" ht="15.75" x14ac:dyDescent="0.25">
      <c r="A16" s="361" t="s">
        <v>4</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383"/>
      <c r="AK17" s="383"/>
      <c r="AL17" s="383"/>
      <c r="AM17" s="383"/>
      <c r="AN17" s="383"/>
      <c r="AO17" s="383"/>
      <c r="AP17" s="383"/>
      <c r="AQ17" s="383"/>
      <c r="AR17" s="383"/>
      <c r="AS17" s="383"/>
      <c r="AT17" s="383"/>
      <c r="AU17" s="383"/>
      <c r="AV17" s="383"/>
    </row>
    <row r="18" spans="1:48" ht="14.25" customHeight="1"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c r="AH18" s="383"/>
      <c r="AI18" s="383"/>
      <c r="AJ18" s="383"/>
      <c r="AK18" s="383"/>
      <c r="AL18" s="383"/>
      <c r="AM18" s="383"/>
      <c r="AN18" s="383"/>
      <c r="AO18" s="383"/>
      <c r="AP18" s="383"/>
      <c r="AQ18" s="383"/>
      <c r="AR18" s="383"/>
      <c r="AS18" s="383"/>
      <c r="AT18" s="383"/>
      <c r="AU18" s="383"/>
      <c r="AV18" s="383"/>
    </row>
    <row r="19" spans="1:4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383"/>
      <c r="AS19" s="383"/>
      <c r="AT19" s="383"/>
      <c r="AU19" s="383"/>
      <c r="AV19" s="383"/>
    </row>
    <row r="20" spans="1:48" x14ac:dyDescent="0.25">
      <c r="A20" s="383"/>
      <c r="B20" s="383"/>
      <c r="C20" s="383"/>
      <c r="D20" s="383"/>
      <c r="E20" s="383"/>
      <c r="F20" s="383"/>
      <c r="G20" s="383"/>
      <c r="H20" s="383"/>
      <c r="I20" s="383"/>
      <c r="J20" s="383"/>
      <c r="K20" s="383"/>
      <c r="L20" s="383"/>
      <c r="M20" s="383"/>
      <c r="N20" s="383"/>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383"/>
      <c r="AP20" s="383"/>
      <c r="AQ20" s="383"/>
      <c r="AR20" s="383"/>
      <c r="AS20" s="383"/>
      <c r="AT20" s="383"/>
      <c r="AU20" s="383"/>
      <c r="AV20" s="383"/>
    </row>
    <row r="21" spans="1:48" x14ac:dyDescent="0.25">
      <c r="A21" s="450" t="s">
        <v>406</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ht="58.5" customHeight="1" x14ac:dyDescent="0.25">
      <c r="A22" s="451" t="s">
        <v>50</v>
      </c>
      <c r="B22" s="455" t="s">
        <v>22</v>
      </c>
      <c r="C22" s="441" t="s">
        <v>49</v>
      </c>
      <c r="D22" s="441" t="s">
        <v>48</v>
      </c>
      <c r="E22" s="458" t="s">
        <v>416</v>
      </c>
      <c r="F22" s="459"/>
      <c r="G22" s="459"/>
      <c r="H22" s="459"/>
      <c r="I22" s="459"/>
      <c r="J22" s="459"/>
      <c r="K22" s="459"/>
      <c r="L22" s="460"/>
      <c r="M22" s="441" t="s">
        <v>47</v>
      </c>
      <c r="N22" s="441" t="s">
        <v>46</v>
      </c>
      <c r="O22" s="441" t="s">
        <v>45</v>
      </c>
      <c r="P22" s="436" t="s">
        <v>228</v>
      </c>
      <c r="Q22" s="436" t="s">
        <v>44</v>
      </c>
      <c r="R22" s="436" t="s">
        <v>43</v>
      </c>
      <c r="S22" s="436" t="s">
        <v>42</v>
      </c>
      <c r="T22" s="436"/>
      <c r="U22" s="443" t="s">
        <v>41</v>
      </c>
      <c r="V22" s="443" t="s">
        <v>40</v>
      </c>
      <c r="W22" s="436" t="s">
        <v>39</v>
      </c>
      <c r="X22" s="436" t="s">
        <v>38</v>
      </c>
      <c r="Y22" s="436" t="s">
        <v>37</v>
      </c>
      <c r="Z22" s="443" t="s">
        <v>36</v>
      </c>
      <c r="AA22" s="436" t="s">
        <v>35</v>
      </c>
      <c r="AB22" s="436" t="s">
        <v>34</v>
      </c>
      <c r="AC22" s="436" t="s">
        <v>33</v>
      </c>
      <c r="AD22" s="436" t="s">
        <v>32</v>
      </c>
      <c r="AE22" s="436" t="s">
        <v>31</v>
      </c>
      <c r="AF22" s="436" t="s">
        <v>30</v>
      </c>
      <c r="AG22" s="436"/>
      <c r="AH22" s="436"/>
      <c r="AI22" s="436"/>
      <c r="AJ22" s="436"/>
      <c r="AK22" s="436"/>
      <c r="AL22" s="436" t="s">
        <v>29</v>
      </c>
      <c r="AM22" s="436"/>
      <c r="AN22" s="436"/>
      <c r="AO22" s="436"/>
      <c r="AP22" s="436" t="s">
        <v>28</v>
      </c>
      <c r="AQ22" s="436"/>
      <c r="AR22" s="436" t="s">
        <v>27</v>
      </c>
      <c r="AS22" s="436" t="s">
        <v>26</v>
      </c>
      <c r="AT22" s="436" t="s">
        <v>25</v>
      </c>
      <c r="AU22" s="436" t="s">
        <v>24</v>
      </c>
      <c r="AV22" s="444" t="s">
        <v>23</v>
      </c>
    </row>
    <row r="23" spans="1:48" ht="64.5" customHeight="1" x14ac:dyDescent="0.25">
      <c r="A23" s="452"/>
      <c r="B23" s="456"/>
      <c r="C23" s="454"/>
      <c r="D23" s="454"/>
      <c r="E23" s="446" t="s">
        <v>21</v>
      </c>
      <c r="F23" s="437" t="s">
        <v>126</v>
      </c>
      <c r="G23" s="437" t="s">
        <v>125</v>
      </c>
      <c r="H23" s="437" t="s">
        <v>124</v>
      </c>
      <c r="I23" s="439" t="s">
        <v>353</v>
      </c>
      <c r="J23" s="439" t="s">
        <v>354</v>
      </c>
      <c r="K23" s="439" t="s">
        <v>355</v>
      </c>
      <c r="L23" s="437" t="s">
        <v>74</v>
      </c>
      <c r="M23" s="454"/>
      <c r="N23" s="454"/>
      <c r="O23" s="454"/>
      <c r="P23" s="436"/>
      <c r="Q23" s="436"/>
      <c r="R23" s="436"/>
      <c r="S23" s="448" t="s">
        <v>2</v>
      </c>
      <c r="T23" s="448" t="s">
        <v>9</v>
      </c>
      <c r="U23" s="443"/>
      <c r="V23" s="443"/>
      <c r="W23" s="436"/>
      <c r="X23" s="436"/>
      <c r="Y23" s="436"/>
      <c r="Z23" s="436"/>
      <c r="AA23" s="436"/>
      <c r="AB23" s="436"/>
      <c r="AC23" s="436"/>
      <c r="AD23" s="436"/>
      <c r="AE23" s="436"/>
      <c r="AF23" s="436" t="s">
        <v>20</v>
      </c>
      <c r="AG23" s="436"/>
      <c r="AH23" s="436" t="s">
        <v>19</v>
      </c>
      <c r="AI23" s="436"/>
      <c r="AJ23" s="441" t="s">
        <v>18</v>
      </c>
      <c r="AK23" s="441" t="s">
        <v>17</v>
      </c>
      <c r="AL23" s="441" t="s">
        <v>16</v>
      </c>
      <c r="AM23" s="441" t="s">
        <v>15</v>
      </c>
      <c r="AN23" s="441" t="s">
        <v>14</v>
      </c>
      <c r="AO23" s="441" t="s">
        <v>13</v>
      </c>
      <c r="AP23" s="441" t="s">
        <v>12</v>
      </c>
      <c r="AQ23" s="441" t="s">
        <v>9</v>
      </c>
      <c r="AR23" s="436"/>
      <c r="AS23" s="436"/>
      <c r="AT23" s="436"/>
      <c r="AU23" s="436"/>
      <c r="AV23" s="445"/>
    </row>
    <row r="24" spans="1:48" ht="96.75" customHeight="1" x14ac:dyDescent="0.25">
      <c r="A24" s="453"/>
      <c r="B24" s="457"/>
      <c r="C24" s="442"/>
      <c r="D24" s="442"/>
      <c r="E24" s="447"/>
      <c r="F24" s="438"/>
      <c r="G24" s="438"/>
      <c r="H24" s="438"/>
      <c r="I24" s="440"/>
      <c r="J24" s="440"/>
      <c r="K24" s="440"/>
      <c r="L24" s="438"/>
      <c r="M24" s="442"/>
      <c r="N24" s="442"/>
      <c r="O24" s="442"/>
      <c r="P24" s="436"/>
      <c r="Q24" s="436"/>
      <c r="R24" s="436"/>
      <c r="S24" s="449"/>
      <c r="T24" s="449"/>
      <c r="U24" s="443"/>
      <c r="V24" s="443"/>
      <c r="W24" s="436"/>
      <c r="X24" s="436"/>
      <c r="Y24" s="436"/>
      <c r="Z24" s="436"/>
      <c r="AA24" s="436"/>
      <c r="AB24" s="436"/>
      <c r="AC24" s="436"/>
      <c r="AD24" s="436"/>
      <c r="AE24" s="436"/>
      <c r="AF24" s="140" t="s">
        <v>11</v>
      </c>
      <c r="AG24" s="140" t="s">
        <v>10</v>
      </c>
      <c r="AH24" s="141" t="s">
        <v>2</v>
      </c>
      <c r="AI24" s="141" t="s">
        <v>9</v>
      </c>
      <c r="AJ24" s="442"/>
      <c r="AK24" s="442"/>
      <c r="AL24" s="442"/>
      <c r="AM24" s="442"/>
      <c r="AN24" s="442"/>
      <c r="AO24" s="442"/>
      <c r="AP24" s="442"/>
      <c r="AQ24" s="442"/>
      <c r="AR24" s="436"/>
      <c r="AS24" s="436"/>
      <c r="AT24" s="436"/>
      <c r="AU24" s="436"/>
      <c r="AV24" s="445"/>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t="str">
        <f>'6.1. Паспорт сетевой график'!D53</f>
        <v>нд</v>
      </c>
      <c r="E26" s="146"/>
      <c r="F26" s="146"/>
      <c r="G26" s="146">
        <f>0.63*2</f>
        <v>1.26</v>
      </c>
      <c r="H26" s="146"/>
      <c r="I26" s="146"/>
      <c r="J26" s="146"/>
      <c r="K26" s="146">
        <f>0.016*2</f>
        <v>3.2000000000000001E-2</v>
      </c>
      <c r="L26" s="146"/>
      <c r="M26" s="146" t="s">
        <v>611</v>
      </c>
      <c r="N26" s="146" t="s">
        <v>596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12" zoomScale="90" zoomScaleNormal="90" zoomScaleSheetLayoutView="90" workbookViewId="0">
      <selection activeCell="B27" sqref="B27"/>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6" t="str">
        <f>'1. паспорт местоположение'!A5:C5</f>
        <v>Год раскрытия информации: 2023 год</v>
      </c>
      <c r="B5" s="466"/>
      <c r="C5" s="52"/>
      <c r="D5" s="52"/>
      <c r="E5" s="52"/>
      <c r="F5" s="52"/>
      <c r="G5" s="52"/>
      <c r="H5" s="52"/>
    </row>
    <row r="6" spans="1:8" ht="18.75" x14ac:dyDescent="0.3">
      <c r="A6" s="83"/>
      <c r="B6" s="83"/>
      <c r="C6" s="83"/>
      <c r="D6" s="83"/>
      <c r="E6" s="83"/>
      <c r="F6" s="83"/>
      <c r="G6" s="83"/>
      <c r="H6" s="83"/>
    </row>
    <row r="7" spans="1:8" ht="18.75" x14ac:dyDescent="0.25">
      <c r="A7" s="357" t="s">
        <v>7</v>
      </c>
      <c r="B7" s="357"/>
      <c r="C7" s="107"/>
      <c r="D7" s="107"/>
      <c r="E7" s="107"/>
      <c r="F7" s="107"/>
      <c r="G7" s="107"/>
      <c r="H7" s="107"/>
    </row>
    <row r="8" spans="1:8" ht="18.75" x14ac:dyDescent="0.25">
      <c r="A8" s="107"/>
      <c r="B8" s="107"/>
      <c r="C8" s="107"/>
      <c r="D8" s="107"/>
      <c r="E8" s="107"/>
      <c r="F8" s="107"/>
      <c r="G8" s="107"/>
      <c r="H8" s="107"/>
    </row>
    <row r="9" spans="1:8" x14ac:dyDescent="0.25">
      <c r="A9" s="355" t="str">
        <f>'1. паспорт местоположение'!A9:C9</f>
        <v xml:space="preserve">Акционерное общество "Западная энергетическая компания" </v>
      </c>
      <c r="B9" s="355"/>
      <c r="C9" s="109"/>
      <c r="D9" s="109"/>
      <c r="E9" s="109"/>
      <c r="F9" s="109"/>
      <c r="G9" s="109"/>
      <c r="H9" s="109"/>
    </row>
    <row r="10" spans="1:8" x14ac:dyDescent="0.25">
      <c r="A10" s="361" t="s">
        <v>6</v>
      </c>
      <c r="B10" s="361"/>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5" t="str">
        <f>'1. паспорт местоположение'!A12:C12</f>
        <v>M_22-21</v>
      </c>
      <c r="B12" s="355"/>
      <c r="C12" s="109"/>
      <c r="D12" s="109"/>
      <c r="E12" s="109"/>
      <c r="F12" s="109"/>
      <c r="G12" s="109"/>
      <c r="H12" s="109"/>
    </row>
    <row r="13" spans="1:8" x14ac:dyDescent="0.25">
      <c r="A13" s="361" t="s">
        <v>5</v>
      </c>
      <c r="B13" s="361"/>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82" t="str">
        <f>'1. паспорт местоположение'!A15:C15</f>
        <v>Электроснабжение объекта "Кампус ФГАЩУ ВО "БФУ им. И. Канта" г.Калининград, ул.Невского 14</v>
      </c>
      <c r="B15" s="382"/>
      <c r="C15" s="109"/>
      <c r="D15" s="109"/>
      <c r="E15" s="109"/>
      <c r="F15" s="109"/>
      <c r="G15" s="109"/>
      <c r="H15" s="109"/>
    </row>
    <row r="16" spans="1:8" x14ac:dyDescent="0.25">
      <c r="A16" s="361" t="s">
        <v>4</v>
      </c>
      <c r="B16" s="361"/>
      <c r="C16" s="110"/>
      <c r="D16" s="110"/>
      <c r="E16" s="110"/>
      <c r="F16" s="110"/>
      <c r="G16" s="110"/>
      <c r="H16" s="110"/>
    </row>
    <row r="17" spans="1:2" x14ac:dyDescent="0.25">
      <c r="B17" s="57"/>
    </row>
    <row r="18" spans="1:2" ht="33.75" customHeight="1" x14ac:dyDescent="0.25">
      <c r="A18" s="461" t="s">
        <v>407</v>
      </c>
      <c r="B18" s="462"/>
    </row>
    <row r="19" spans="1:2" x14ac:dyDescent="0.25">
      <c r="B19" s="24"/>
    </row>
    <row r="20" spans="1:2" ht="16.5" thickBot="1" x14ac:dyDescent="0.3">
      <c r="B20" s="58"/>
    </row>
    <row r="21" spans="1:2" ht="34.15" customHeight="1" thickBot="1" x14ac:dyDescent="0.3">
      <c r="A21" s="59" t="s">
        <v>304</v>
      </c>
      <c r="B21" s="60" t="str">
        <f>A15</f>
        <v>Электроснабжение объекта "Кампус ФГАЩУ ВО "БФУ им. И. Канта" г.Калининград, ул.Невского 14</v>
      </c>
    </row>
    <row r="22" spans="1:2" ht="30" customHeight="1" thickBot="1" x14ac:dyDescent="0.3">
      <c r="A22" s="59" t="s">
        <v>305</v>
      </c>
      <c r="B22" s="60" t="str">
        <f>'1. паспорт местоположение'!C27</f>
        <v>г. Калининград</v>
      </c>
    </row>
    <row r="23" spans="1:2" ht="30.75" thickBot="1" x14ac:dyDescent="0.3">
      <c r="A23" s="59" t="s">
        <v>289</v>
      </c>
      <c r="B23" s="61" t="str">
        <f>B21</f>
        <v>Электроснабжение объекта "Кампус ФГАЩУ ВО "БФУ им. И. Канта" г.Калининград, ул.Невского 14</v>
      </c>
    </row>
    <row r="24" spans="1:2" ht="16.5" thickBot="1" x14ac:dyDescent="0.3">
      <c r="A24" s="59" t="s">
        <v>306</v>
      </c>
      <c r="B24" s="61">
        <f>'6.2. Паспорт фин осв ввод'!D45</f>
        <v>4</v>
      </c>
    </row>
    <row r="25" spans="1:2" ht="16.5" thickBot="1" x14ac:dyDescent="0.3">
      <c r="A25" s="62" t="s">
        <v>307</v>
      </c>
      <c r="B25" s="333">
        <f>'6.1. Паспорт сетевой график'!H53</f>
        <v>45015</v>
      </c>
    </row>
    <row r="26" spans="1:2" ht="16.5" thickBot="1" x14ac:dyDescent="0.3">
      <c r="A26" s="63" t="s">
        <v>308</v>
      </c>
      <c r="B26" s="329" t="str">
        <f>'3.3 паспорт описание'!C30</f>
        <v>С</v>
      </c>
    </row>
    <row r="27" spans="1:2" ht="29.25" thickBot="1" x14ac:dyDescent="0.3">
      <c r="A27" s="70" t="s">
        <v>619</v>
      </c>
      <c r="B27" s="330">
        <f>'6.2. Паспорт фин осв ввод'!D24</f>
        <v>73.608676105260187</v>
      </c>
    </row>
    <row r="28" spans="1:2" ht="42" customHeight="1" thickBot="1" x14ac:dyDescent="0.3">
      <c r="A28" s="65" t="s">
        <v>309</v>
      </c>
      <c r="B28" s="65" t="s">
        <v>597</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t="s">
        <v>657</v>
      </c>
      <c r="B33" s="159">
        <v>32.312425655999995</v>
      </c>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0.4389757752169503</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t="s">
        <v>658</v>
      </c>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f>'6.1. Паспорт сетевой график'!H43</f>
        <v>44681</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tr">
        <f>'3.3 паспорт описание'!C30</f>
        <v>С</v>
      </c>
    </row>
    <row r="137" spans="1:2" ht="28.5" customHeight="1" x14ac:dyDescent="0.25">
      <c r="A137" s="64" t="s">
        <v>345</v>
      </c>
      <c r="B137" s="463" t="s">
        <v>542</v>
      </c>
    </row>
    <row r="138" spans="1:2" x14ac:dyDescent="0.25">
      <c r="A138" s="68" t="s">
        <v>346</v>
      </c>
      <c r="B138" s="464"/>
    </row>
    <row r="139" spans="1:2" x14ac:dyDescent="0.25">
      <c r="A139" s="68" t="s">
        <v>347</v>
      </c>
      <c r="B139" s="464"/>
    </row>
    <row r="140" spans="1:2" x14ac:dyDescent="0.25">
      <c r="A140" s="68" t="s">
        <v>348</v>
      </c>
      <c r="B140" s="464"/>
    </row>
    <row r="141" spans="1:2" x14ac:dyDescent="0.25">
      <c r="A141" s="68" t="s">
        <v>349</v>
      </c>
      <c r="B141" s="464"/>
    </row>
    <row r="142" spans="1:2" ht="16.5" thickBot="1" x14ac:dyDescent="0.3">
      <c r="A142" s="78" t="s">
        <v>350</v>
      </c>
      <c r="B142" s="465"/>
    </row>
    <row r="145" spans="1:2" x14ac:dyDescent="0.25">
      <c r="A145" s="79"/>
      <c r="B145" s="80"/>
    </row>
    <row r="146" spans="1:2" x14ac:dyDescent="0.25">
      <c r="B146" s="81"/>
    </row>
    <row r="147" spans="1:2" x14ac:dyDescent="0.25">
      <c r="B147" s="8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K14" zoomScaleSheetLayoutView="100" workbookViewId="0">
      <selection activeCell="T22" sqref="T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0" t="str">
        <f>'1. паспорт местоположение'!A5:C5</f>
        <v>Год раскрытия информации: 2023 год</v>
      </c>
      <c r="B4" s="350"/>
      <c r="C4" s="350"/>
      <c r="D4" s="350"/>
      <c r="E4" s="350"/>
      <c r="F4" s="350"/>
      <c r="G4" s="350"/>
      <c r="H4" s="350"/>
      <c r="I4" s="350"/>
      <c r="J4" s="350"/>
      <c r="K4" s="350"/>
      <c r="L4" s="350"/>
      <c r="M4" s="350"/>
      <c r="N4" s="350"/>
      <c r="O4" s="350"/>
      <c r="P4" s="350"/>
      <c r="Q4" s="350"/>
      <c r="R4" s="350"/>
      <c r="S4" s="350"/>
    </row>
    <row r="5" spans="1:28" s="14" customFormat="1" ht="15.75" x14ac:dyDescent="0.2">
      <c r="A5" s="105"/>
    </row>
    <row r="6" spans="1:28" s="14" customFormat="1" ht="18.75" x14ac:dyDescent="0.2">
      <c r="A6" s="357" t="s">
        <v>7</v>
      </c>
      <c r="B6" s="357"/>
      <c r="C6" s="357"/>
      <c r="D6" s="357"/>
      <c r="E6" s="357"/>
      <c r="F6" s="357"/>
      <c r="G6" s="357"/>
      <c r="H6" s="357"/>
      <c r="I6" s="357"/>
      <c r="J6" s="357"/>
      <c r="K6" s="357"/>
      <c r="L6" s="357"/>
      <c r="M6" s="357"/>
      <c r="N6" s="357"/>
      <c r="O6" s="357"/>
      <c r="P6" s="357"/>
      <c r="Q6" s="357"/>
      <c r="R6" s="357"/>
      <c r="S6" s="357"/>
      <c r="T6" s="107"/>
      <c r="U6" s="107"/>
      <c r="V6" s="107"/>
      <c r="W6" s="107"/>
      <c r="X6" s="107"/>
      <c r="Y6" s="107"/>
      <c r="Z6" s="107"/>
      <c r="AA6" s="107"/>
      <c r="AB6" s="107"/>
    </row>
    <row r="7" spans="1:28" s="14" customFormat="1" ht="18.75" x14ac:dyDescent="0.2">
      <c r="A7" s="357"/>
      <c r="B7" s="357"/>
      <c r="C7" s="357"/>
      <c r="D7" s="357"/>
      <c r="E7" s="357"/>
      <c r="F7" s="357"/>
      <c r="G7" s="357"/>
      <c r="H7" s="357"/>
      <c r="I7" s="357"/>
      <c r="J7" s="357"/>
      <c r="K7" s="357"/>
      <c r="L7" s="357"/>
      <c r="M7" s="357"/>
      <c r="N7" s="357"/>
      <c r="O7" s="357"/>
      <c r="P7" s="357"/>
      <c r="Q7" s="357"/>
      <c r="R7" s="357"/>
      <c r="S7" s="357"/>
      <c r="T7" s="107"/>
      <c r="U7" s="107"/>
      <c r="V7" s="107"/>
      <c r="W7" s="107"/>
      <c r="X7" s="107"/>
      <c r="Y7" s="107"/>
      <c r="Z7" s="107"/>
      <c r="AA7" s="107"/>
      <c r="AB7" s="107"/>
    </row>
    <row r="8" spans="1:28" s="14" customFormat="1" ht="18.75" x14ac:dyDescent="0.2">
      <c r="A8" s="355" t="str">
        <f>'1. паспорт местоположение'!A9:C9</f>
        <v xml:space="preserve">Акционерное общество "Западная энергетическая компания" </v>
      </c>
      <c r="B8" s="355"/>
      <c r="C8" s="355"/>
      <c r="D8" s="355"/>
      <c r="E8" s="355"/>
      <c r="F8" s="355"/>
      <c r="G8" s="355"/>
      <c r="H8" s="355"/>
      <c r="I8" s="355"/>
      <c r="J8" s="355"/>
      <c r="K8" s="355"/>
      <c r="L8" s="355"/>
      <c r="M8" s="355"/>
      <c r="N8" s="355"/>
      <c r="O8" s="355"/>
      <c r="P8" s="355"/>
      <c r="Q8" s="355"/>
      <c r="R8" s="355"/>
      <c r="S8" s="355"/>
      <c r="T8" s="107"/>
      <c r="U8" s="107"/>
      <c r="V8" s="107"/>
      <c r="W8" s="107"/>
      <c r="X8" s="107"/>
      <c r="Y8" s="107"/>
      <c r="Z8" s="107"/>
      <c r="AA8" s="107"/>
      <c r="AB8" s="107"/>
    </row>
    <row r="9" spans="1:28" s="14" customFormat="1" ht="18.75" x14ac:dyDescent="0.2">
      <c r="A9" s="361" t="s">
        <v>6</v>
      </c>
      <c r="B9" s="361"/>
      <c r="C9" s="361"/>
      <c r="D9" s="361"/>
      <c r="E9" s="361"/>
      <c r="F9" s="361"/>
      <c r="G9" s="361"/>
      <c r="H9" s="361"/>
      <c r="I9" s="361"/>
      <c r="J9" s="361"/>
      <c r="K9" s="361"/>
      <c r="L9" s="361"/>
      <c r="M9" s="361"/>
      <c r="N9" s="361"/>
      <c r="O9" s="361"/>
      <c r="P9" s="361"/>
      <c r="Q9" s="361"/>
      <c r="R9" s="361"/>
      <c r="S9" s="361"/>
      <c r="T9" s="107"/>
      <c r="U9" s="107"/>
      <c r="V9" s="107"/>
      <c r="W9" s="107"/>
      <c r="X9" s="107"/>
      <c r="Y9" s="107"/>
      <c r="Z9" s="107"/>
      <c r="AA9" s="107"/>
      <c r="AB9" s="107"/>
    </row>
    <row r="10" spans="1:28" s="14" customFormat="1" ht="18.75" x14ac:dyDescent="0.2">
      <c r="A10" s="357"/>
      <c r="B10" s="357"/>
      <c r="C10" s="357"/>
      <c r="D10" s="357"/>
      <c r="E10" s="357"/>
      <c r="F10" s="357"/>
      <c r="G10" s="357"/>
      <c r="H10" s="357"/>
      <c r="I10" s="357"/>
      <c r="J10" s="357"/>
      <c r="K10" s="357"/>
      <c r="L10" s="357"/>
      <c r="M10" s="357"/>
      <c r="N10" s="357"/>
      <c r="O10" s="357"/>
      <c r="P10" s="357"/>
      <c r="Q10" s="357"/>
      <c r="R10" s="357"/>
      <c r="S10" s="357"/>
      <c r="T10" s="107"/>
      <c r="U10" s="107"/>
      <c r="V10" s="107"/>
      <c r="W10" s="107"/>
      <c r="X10" s="107"/>
      <c r="Y10" s="107"/>
      <c r="Z10" s="107"/>
      <c r="AA10" s="107"/>
      <c r="AB10" s="107"/>
    </row>
    <row r="11" spans="1:28" s="14" customFormat="1" ht="18.75" x14ac:dyDescent="0.2">
      <c r="A11" s="362" t="str">
        <f>'1. паспорт местоположение'!A12:C12</f>
        <v>M_22-21</v>
      </c>
      <c r="B11" s="362"/>
      <c r="C11" s="362"/>
      <c r="D11" s="362"/>
      <c r="E11" s="362"/>
      <c r="F11" s="362"/>
      <c r="G11" s="362"/>
      <c r="H11" s="362"/>
      <c r="I11" s="362"/>
      <c r="J11" s="362"/>
      <c r="K11" s="362"/>
      <c r="L11" s="362"/>
      <c r="M11" s="362"/>
      <c r="N11" s="362"/>
      <c r="O11" s="362"/>
      <c r="P11" s="362"/>
      <c r="Q11" s="362"/>
      <c r="R11" s="362"/>
      <c r="S11" s="362"/>
      <c r="T11" s="107"/>
      <c r="U11" s="107"/>
      <c r="V11" s="107"/>
      <c r="W11" s="107"/>
      <c r="X11" s="107"/>
      <c r="Y11" s="107"/>
      <c r="Z11" s="107"/>
      <c r="AA11" s="107"/>
      <c r="AB11" s="107"/>
    </row>
    <row r="12" spans="1:28" s="14" customFormat="1" ht="18.75" x14ac:dyDescent="0.2">
      <c r="A12" s="361" t="s">
        <v>5</v>
      </c>
      <c r="B12" s="361"/>
      <c r="C12" s="361"/>
      <c r="D12" s="361"/>
      <c r="E12" s="361"/>
      <c r="F12" s="361"/>
      <c r="G12" s="361"/>
      <c r="H12" s="361"/>
      <c r="I12" s="361"/>
      <c r="J12" s="361"/>
      <c r="K12" s="361"/>
      <c r="L12" s="361"/>
      <c r="M12" s="361"/>
      <c r="N12" s="361"/>
      <c r="O12" s="361"/>
      <c r="P12" s="361"/>
      <c r="Q12" s="361"/>
      <c r="R12" s="361"/>
      <c r="S12" s="361"/>
      <c r="T12" s="107"/>
      <c r="U12" s="107"/>
      <c r="V12" s="107"/>
      <c r="W12" s="107"/>
      <c r="X12" s="107"/>
      <c r="Y12" s="107"/>
      <c r="Z12" s="107"/>
      <c r="AA12" s="107"/>
      <c r="AB12" s="107"/>
    </row>
    <row r="13" spans="1:28" s="14" customFormat="1" ht="15.75" customHeight="1" x14ac:dyDescent="0.2">
      <c r="A13" s="363"/>
      <c r="B13" s="363"/>
      <c r="C13" s="363"/>
      <c r="D13" s="363"/>
      <c r="E13" s="363"/>
      <c r="F13" s="363"/>
      <c r="G13" s="363"/>
      <c r="H13" s="363"/>
      <c r="I13" s="363"/>
      <c r="J13" s="363"/>
      <c r="K13" s="363"/>
      <c r="L13" s="363"/>
      <c r="M13" s="363"/>
      <c r="N13" s="363"/>
      <c r="O13" s="363"/>
      <c r="P13" s="363"/>
      <c r="Q13" s="363"/>
      <c r="R13" s="363"/>
      <c r="S13" s="363"/>
      <c r="T13" s="108"/>
      <c r="U13" s="108"/>
      <c r="V13" s="108"/>
      <c r="W13" s="108"/>
      <c r="X13" s="108"/>
      <c r="Y13" s="108"/>
      <c r="Z13" s="108"/>
      <c r="AA13" s="108"/>
      <c r="AB13" s="108"/>
    </row>
    <row r="14" spans="1:28" s="106" customFormat="1" ht="15.75" x14ac:dyDescent="0.2">
      <c r="A14" s="355" t="str">
        <f>'1. паспорт местоположение'!A15:C15</f>
        <v>Электроснабжение объекта "Кампус ФГАЩУ ВО "БФУ им. И. Канта" г.Калининград, ул.Невского 14</v>
      </c>
      <c r="B14" s="355"/>
      <c r="C14" s="355"/>
      <c r="D14" s="355"/>
      <c r="E14" s="355"/>
      <c r="F14" s="355"/>
      <c r="G14" s="355"/>
      <c r="H14" s="355"/>
      <c r="I14" s="355"/>
      <c r="J14" s="355"/>
      <c r="K14" s="355"/>
      <c r="L14" s="355"/>
      <c r="M14" s="355"/>
      <c r="N14" s="355"/>
      <c r="O14" s="355"/>
      <c r="P14" s="355"/>
      <c r="Q14" s="355"/>
      <c r="R14" s="355"/>
      <c r="S14" s="355"/>
      <c r="T14" s="109"/>
      <c r="U14" s="109"/>
      <c r="V14" s="109"/>
      <c r="W14" s="109"/>
      <c r="X14" s="109"/>
      <c r="Y14" s="109"/>
      <c r="Z14" s="109"/>
      <c r="AA14" s="109"/>
      <c r="AB14" s="109"/>
    </row>
    <row r="15" spans="1:28" s="106" customFormat="1" ht="15" customHeight="1" x14ac:dyDescent="0.2">
      <c r="A15" s="361" t="s">
        <v>4</v>
      </c>
      <c r="B15" s="361"/>
      <c r="C15" s="361"/>
      <c r="D15" s="361"/>
      <c r="E15" s="361"/>
      <c r="F15" s="361"/>
      <c r="G15" s="361"/>
      <c r="H15" s="361"/>
      <c r="I15" s="361"/>
      <c r="J15" s="361"/>
      <c r="K15" s="361"/>
      <c r="L15" s="361"/>
      <c r="M15" s="361"/>
      <c r="N15" s="361"/>
      <c r="O15" s="361"/>
      <c r="P15" s="361"/>
      <c r="Q15" s="361"/>
      <c r="R15" s="361"/>
      <c r="S15" s="361"/>
      <c r="T15" s="110"/>
      <c r="U15" s="110"/>
      <c r="V15" s="110"/>
      <c r="W15" s="110"/>
      <c r="X15" s="110"/>
      <c r="Y15" s="110"/>
      <c r="Z15" s="110"/>
      <c r="AA15" s="110"/>
      <c r="AB15" s="110"/>
    </row>
    <row r="16" spans="1:28" s="106" customFormat="1" ht="15" customHeight="1" x14ac:dyDescent="0.2">
      <c r="A16" s="363"/>
      <c r="B16" s="363"/>
      <c r="C16" s="363"/>
      <c r="D16" s="363"/>
      <c r="E16" s="363"/>
      <c r="F16" s="363"/>
      <c r="G16" s="363"/>
      <c r="H16" s="363"/>
      <c r="I16" s="363"/>
      <c r="J16" s="363"/>
      <c r="K16" s="363"/>
      <c r="L16" s="363"/>
      <c r="M16" s="363"/>
      <c r="N16" s="363"/>
      <c r="O16" s="363"/>
      <c r="P16" s="363"/>
      <c r="Q16" s="363"/>
      <c r="R16" s="363"/>
      <c r="S16" s="363"/>
      <c r="T16" s="108"/>
      <c r="U16" s="108"/>
      <c r="V16" s="108"/>
      <c r="W16" s="108"/>
      <c r="X16" s="108"/>
      <c r="Y16" s="108"/>
    </row>
    <row r="17" spans="1:28" s="106" customFormat="1" ht="45.75" customHeight="1" x14ac:dyDescent="0.2">
      <c r="A17" s="364" t="s">
        <v>382</v>
      </c>
      <c r="B17" s="364"/>
      <c r="C17" s="364"/>
      <c r="D17" s="364"/>
      <c r="E17" s="364"/>
      <c r="F17" s="364"/>
      <c r="G17" s="364"/>
      <c r="H17" s="364"/>
      <c r="I17" s="364"/>
      <c r="J17" s="364"/>
      <c r="K17" s="364"/>
      <c r="L17" s="364"/>
      <c r="M17" s="364"/>
      <c r="N17" s="364"/>
      <c r="O17" s="364"/>
      <c r="P17" s="364"/>
      <c r="Q17" s="364"/>
      <c r="R17" s="364"/>
      <c r="S17" s="364"/>
      <c r="T17" s="111"/>
      <c r="U17" s="111"/>
      <c r="V17" s="111"/>
      <c r="W17" s="111"/>
      <c r="X17" s="111"/>
      <c r="Y17" s="111"/>
      <c r="Z17" s="111"/>
      <c r="AA17" s="111"/>
      <c r="AB17" s="111"/>
    </row>
    <row r="18" spans="1:28" s="106"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108"/>
      <c r="U18" s="108"/>
      <c r="V18" s="108"/>
      <c r="W18" s="108"/>
      <c r="X18" s="108"/>
      <c r="Y18" s="108"/>
    </row>
    <row r="19" spans="1:28" s="106" customFormat="1" ht="54" customHeight="1" x14ac:dyDescent="0.2">
      <c r="A19" s="356" t="s">
        <v>3</v>
      </c>
      <c r="B19" s="356" t="s">
        <v>94</v>
      </c>
      <c r="C19" s="358" t="s">
        <v>303</v>
      </c>
      <c r="D19" s="356" t="s">
        <v>302</v>
      </c>
      <c r="E19" s="356" t="s">
        <v>93</v>
      </c>
      <c r="F19" s="356" t="s">
        <v>92</v>
      </c>
      <c r="G19" s="356" t="s">
        <v>298</v>
      </c>
      <c r="H19" s="356" t="s">
        <v>91</v>
      </c>
      <c r="I19" s="356" t="s">
        <v>90</v>
      </c>
      <c r="J19" s="356" t="s">
        <v>89</v>
      </c>
      <c r="K19" s="356" t="s">
        <v>88</v>
      </c>
      <c r="L19" s="356" t="s">
        <v>87</v>
      </c>
      <c r="M19" s="356" t="s">
        <v>86</v>
      </c>
      <c r="N19" s="356" t="s">
        <v>85</v>
      </c>
      <c r="O19" s="356" t="s">
        <v>84</v>
      </c>
      <c r="P19" s="356" t="s">
        <v>83</v>
      </c>
      <c r="Q19" s="356" t="s">
        <v>301</v>
      </c>
      <c r="R19" s="356"/>
      <c r="S19" s="360" t="s">
        <v>376</v>
      </c>
      <c r="T19" s="108"/>
      <c r="U19" s="108"/>
      <c r="V19" s="108"/>
      <c r="W19" s="108"/>
      <c r="X19" s="108"/>
      <c r="Y19" s="108"/>
    </row>
    <row r="20" spans="1:28" s="106" customFormat="1" ht="180.75" customHeight="1" x14ac:dyDescent="0.2">
      <c r="A20" s="356"/>
      <c r="B20" s="356"/>
      <c r="C20" s="359"/>
      <c r="D20" s="356"/>
      <c r="E20" s="356"/>
      <c r="F20" s="356"/>
      <c r="G20" s="356"/>
      <c r="H20" s="356"/>
      <c r="I20" s="356"/>
      <c r="J20" s="356"/>
      <c r="K20" s="356"/>
      <c r="L20" s="356"/>
      <c r="M20" s="356"/>
      <c r="N20" s="356"/>
      <c r="O20" s="356"/>
      <c r="P20" s="356"/>
      <c r="Q20" s="112" t="s">
        <v>299</v>
      </c>
      <c r="R20" s="113" t="s">
        <v>300</v>
      </c>
      <c r="S20" s="360"/>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6">
        <v>1</v>
      </c>
      <c r="B22" s="115" t="s">
        <v>636</v>
      </c>
      <c r="C22" s="115" t="s">
        <v>632</v>
      </c>
      <c r="D22" s="115" t="s">
        <v>627</v>
      </c>
      <c r="E22" s="115" t="s">
        <v>638</v>
      </c>
      <c r="F22" s="115" t="s">
        <v>537</v>
      </c>
      <c r="G22" s="115" t="s">
        <v>637</v>
      </c>
      <c r="H22" s="342">
        <v>3.698</v>
      </c>
      <c r="I22" s="114">
        <v>0</v>
      </c>
      <c r="J22" s="114">
        <v>0</v>
      </c>
      <c r="K22" s="114" t="s">
        <v>640</v>
      </c>
      <c r="L22" s="114">
        <v>3</v>
      </c>
      <c r="M22" s="114">
        <v>4</v>
      </c>
      <c r="N22" s="114">
        <v>1</v>
      </c>
      <c r="O22" s="114" t="s">
        <v>537</v>
      </c>
      <c r="P22" s="114" t="s">
        <v>537</v>
      </c>
      <c r="Q22" s="115" t="s">
        <v>639</v>
      </c>
      <c r="R22" s="184" t="s">
        <v>537</v>
      </c>
      <c r="S22" s="341">
        <v>77.32533574</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2"/>
  <sheetViews>
    <sheetView view="pageBreakPreview" topLeftCell="A25" zoomScale="80" zoomScaleNormal="60" zoomScaleSheetLayoutView="80" workbookViewId="0">
      <selection activeCell="F36" sqref="F3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0" t="str">
        <f>'1. паспорт местоположение'!A5:C5</f>
        <v>Год раскрытия информации: 2023 год</v>
      </c>
      <c r="B6" s="350"/>
      <c r="C6" s="350"/>
      <c r="D6" s="350"/>
      <c r="E6" s="350"/>
      <c r="F6" s="350"/>
      <c r="G6" s="350"/>
      <c r="H6" s="350"/>
      <c r="I6" s="350"/>
      <c r="J6" s="350"/>
      <c r="K6" s="350"/>
      <c r="L6" s="350"/>
      <c r="M6" s="350"/>
      <c r="N6" s="350"/>
      <c r="O6" s="350"/>
      <c r="P6" s="350"/>
      <c r="Q6" s="350"/>
      <c r="R6" s="350"/>
      <c r="S6" s="350"/>
      <c r="T6" s="350"/>
    </row>
    <row r="7" spans="1:20" s="14" customFormat="1" x14ac:dyDescent="0.2">
      <c r="A7" s="105"/>
    </row>
    <row r="8" spans="1:20" s="14" customFormat="1" ht="18.75" x14ac:dyDescent="0.2">
      <c r="A8" s="357" t="s">
        <v>7</v>
      </c>
      <c r="B8" s="357"/>
      <c r="C8" s="357"/>
      <c r="D8" s="357"/>
      <c r="E8" s="357"/>
      <c r="F8" s="357"/>
      <c r="G8" s="357"/>
      <c r="H8" s="357"/>
      <c r="I8" s="357"/>
      <c r="J8" s="357"/>
      <c r="K8" s="357"/>
      <c r="L8" s="357"/>
      <c r="M8" s="357"/>
      <c r="N8" s="357"/>
      <c r="O8" s="357"/>
      <c r="P8" s="357"/>
      <c r="Q8" s="357"/>
      <c r="R8" s="357"/>
      <c r="S8" s="357"/>
      <c r="T8" s="357"/>
    </row>
    <row r="9" spans="1:20" s="14" customFormat="1" ht="18.75" x14ac:dyDescent="0.2">
      <c r="A9" s="357"/>
      <c r="B9" s="357"/>
      <c r="C9" s="357"/>
      <c r="D9" s="357"/>
      <c r="E9" s="357"/>
      <c r="F9" s="357"/>
      <c r="G9" s="357"/>
      <c r="H9" s="357"/>
      <c r="I9" s="357"/>
      <c r="J9" s="357"/>
      <c r="K9" s="357"/>
      <c r="L9" s="357"/>
      <c r="M9" s="357"/>
      <c r="N9" s="357"/>
      <c r="O9" s="357"/>
      <c r="P9" s="357"/>
      <c r="Q9" s="357"/>
      <c r="R9" s="357"/>
      <c r="S9" s="357"/>
      <c r="T9" s="357"/>
    </row>
    <row r="10" spans="1:20" s="14" customFormat="1" ht="18.75" customHeight="1" x14ac:dyDescent="0.2">
      <c r="A10" s="355" t="str">
        <f>'1. паспорт местоположение'!A9:C9</f>
        <v xml:space="preserve">Акционерное общество "Западная энергетическая компания" </v>
      </c>
      <c r="B10" s="355"/>
      <c r="C10" s="355"/>
      <c r="D10" s="355"/>
      <c r="E10" s="355"/>
      <c r="F10" s="355"/>
      <c r="G10" s="355"/>
      <c r="H10" s="355"/>
      <c r="I10" s="355"/>
      <c r="J10" s="355"/>
      <c r="K10" s="355"/>
      <c r="L10" s="355"/>
      <c r="M10" s="355"/>
      <c r="N10" s="355"/>
      <c r="O10" s="355"/>
      <c r="P10" s="355"/>
      <c r="Q10" s="355"/>
      <c r="R10" s="355"/>
      <c r="S10" s="355"/>
      <c r="T10" s="355"/>
    </row>
    <row r="11" spans="1:20" s="14" customFormat="1" ht="18.75" customHeight="1" x14ac:dyDescent="0.2">
      <c r="A11" s="361" t="s">
        <v>6</v>
      </c>
      <c r="B11" s="361"/>
      <c r="C11" s="361"/>
      <c r="D11" s="361"/>
      <c r="E11" s="361"/>
      <c r="F11" s="361"/>
      <c r="G11" s="361"/>
      <c r="H11" s="361"/>
      <c r="I11" s="361"/>
      <c r="J11" s="361"/>
      <c r="K11" s="361"/>
      <c r="L11" s="361"/>
      <c r="M11" s="361"/>
      <c r="N11" s="361"/>
      <c r="O11" s="361"/>
      <c r="P11" s="361"/>
      <c r="Q11" s="361"/>
      <c r="R11" s="361"/>
      <c r="S11" s="361"/>
      <c r="T11" s="361"/>
    </row>
    <row r="12" spans="1:20" s="14" customFormat="1" ht="18.75" x14ac:dyDescent="0.2">
      <c r="A12" s="357"/>
      <c r="B12" s="357"/>
      <c r="C12" s="357"/>
      <c r="D12" s="357"/>
      <c r="E12" s="357"/>
      <c r="F12" s="357"/>
      <c r="G12" s="357"/>
      <c r="H12" s="357"/>
      <c r="I12" s="357"/>
      <c r="J12" s="357"/>
      <c r="K12" s="357"/>
      <c r="L12" s="357"/>
      <c r="M12" s="357"/>
      <c r="N12" s="357"/>
      <c r="O12" s="357"/>
      <c r="P12" s="357"/>
      <c r="Q12" s="357"/>
      <c r="R12" s="357"/>
      <c r="S12" s="357"/>
      <c r="T12" s="357"/>
    </row>
    <row r="13" spans="1:20" s="14" customFormat="1" ht="18.75" customHeight="1" x14ac:dyDescent="0.2">
      <c r="A13" s="362" t="str">
        <f>'1. паспорт местоположение'!A12:C12</f>
        <v>M_22-21</v>
      </c>
      <c r="B13" s="362"/>
      <c r="C13" s="362"/>
      <c r="D13" s="362"/>
      <c r="E13" s="362"/>
      <c r="F13" s="362"/>
      <c r="G13" s="362"/>
      <c r="H13" s="362"/>
      <c r="I13" s="362"/>
      <c r="J13" s="362"/>
      <c r="K13" s="362"/>
      <c r="L13" s="362"/>
      <c r="M13" s="362"/>
      <c r="N13" s="362"/>
      <c r="O13" s="362"/>
      <c r="P13" s="362"/>
      <c r="Q13" s="362"/>
      <c r="R13" s="362"/>
      <c r="S13" s="362"/>
      <c r="T13" s="362"/>
    </row>
    <row r="14" spans="1:20" s="14" customFormat="1" ht="18.75" customHeight="1" x14ac:dyDescent="0.2">
      <c r="A14" s="361" t="s">
        <v>5</v>
      </c>
      <c r="B14" s="361"/>
      <c r="C14" s="361"/>
      <c r="D14" s="361"/>
      <c r="E14" s="361"/>
      <c r="F14" s="361"/>
      <c r="G14" s="361"/>
      <c r="H14" s="361"/>
      <c r="I14" s="361"/>
      <c r="J14" s="361"/>
      <c r="K14" s="361"/>
      <c r="L14" s="361"/>
      <c r="M14" s="361"/>
      <c r="N14" s="361"/>
      <c r="O14" s="361"/>
      <c r="P14" s="361"/>
      <c r="Q14" s="361"/>
      <c r="R14" s="361"/>
      <c r="S14" s="361"/>
      <c r="T14" s="361"/>
    </row>
    <row r="15" spans="1:20" s="14" customFormat="1" ht="15.75" customHeight="1" x14ac:dyDescent="0.2">
      <c r="A15" s="363"/>
      <c r="B15" s="363"/>
      <c r="C15" s="363"/>
      <c r="D15" s="363"/>
      <c r="E15" s="363"/>
      <c r="F15" s="363"/>
      <c r="G15" s="363"/>
      <c r="H15" s="363"/>
      <c r="I15" s="363"/>
      <c r="J15" s="363"/>
      <c r="K15" s="363"/>
      <c r="L15" s="363"/>
      <c r="M15" s="363"/>
      <c r="N15" s="363"/>
      <c r="O15" s="363"/>
      <c r="P15" s="363"/>
      <c r="Q15" s="363"/>
      <c r="R15" s="363"/>
      <c r="S15" s="363"/>
      <c r="T15" s="363"/>
    </row>
    <row r="16" spans="1:20" s="106" customFormat="1" x14ac:dyDescent="0.2">
      <c r="A16" s="355" t="str">
        <f>'1. паспорт местоположение'!A15:C15</f>
        <v>Электроснабжение объекта "Кампус ФГАЩУ ВО "БФУ им. И. Канта" г.Калининград, ул.Невского 14</v>
      </c>
      <c r="B16" s="355"/>
      <c r="C16" s="355"/>
      <c r="D16" s="355"/>
      <c r="E16" s="355"/>
      <c r="F16" s="355"/>
      <c r="G16" s="355"/>
      <c r="H16" s="355"/>
      <c r="I16" s="355"/>
      <c r="J16" s="355"/>
      <c r="K16" s="355"/>
      <c r="L16" s="355"/>
      <c r="M16" s="355"/>
      <c r="N16" s="355"/>
      <c r="O16" s="355"/>
      <c r="P16" s="355"/>
      <c r="Q16" s="355"/>
      <c r="R16" s="355"/>
      <c r="S16" s="355"/>
      <c r="T16" s="355"/>
    </row>
    <row r="17" spans="1:20" s="106" customFormat="1" ht="15" customHeight="1" x14ac:dyDescent="0.2">
      <c r="A17" s="361" t="s">
        <v>4</v>
      </c>
      <c r="B17" s="361"/>
      <c r="C17" s="361"/>
      <c r="D17" s="361"/>
      <c r="E17" s="361"/>
      <c r="F17" s="361"/>
      <c r="G17" s="361"/>
      <c r="H17" s="361"/>
      <c r="I17" s="361"/>
      <c r="J17" s="361"/>
      <c r="K17" s="361"/>
      <c r="L17" s="361"/>
      <c r="M17" s="361"/>
      <c r="N17" s="361"/>
      <c r="O17" s="361"/>
      <c r="P17" s="361"/>
      <c r="Q17" s="361"/>
      <c r="R17" s="361"/>
      <c r="S17" s="361"/>
      <c r="T17" s="361"/>
    </row>
    <row r="18" spans="1:20" s="106"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363"/>
    </row>
    <row r="19" spans="1:20" s="106" customFormat="1" ht="15" customHeight="1" x14ac:dyDescent="0.2">
      <c r="A19" s="380" t="s">
        <v>387</v>
      </c>
      <c r="B19" s="380"/>
      <c r="C19" s="380"/>
      <c r="D19" s="380"/>
      <c r="E19" s="380"/>
      <c r="F19" s="380"/>
      <c r="G19" s="380"/>
      <c r="H19" s="380"/>
      <c r="I19" s="380"/>
      <c r="J19" s="380"/>
      <c r="K19" s="380"/>
      <c r="L19" s="380"/>
      <c r="M19" s="380"/>
      <c r="N19" s="380"/>
      <c r="O19" s="380"/>
      <c r="P19" s="380"/>
      <c r="Q19" s="380"/>
      <c r="R19" s="380"/>
      <c r="S19" s="380"/>
      <c r="T19" s="380"/>
    </row>
    <row r="20" spans="1:20" s="27" customFormat="1" ht="21" customHeight="1" x14ac:dyDescent="0.25">
      <c r="A20" s="381"/>
      <c r="B20" s="381"/>
      <c r="C20" s="381"/>
      <c r="D20" s="381"/>
      <c r="E20" s="381"/>
      <c r="F20" s="381"/>
      <c r="G20" s="381"/>
      <c r="H20" s="381"/>
      <c r="I20" s="381"/>
      <c r="J20" s="381"/>
      <c r="K20" s="381"/>
      <c r="L20" s="381"/>
      <c r="M20" s="381"/>
      <c r="N20" s="381"/>
      <c r="O20" s="381"/>
      <c r="P20" s="381"/>
      <c r="Q20" s="381"/>
      <c r="R20" s="381"/>
      <c r="S20" s="381"/>
      <c r="T20" s="381"/>
    </row>
    <row r="21" spans="1:20" ht="46.5" customHeight="1" x14ac:dyDescent="0.25">
      <c r="A21" s="374" t="s">
        <v>3</v>
      </c>
      <c r="B21" s="367" t="s">
        <v>200</v>
      </c>
      <c r="C21" s="368"/>
      <c r="D21" s="371" t="s">
        <v>116</v>
      </c>
      <c r="E21" s="367" t="s">
        <v>415</v>
      </c>
      <c r="F21" s="368"/>
      <c r="G21" s="367" t="s">
        <v>239</v>
      </c>
      <c r="H21" s="368"/>
      <c r="I21" s="367" t="s">
        <v>115</v>
      </c>
      <c r="J21" s="368"/>
      <c r="K21" s="371" t="s">
        <v>114</v>
      </c>
      <c r="L21" s="367" t="s">
        <v>113</v>
      </c>
      <c r="M21" s="368"/>
      <c r="N21" s="367" t="s">
        <v>441</v>
      </c>
      <c r="O21" s="368"/>
      <c r="P21" s="371" t="s">
        <v>112</v>
      </c>
      <c r="Q21" s="377" t="s">
        <v>111</v>
      </c>
      <c r="R21" s="378"/>
      <c r="S21" s="377" t="s">
        <v>110</v>
      </c>
      <c r="T21" s="379"/>
    </row>
    <row r="22" spans="1:20" ht="204.75" customHeight="1" x14ac:dyDescent="0.25">
      <c r="A22" s="375"/>
      <c r="B22" s="369"/>
      <c r="C22" s="370"/>
      <c r="D22" s="373"/>
      <c r="E22" s="369"/>
      <c r="F22" s="370"/>
      <c r="G22" s="369"/>
      <c r="H22" s="370"/>
      <c r="I22" s="369"/>
      <c r="J22" s="370"/>
      <c r="K22" s="372"/>
      <c r="L22" s="369"/>
      <c r="M22" s="370"/>
      <c r="N22" s="369"/>
      <c r="O22" s="370"/>
      <c r="P22" s="372"/>
      <c r="Q22" s="54" t="s">
        <v>109</v>
      </c>
      <c r="R22" s="54" t="s">
        <v>386</v>
      </c>
      <c r="S22" s="54" t="s">
        <v>108</v>
      </c>
      <c r="T22" s="54" t="s">
        <v>107</v>
      </c>
    </row>
    <row r="23" spans="1:20" ht="51.75" customHeight="1" x14ac:dyDescent="0.25">
      <c r="A23" s="376"/>
      <c r="B23" s="54" t="s">
        <v>105</v>
      </c>
      <c r="C23" s="54" t="s">
        <v>106</v>
      </c>
      <c r="D23" s="372"/>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c r="C25" s="93" t="s">
        <v>642</v>
      </c>
      <c r="D25" s="93" t="s">
        <v>646</v>
      </c>
      <c r="E25" s="93"/>
      <c r="F25" s="93" t="s">
        <v>615</v>
      </c>
      <c r="G25" s="93"/>
      <c r="H25" s="93" t="s">
        <v>647</v>
      </c>
      <c r="I25" s="325"/>
      <c r="J25" s="325" t="s">
        <v>633</v>
      </c>
      <c r="K25" s="325"/>
      <c r="L25" s="325"/>
      <c r="M25" s="325" t="s">
        <v>68</v>
      </c>
      <c r="N25" s="93"/>
      <c r="O25" s="93"/>
      <c r="P25" s="325" t="s">
        <v>297</v>
      </c>
      <c r="Q25" s="325"/>
      <c r="R25" s="325"/>
      <c r="S25" s="325" t="s">
        <v>297</v>
      </c>
      <c r="T25" s="93" t="s">
        <v>297</v>
      </c>
    </row>
    <row r="26" spans="1:20" ht="47.25" customHeight="1" x14ac:dyDescent="0.25">
      <c r="A26" s="93"/>
      <c r="B26" s="93"/>
      <c r="C26" s="93"/>
      <c r="D26" s="326" t="s">
        <v>616</v>
      </c>
      <c r="E26" s="326"/>
      <c r="F26" s="326" t="s">
        <v>617</v>
      </c>
      <c r="G26" s="326"/>
      <c r="H26" s="326" t="s">
        <v>618</v>
      </c>
      <c r="I26" s="325"/>
      <c r="J26" s="325" t="s">
        <v>633</v>
      </c>
      <c r="K26" s="325"/>
      <c r="L26" s="325"/>
      <c r="M26" s="325" t="s">
        <v>612</v>
      </c>
      <c r="N26" s="327"/>
      <c r="O26" s="327"/>
      <c r="P26" s="325" t="s">
        <v>297</v>
      </c>
      <c r="Q26" s="93"/>
      <c r="R26" s="93"/>
      <c r="S26" s="327" t="s">
        <v>297</v>
      </c>
      <c r="T26" s="327" t="s">
        <v>297</v>
      </c>
    </row>
    <row r="27" spans="1:20" ht="24" customHeight="1" x14ac:dyDescent="0.25">
      <c r="A27" s="93"/>
      <c r="B27" s="93"/>
      <c r="C27" s="93"/>
      <c r="D27" s="326" t="s">
        <v>613</v>
      </c>
      <c r="E27" s="326"/>
      <c r="F27" s="326" t="s">
        <v>648</v>
      </c>
      <c r="G27" s="326"/>
      <c r="H27" s="326" t="s">
        <v>659</v>
      </c>
      <c r="I27" s="325"/>
      <c r="J27" s="326">
        <v>2022</v>
      </c>
      <c r="K27" s="325"/>
      <c r="L27" s="325"/>
      <c r="M27" s="325" t="s">
        <v>68</v>
      </c>
      <c r="N27" s="327"/>
      <c r="O27" s="327">
        <v>1</v>
      </c>
      <c r="P27" s="325" t="s">
        <v>297</v>
      </c>
      <c r="Q27" s="325"/>
      <c r="R27" s="325"/>
      <c r="S27" s="327" t="s">
        <v>297</v>
      </c>
      <c r="T27" s="327" t="s">
        <v>297</v>
      </c>
    </row>
    <row r="28" spans="1:20" ht="24" customHeight="1" x14ac:dyDescent="0.25">
      <c r="A28" s="93">
        <v>2</v>
      </c>
      <c r="B28" s="93"/>
      <c r="C28" s="93" t="s">
        <v>643</v>
      </c>
      <c r="D28" s="93" t="s">
        <v>614</v>
      </c>
      <c r="E28" s="93"/>
      <c r="F28" s="93" t="s">
        <v>615</v>
      </c>
      <c r="G28" s="93"/>
      <c r="H28" s="93" t="s">
        <v>647</v>
      </c>
      <c r="I28" s="325"/>
      <c r="J28" s="325" t="s">
        <v>633</v>
      </c>
      <c r="K28" s="325"/>
      <c r="L28" s="325"/>
      <c r="M28" s="325" t="s">
        <v>68</v>
      </c>
      <c r="N28" s="93"/>
      <c r="O28" s="93"/>
      <c r="P28" s="325" t="s">
        <v>297</v>
      </c>
      <c r="Q28" s="325"/>
      <c r="R28" s="325"/>
      <c r="S28" s="325" t="s">
        <v>297</v>
      </c>
      <c r="T28" s="93" t="s">
        <v>297</v>
      </c>
    </row>
    <row r="29" spans="1:20" s="30" customFormat="1" ht="47.25" x14ac:dyDescent="0.2">
      <c r="A29" s="93"/>
      <c r="B29" s="93"/>
      <c r="C29" s="93"/>
      <c r="D29" s="326" t="s">
        <v>616</v>
      </c>
      <c r="E29" s="326"/>
      <c r="F29" s="326" t="s">
        <v>617</v>
      </c>
      <c r="G29" s="326"/>
      <c r="H29" s="326" t="s">
        <v>618</v>
      </c>
      <c r="I29" s="325"/>
      <c r="J29" s="325" t="s">
        <v>633</v>
      </c>
      <c r="K29" s="325"/>
      <c r="L29" s="325"/>
      <c r="M29" s="325" t="s">
        <v>612</v>
      </c>
      <c r="N29" s="327"/>
      <c r="O29" s="327"/>
      <c r="P29" s="325" t="s">
        <v>297</v>
      </c>
      <c r="Q29" s="93"/>
      <c r="R29" s="93"/>
      <c r="S29" s="327" t="s">
        <v>297</v>
      </c>
      <c r="T29" s="327" t="s">
        <v>297</v>
      </c>
    </row>
    <row r="30" spans="1:20" s="30" customFormat="1" x14ac:dyDescent="0.2">
      <c r="A30" s="93"/>
      <c r="B30" s="93"/>
      <c r="C30" s="93"/>
      <c r="D30" s="326" t="s">
        <v>613</v>
      </c>
      <c r="E30" s="326"/>
      <c r="F30" s="326" t="s">
        <v>648</v>
      </c>
      <c r="G30" s="326"/>
      <c r="H30" s="326" t="s">
        <v>659</v>
      </c>
      <c r="I30" s="325"/>
      <c r="J30" s="326">
        <v>2022</v>
      </c>
      <c r="K30" s="325"/>
      <c r="L30" s="325"/>
      <c r="M30" s="325" t="s">
        <v>68</v>
      </c>
      <c r="N30" s="327"/>
      <c r="O30" s="327">
        <v>1</v>
      </c>
      <c r="P30" s="325" t="s">
        <v>297</v>
      </c>
      <c r="Q30" s="325"/>
      <c r="R30" s="325"/>
      <c r="S30" s="327" t="s">
        <v>297</v>
      </c>
      <c r="T30" s="327" t="s">
        <v>297</v>
      </c>
    </row>
    <row r="31" spans="1:20" s="30" customFormat="1" ht="47.25" x14ac:dyDescent="0.2">
      <c r="A31" s="93">
        <v>3</v>
      </c>
      <c r="B31" s="93"/>
      <c r="C31" s="93" t="s">
        <v>644</v>
      </c>
      <c r="D31" s="93" t="s">
        <v>614</v>
      </c>
      <c r="E31" s="93"/>
      <c r="F31" s="93" t="s">
        <v>615</v>
      </c>
      <c r="G31" s="93"/>
      <c r="H31" s="93" t="s">
        <v>647</v>
      </c>
      <c r="I31" s="325"/>
      <c r="J31" s="325" t="s">
        <v>633</v>
      </c>
      <c r="K31" s="325"/>
      <c r="L31" s="325"/>
      <c r="M31" s="325" t="s">
        <v>68</v>
      </c>
      <c r="N31" s="93"/>
      <c r="O31" s="93"/>
      <c r="P31" s="325" t="s">
        <v>297</v>
      </c>
      <c r="Q31" s="325"/>
      <c r="R31" s="325"/>
      <c r="S31" s="325" t="s">
        <v>297</v>
      </c>
      <c r="T31" s="93" t="s">
        <v>297</v>
      </c>
    </row>
    <row r="32" spans="1:20" s="30" customFormat="1" ht="47.25" x14ac:dyDescent="0.2">
      <c r="A32" s="93"/>
      <c r="B32" s="93"/>
      <c r="C32" s="93"/>
      <c r="D32" s="326" t="s">
        <v>616</v>
      </c>
      <c r="E32" s="326"/>
      <c r="F32" s="326" t="s">
        <v>617</v>
      </c>
      <c r="G32" s="326"/>
      <c r="H32" s="326" t="s">
        <v>618</v>
      </c>
      <c r="I32" s="325"/>
      <c r="J32" s="325" t="s">
        <v>633</v>
      </c>
      <c r="K32" s="325"/>
      <c r="L32" s="325"/>
      <c r="M32" s="325" t="s">
        <v>612</v>
      </c>
      <c r="N32" s="327"/>
      <c r="O32" s="327"/>
      <c r="P32" s="325" t="s">
        <v>297</v>
      </c>
      <c r="Q32" s="93"/>
      <c r="R32" s="93"/>
      <c r="S32" s="327" t="s">
        <v>297</v>
      </c>
      <c r="T32" s="327" t="s">
        <v>297</v>
      </c>
    </row>
    <row r="33" spans="1:20" s="30" customFormat="1" x14ac:dyDescent="0.2">
      <c r="A33" s="93"/>
      <c r="B33" s="93"/>
      <c r="C33" s="93"/>
      <c r="D33" s="326" t="s">
        <v>613</v>
      </c>
      <c r="E33" s="326"/>
      <c r="F33" s="326" t="s">
        <v>648</v>
      </c>
      <c r="G33" s="326"/>
      <c r="H33" s="326" t="s">
        <v>659</v>
      </c>
      <c r="I33" s="325"/>
      <c r="J33" s="326">
        <v>2022</v>
      </c>
      <c r="K33" s="325"/>
      <c r="L33" s="325"/>
      <c r="M33" s="325" t="s">
        <v>68</v>
      </c>
      <c r="N33" s="327"/>
      <c r="O33" s="327">
        <v>1</v>
      </c>
      <c r="P33" s="325" t="s">
        <v>297</v>
      </c>
      <c r="Q33" s="325"/>
      <c r="R33" s="325"/>
      <c r="S33" s="327" t="s">
        <v>297</v>
      </c>
      <c r="T33" s="327" t="s">
        <v>297</v>
      </c>
    </row>
    <row r="34" spans="1:20" s="30" customFormat="1" ht="47.25" x14ac:dyDescent="0.2">
      <c r="A34" s="93">
        <v>4</v>
      </c>
      <c r="B34" s="93"/>
      <c r="C34" s="93" t="s">
        <v>645</v>
      </c>
      <c r="D34" s="93" t="s">
        <v>614</v>
      </c>
      <c r="E34" s="93"/>
      <c r="F34" s="93" t="s">
        <v>615</v>
      </c>
      <c r="G34" s="93"/>
      <c r="H34" s="93" t="s">
        <v>647</v>
      </c>
      <c r="I34" s="325"/>
      <c r="J34" s="325" t="s">
        <v>633</v>
      </c>
      <c r="K34" s="325"/>
      <c r="L34" s="325"/>
      <c r="M34" s="325" t="s">
        <v>68</v>
      </c>
      <c r="N34" s="93"/>
      <c r="O34" s="93"/>
      <c r="P34" s="325" t="s">
        <v>297</v>
      </c>
      <c r="Q34" s="325"/>
      <c r="R34" s="325"/>
      <c r="S34" s="325" t="s">
        <v>297</v>
      </c>
      <c r="T34" s="93" t="s">
        <v>297</v>
      </c>
    </row>
    <row r="35" spans="1:20" s="30" customFormat="1" ht="47.25" x14ac:dyDescent="0.2">
      <c r="A35" s="93"/>
      <c r="B35" s="93"/>
      <c r="C35" s="93"/>
      <c r="D35" s="326" t="s">
        <v>616</v>
      </c>
      <c r="E35" s="326"/>
      <c r="F35" s="326" t="s">
        <v>617</v>
      </c>
      <c r="G35" s="326"/>
      <c r="H35" s="326" t="s">
        <v>618</v>
      </c>
      <c r="I35" s="325"/>
      <c r="J35" s="325" t="s">
        <v>633</v>
      </c>
      <c r="K35" s="325"/>
      <c r="L35" s="325"/>
      <c r="M35" s="325" t="s">
        <v>612</v>
      </c>
      <c r="N35" s="327"/>
      <c r="O35" s="327"/>
      <c r="P35" s="325" t="s">
        <v>297</v>
      </c>
      <c r="Q35" s="93"/>
      <c r="R35" s="93"/>
      <c r="S35" s="327" t="s">
        <v>297</v>
      </c>
      <c r="T35" s="327" t="s">
        <v>297</v>
      </c>
    </row>
    <row r="36" spans="1:20" s="30" customFormat="1" x14ac:dyDescent="0.2">
      <c r="A36" s="93"/>
      <c r="B36" s="93"/>
      <c r="C36" s="93"/>
      <c r="D36" s="326" t="s">
        <v>613</v>
      </c>
      <c r="E36" s="326"/>
      <c r="F36" s="326" t="s">
        <v>648</v>
      </c>
      <c r="G36" s="326"/>
      <c r="H36" s="326" t="s">
        <v>659</v>
      </c>
      <c r="I36" s="325"/>
      <c r="J36" s="326">
        <v>2022</v>
      </c>
      <c r="K36" s="325"/>
      <c r="L36" s="325"/>
      <c r="M36" s="325" t="s">
        <v>68</v>
      </c>
      <c r="N36" s="327"/>
      <c r="O36" s="327">
        <v>1</v>
      </c>
      <c r="P36" s="325" t="s">
        <v>297</v>
      </c>
      <c r="Q36" s="325"/>
      <c r="R36" s="325"/>
      <c r="S36" s="327" t="s">
        <v>297</v>
      </c>
      <c r="T36" s="327" t="s">
        <v>297</v>
      </c>
    </row>
    <row r="37" spans="1:20" s="30" customFormat="1" ht="12.75" x14ac:dyDescent="0.2">
      <c r="O37" s="30">
        <f>SUM(O25:O36)</f>
        <v>4</v>
      </c>
    </row>
    <row r="38" spans="1:20" s="30" customFormat="1" ht="12.75" x14ac:dyDescent="0.2"/>
    <row r="39" spans="1:20" s="30" customFormat="1" ht="12.75" x14ac:dyDescent="0.2"/>
    <row r="40" spans="1:20" s="30" customFormat="1" ht="12.75" x14ac:dyDescent="0.2"/>
    <row r="41" spans="1:20" s="30" customFormat="1" ht="12.75" x14ac:dyDescent="0.2"/>
    <row r="42" spans="1:20" s="30" customFormat="1" ht="12.75" x14ac:dyDescent="0.2"/>
    <row r="43" spans="1:20" s="30" customFormat="1" ht="12.75" x14ac:dyDescent="0.2"/>
    <row r="44" spans="1:20" s="30" customFormat="1" ht="12.75" x14ac:dyDescent="0.2"/>
    <row r="45" spans="1:20" s="30" customFormat="1" ht="12.75" x14ac:dyDescent="0.2"/>
    <row r="46" spans="1:20" s="30" customFormat="1" ht="12.75" x14ac:dyDescent="0.2"/>
    <row r="47" spans="1:20" s="30" customFormat="1" ht="12.75" x14ac:dyDescent="0.2"/>
    <row r="48" spans="1:20" s="30" customFormat="1" x14ac:dyDescent="0.25">
      <c r="B48" s="26" t="s">
        <v>104</v>
      </c>
      <c r="C48" s="26"/>
      <c r="D48" s="26"/>
      <c r="E48" s="26"/>
      <c r="F48" s="26"/>
      <c r="G48" s="26"/>
      <c r="H48" s="26"/>
      <c r="I48" s="26"/>
      <c r="J48" s="26"/>
      <c r="K48" s="26"/>
      <c r="L48" s="26"/>
      <c r="M48" s="26"/>
      <c r="N48" s="26"/>
      <c r="O48" s="26"/>
      <c r="P48" s="26"/>
      <c r="Q48" s="26"/>
      <c r="R48" s="26"/>
    </row>
    <row r="49" spans="2:113" x14ac:dyDescent="0.25">
      <c r="B49" s="366" t="s">
        <v>421</v>
      </c>
      <c r="C49" s="366"/>
      <c r="D49" s="366"/>
      <c r="E49" s="366"/>
      <c r="F49" s="366"/>
      <c r="G49" s="366"/>
      <c r="H49" s="366"/>
      <c r="I49" s="366"/>
      <c r="J49" s="366"/>
      <c r="K49" s="366"/>
      <c r="L49" s="366"/>
      <c r="M49" s="366"/>
      <c r="N49" s="366"/>
      <c r="O49" s="366"/>
      <c r="P49" s="366"/>
      <c r="Q49" s="366"/>
      <c r="R49" s="366"/>
    </row>
    <row r="50" spans="2:113" x14ac:dyDescent="0.25">
      <c r="F50" s="26" t="s">
        <v>614</v>
      </c>
    </row>
    <row r="51" spans="2:113" x14ac:dyDescent="0.25">
      <c r="B51" s="28" t="s">
        <v>385</v>
      </c>
      <c r="C51" s="28"/>
      <c r="D51" s="28"/>
      <c r="E51" s="28"/>
      <c r="H51" s="28"/>
      <c r="I51" s="28"/>
      <c r="J51" s="28"/>
      <c r="K51" s="28"/>
      <c r="L51" s="28"/>
      <c r="M51" s="28"/>
      <c r="N51" s="28"/>
      <c r="O51" s="28"/>
      <c r="P51" s="28"/>
      <c r="Q51" s="28"/>
      <c r="R51" s="28"/>
      <c r="S51" s="29"/>
      <c r="T51" s="29"/>
      <c r="U51" s="29"/>
      <c r="V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row>
    <row r="52" spans="2:113" x14ac:dyDescent="0.25">
      <c r="B52" s="28" t="s">
        <v>103</v>
      </c>
      <c r="C52" s="28"/>
      <c r="D52" s="28"/>
      <c r="E52" s="28"/>
      <c r="H52" s="28"/>
      <c r="I52" s="28"/>
      <c r="J52" s="28"/>
      <c r="K52" s="28"/>
      <c r="L52" s="28"/>
      <c r="M52" s="28"/>
      <c r="N52" s="28"/>
      <c r="O52" s="28"/>
      <c r="P52" s="28"/>
      <c r="Q52" s="28"/>
      <c r="R52" s="28"/>
    </row>
    <row r="53" spans="2:113" x14ac:dyDescent="0.25">
      <c r="B53" s="28" t="s">
        <v>102</v>
      </c>
      <c r="C53" s="28"/>
      <c r="D53" s="28"/>
      <c r="E53" s="28"/>
      <c r="H53" s="28"/>
      <c r="I53" s="28"/>
      <c r="J53" s="28"/>
      <c r="K53" s="28"/>
      <c r="L53" s="28"/>
      <c r="M53" s="28"/>
      <c r="N53" s="28"/>
      <c r="O53" s="28"/>
      <c r="P53" s="28"/>
      <c r="Q53" s="28"/>
      <c r="R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row>
    <row r="54" spans="2:113" x14ac:dyDescent="0.25">
      <c r="B54" s="28" t="s">
        <v>101</v>
      </c>
      <c r="C54" s="28"/>
      <c r="D54" s="28"/>
      <c r="E54" s="28"/>
      <c r="H54" s="28"/>
      <c r="I54" s="28"/>
      <c r="J54" s="28"/>
      <c r="K54" s="28"/>
      <c r="L54" s="28"/>
      <c r="M54" s="28"/>
      <c r="N54" s="28"/>
      <c r="O54" s="28"/>
      <c r="P54" s="28"/>
      <c r="Q54" s="28"/>
      <c r="R54" s="28"/>
      <c r="S54" s="28"/>
      <c r="T54" s="28"/>
      <c r="U54" s="28"/>
      <c r="V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row>
    <row r="55" spans="2:113" x14ac:dyDescent="0.25">
      <c r="B55" s="28" t="s">
        <v>100</v>
      </c>
      <c r="C55" s="28"/>
      <c r="D55" s="28"/>
      <c r="E55" s="28"/>
      <c r="H55" s="28"/>
      <c r="I55" s="28"/>
      <c r="J55" s="28"/>
      <c r="K55" s="28"/>
      <c r="L55" s="28"/>
      <c r="M55" s="28"/>
      <c r="N55" s="28"/>
      <c r="O55" s="28"/>
      <c r="P55" s="28"/>
      <c r="Q55" s="28"/>
      <c r="R55" s="28"/>
      <c r="S55" s="28"/>
      <c r="T55" s="28"/>
      <c r="U55" s="28"/>
      <c r="V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row>
    <row r="56" spans="2:113" x14ac:dyDescent="0.25">
      <c r="B56" s="28" t="s">
        <v>99</v>
      </c>
      <c r="C56" s="28"/>
      <c r="D56" s="28"/>
      <c r="E56" s="28"/>
      <c r="H56" s="28"/>
      <c r="I56" s="28"/>
      <c r="J56" s="28"/>
      <c r="K56" s="28"/>
      <c r="L56" s="28"/>
      <c r="M56" s="28"/>
      <c r="N56" s="28"/>
      <c r="O56" s="28"/>
      <c r="P56" s="28"/>
      <c r="Q56" s="28"/>
      <c r="R56" s="28"/>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row>
    <row r="57" spans="2:113" x14ac:dyDescent="0.25">
      <c r="B57" s="28" t="s">
        <v>98</v>
      </c>
      <c r="C57" s="28"/>
      <c r="D57" s="28"/>
      <c r="E57" s="28"/>
      <c r="H57" s="28"/>
      <c r="I57" s="28"/>
      <c r="J57" s="28"/>
      <c r="K57" s="28"/>
      <c r="L57" s="28"/>
      <c r="M57" s="28"/>
      <c r="N57" s="28"/>
      <c r="O57" s="28"/>
      <c r="P57" s="28"/>
      <c r="Q57" s="28"/>
      <c r="R57" s="28"/>
      <c r="S57" s="28"/>
      <c r="T57" s="28"/>
      <c r="U57" s="28"/>
      <c r="V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row>
    <row r="58" spans="2:113" x14ac:dyDescent="0.25">
      <c r="B58" s="28" t="s">
        <v>97</v>
      </c>
      <c r="C58" s="28"/>
      <c r="D58" s="28"/>
      <c r="E58" s="28"/>
      <c r="H58" s="28"/>
      <c r="I58" s="28"/>
      <c r="J58" s="28"/>
      <c r="K58" s="28"/>
      <c r="L58" s="28"/>
      <c r="M58" s="28"/>
      <c r="N58" s="28"/>
      <c r="O58" s="28"/>
      <c r="P58" s="28"/>
      <c r="Q58" s="28"/>
      <c r="R58" s="28"/>
      <c r="S58" s="28"/>
      <c r="T58" s="28"/>
      <c r="U58" s="28"/>
      <c r="V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row>
    <row r="59" spans="2:113" x14ac:dyDescent="0.25">
      <c r="B59" s="28" t="s">
        <v>96</v>
      </c>
      <c r="C59" s="28"/>
      <c r="D59" s="28"/>
      <c r="E59" s="28"/>
      <c r="H59" s="28"/>
      <c r="I59" s="28"/>
      <c r="J59" s="28"/>
      <c r="K59" s="28"/>
      <c r="L59" s="28"/>
      <c r="M59" s="28"/>
      <c r="N59" s="28"/>
      <c r="O59" s="28"/>
      <c r="P59" s="28"/>
      <c r="Q59" s="28"/>
      <c r="R59" s="28"/>
      <c r="S59" s="28"/>
      <c r="T59" s="28"/>
      <c r="U59" s="28"/>
      <c r="V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row>
    <row r="60" spans="2:113" x14ac:dyDescent="0.25">
      <c r="B60" s="28" t="s">
        <v>95</v>
      </c>
      <c r="C60" s="28"/>
      <c r="D60" s="28"/>
      <c r="E60" s="28"/>
      <c r="H60" s="28"/>
      <c r="I60" s="28"/>
      <c r="J60" s="28"/>
      <c r="K60" s="28"/>
      <c r="L60" s="28"/>
      <c r="M60" s="28"/>
      <c r="N60" s="28"/>
      <c r="O60" s="28"/>
      <c r="P60" s="28"/>
      <c r="Q60" s="28"/>
      <c r="R60" s="28"/>
      <c r="S60" s="28"/>
      <c r="T60" s="28"/>
      <c r="U60" s="28"/>
      <c r="V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row>
    <row r="61" spans="2:113" x14ac:dyDescent="0.25">
      <c r="Q61" s="28"/>
      <c r="R61" s="28"/>
      <c r="S61" s="28"/>
      <c r="T61" s="28"/>
      <c r="U61" s="28"/>
      <c r="V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row>
    <row r="62" spans="2:113" x14ac:dyDescent="0.25">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9:R49"/>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tabSelected="1" view="pageBreakPreview" topLeftCell="A22" zoomScale="80" zoomScaleSheetLayoutView="80" workbookViewId="0">
      <selection activeCell="N25" sqref="N25:N28"/>
    </sheetView>
  </sheetViews>
  <sheetFormatPr defaultColWidth="10.7109375" defaultRowHeight="15.75" x14ac:dyDescent="0.25"/>
  <cols>
    <col min="1" max="2" width="10.7109375" style="26"/>
    <col min="3" max="3" width="32" style="26" customWidth="1"/>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9.4257812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50" t="str">
        <f>'1. паспорт местоположение'!A5:C5</f>
        <v>Год раскрытия информации: 2023 год</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7" t="s">
        <v>7</v>
      </c>
      <c r="F7" s="357"/>
      <c r="G7" s="357"/>
      <c r="H7" s="357"/>
      <c r="I7" s="357"/>
      <c r="J7" s="357"/>
      <c r="K7" s="357"/>
      <c r="L7" s="357"/>
      <c r="M7" s="357"/>
      <c r="N7" s="357"/>
      <c r="O7" s="357"/>
      <c r="P7" s="357"/>
      <c r="Q7" s="357"/>
      <c r="R7" s="357"/>
      <c r="S7" s="357"/>
      <c r="T7" s="357"/>
      <c r="U7" s="357"/>
      <c r="V7" s="357"/>
      <c r="W7" s="357"/>
      <c r="X7" s="357"/>
      <c r="Y7" s="357"/>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5" t="str">
        <f>'1. паспорт местоположение'!A9</f>
        <v xml:space="preserve">Акционерное общество "Западная энергетическая компания" </v>
      </c>
      <c r="F9" s="355"/>
      <c r="G9" s="355"/>
      <c r="H9" s="355"/>
      <c r="I9" s="355"/>
      <c r="J9" s="355"/>
      <c r="K9" s="355"/>
      <c r="L9" s="355"/>
      <c r="M9" s="355"/>
      <c r="N9" s="355"/>
      <c r="O9" s="355"/>
      <c r="P9" s="355"/>
      <c r="Q9" s="355"/>
      <c r="R9" s="355"/>
      <c r="S9" s="355"/>
      <c r="T9" s="355"/>
      <c r="U9" s="355"/>
      <c r="V9" s="355"/>
      <c r="W9" s="355"/>
      <c r="X9" s="355"/>
      <c r="Y9" s="355"/>
    </row>
    <row r="10" spans="1:27" s="14" customFormat="1" ht="18.75" customHeight="1" x14ac:dyDescent="0.2">
      <c r="E10" s="361" t="s">
        <v>6</v>
      </c>
      <c r="F10" s="361"/>
      <c r="G10" s="361"/>
      <c r="H10" s="361"/>
      <c r="I10" s="361"/>
      <c r="J10" s="361"/>
      <c r="K10" s="361"/>
      <c r="L10" s="361"/>
      <c r="M10" s="361"/>
      <c r="N10" s="361"/>
      <c r="O10" s="361"/>
      <c r="P10" s="361"/>
      <c r="Q10" s="361"/>
      <c r="R10" s="361"/>
      <c r="S10" s="361"/>
      <c r="T10" s="361"/>
      <c r="U10" s="361"/>
      <c r="V10" s="361"/>
      <c r="W10" s="361"/>
      <c r="X10" s="361"/>
      <c r="Y10" s="361"/>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5" t="str">
        <f>'1. паспорт местоположение'!A12</f>
        <v>M_22-21</v>
      </c>
      <c r="F12" s="355"/>
      <c r="G12" s="355"/>
      <c r="H12" s="355"/>
      <c r="I12" s="355"/>
      <c r="J12" s="355"/>
      <c r="K12" s="355"/>
      <c r="L12" s="355"/>
      <c r="M12" s="355"/>
      <c r="N12" s="355"/>
      <c r="O12" s="355"/>
      <c r="P12" s="355"/>
      <c r="Q12" s="355"/>
      <c r="R12" s="355"/>
      <c r="S12" s="355"/>
      <c r="T12" s="355"/>
      <c r="U12" s="355"/>
      <c r="V12" s="355"/>
      <c r="W12" s="355"/>
      <c r="X12" s="355"/>
      <c r="Y12" s="355"/>
    </row>
    <row r="13" spans="1:27" s="14" customFormat="1" ht="18.75" customHeight="1" x14ac:dyDescent="0.2">
      <c r="E13" s="361" t="s">
        <v>5</v>
      </c>
      <c r="F13" s="361"/>
      <c r="G13" s="361"/>
      <c r="H13" s="361"/>
      <c r="I13" s="361"/>
      <c r="J13" s="361"/>
      <c r="K13" s="361"/>
      <c r="L13" s="361"/>
      <c r="M13" s="361"/>
      <c r="N13" s="361"/>
      <c r="O13" s="361"/>
      <c r="P13" s="361"/>
      <c r="Q13" s="361"/>
      <c r="R13" s="361"/>
      <c r="S13" s="361"/>
      <c r="T13" s="361"/>
      <c r="U13" s="361"/>
      <c r="V13" s="361"/>
      <c r="W13" s="361"/>
      <c r="X13" s="361"/>
      <c r="Y13" s="361"/>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5" t="str">
        <f>'1. паспорт местоположение'!A15</f>
        <v>Электроснабжение объекта "Кампус ФГАЩУ ВО "БФУ им. И. Канта" г.Калининград, ул.Невского 14</v>
      </c>
      <c r="F15" s="355"/>
      <c r="G15" s="355"/>
      <c r="H15" s="355"/>
      <c r="I15" s="355"/>
      <c r="J15" s="355"/>
      <c r="K15" s="355"/>
      <c r="L15" s="355"/>
      <c r="M15" s="355"/>
      <c r="N15" s="355"/>
      <c r="O15" s="355"/>
      <c r="P15" s="355"/>
      <c r="Q15" s="355"/>
      <c r="R15" s="355"/>
      <c r="S15" s="355"/>
      <c r="T15" s="355"/>
      <c r="U15" s="355"/>
      <c r="V15" s="355"/>
      <c r="W15" s="355"/>
      <c r="X15" s="355"/>
      <c r="Y15" s="355"/>
    </row>
    <row r="16" spans="1:27" s="106" customFormat="1" ht="15" customHeight="1" x14ac:dyDescent="0.2">
      <c r="E16" s="361" t="s">
        <v>4</v>
      </c>
      <c r="F16" s="361"/>
      <c r="G16" s="361"/>
      <c r="H16" s="361"/>
      <c r="I16" s="361"/>
      <c r="J16" s="361"/>
      <c r="K16" s="361"/>
      <c r="L16" s="361"/>
      <c r="M16" s="361"/>
      <c r="N16" s="361"/>
      <c r="O16" s="361"/>
      <c r="P16" s="361"/>
      <c r="Q16" s="361"/>
      <c r="R16" s="361"/>
      <c r="S16" s="361"/>
      <c r="T16" s="361"/>
      <c r="U16" s="361"/>
      <c r="V16" s="361"/>
      <c r="W16" s="361"/>
      <c r="X16" s="361"/>
      <c r="Y16" s="361"/>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80"/>
      <c r="F18" s="380"/>
      <c r="G18" s="380"/>
      <c r="H18" s="380"/>
      <c r="I18" s="380"/>
      <c r="J18" s="380"/>
      <c r="K18" s="380"/>
      <c r="L18" s="380"/>
      <c r="M18" s="380"/>
      <c r="N18" s="380"/>
      <c r="O18" s="380"/>
      <c r="P18" s="380"/>
      <c r="Q18" s="380"/>
      <c r="R18" s="380"/>
      <c r="S18" s="380"/>
      <c r="T18" s="380"/>
      <c r="U18" s="380"/>
      <c r="V18" s="380"/>
      <c r="W18" s="380"/>
      <c r="X18" s="380"/>
      <c r="Y18" s="380"/>
    </row>
    <row r="19" spans="1:27" ht="25.5" customHeight="1" x14ac:dyDescent="0.25">
      <c r="A19" s="380" t="s">
        <v>389</v>
      </c>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row>
    <row r="20" spans="1:27" s="27" customFormat="1" ht="21" customHeight="1" x14ac:dyDescent="0.25"/>
    <row r="21" spans="1:27" ht="15.75" customHeight="1" x14ac:dyDescent="0.25">
      <c r="A21" s="371" t="s">
        <v>3</v>
      </c>
      <c r="B21" s="367" t="s">
        <v>396</v>
      </c>
      <c r="C21" s="368"/>
      <c r="D21" s="367" t="s">
        <v>398</v>
      </c>
      <c r="E21" s="368"/>
      <c r="F21" s="377" t="s">
        <v>88</v>
      </c>
      <c r="G21" s="379"/>
      <c r="H21" s="379"/>
      <c r="I21" s="378"/>
      <c r="J21" s="371" t="s">
        <v>399</v>
      </c>
      <c r="K21" s="367" t="s">
        <v>400</v>
      </c>
      <c r="L21" s="368"/>
      <c r="M21" s="367" t="s">
        <v>401</v>
      </c>
      <c r="N21" s="368"/>
      <c r="O21" s="367" t="s">
        <v>388</v>
      </c>
      <c r="P21" s="368"/>
      <c r="Q21" s="367" t="s">
        <v>121</v>
      </c>
      <c r="R21" s="368"/>
      <c r="S21" s="371" t="s">
        <v>120</v>
      </c>
      <c r="T21" s="371" t="s">
        <v>402</v>
      </c>
      <c r="U21" s="371" t="s">
        <v>397</v>
      </c>
      <c r="V21" s="367" t="s">
        <v>119</v>
      </c>
      <c r="W21" s="368"/>
      <c r="X21" s="377" t="s">
        <v>111</v>
      </c>
      <c r="Y21" s="379"/>
      <c r="Z21" s="377" t="s">
        <v>110</v>
      </c>
      <c r="AA21" s="379"/>
    </row>
    <row r="22" spans="1:27" ht="216" customHeight="1" x14ac:dyDescent="0.25">
      <c r="A22" s="373"/>
      <c r="B22" s="369"/>
      <c r="C22" s="370"/>
      <c r="D22" s="369"/>
      <c r="E22" s="370"/>
      <c r="F22" s="377" t="s">
        <v>118</v>
      </c>
      <c r="G22" s="378"/>
      <c r="H22" s="377" t="s">
        <v>117</v>
      </c>
      <c r="I22" s="378"/>
      <c r="J22" s="372"/>
      <c r="K22" s="369"/>
      <c r="L22" s="370"/>
      <c r="M22" s="369"/>
      <c r="N22" s="370"/>
      <c r="O22" s="369"/>
      <c r="P22" s="370"/>
      <c r="Q22" s="369"/>
      <c r="R22" s="370"/>
      <c r="S22" s="372"/>
      <c r="T22" s="372"/>
      <c r="U22" s="372"/>
      <c r="V22" s="369"/>
      <c r="W22" s="370"/>
      <c r="X22" s="54" t="s">
        <v>109</v>
      </c>
      <c r="Y22" s="54" t="s">
        <v>386</v>
      </c>
      <c r="Z22" s="54" t="s">
        <v>108</v>
      </c>
      <c r="AA22" s="54" t="s">
        <v>107</v>
      </c>
    </row>
    <row r="23" spans="1:27" ht="60" customHeight="1" x14ac:dyDescent="0.25">
      <c r="A23" s="372"/>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84.75" customHeight="1" x14ac:dyDescent="0.25">
      <c r="A25" s="93">
        <v>1</v>
      </c>
      <c r="B25" s="94" t="s">
        <v>297</v>
      </c>
      <c r="C25" s="93" t="s">
        <v>650</v>
      </c>
      <c r="D25" s="93" t="s">
        <v>297</v>
      </c>
      <c r="E25" s="93" t="s">
        <v>537</v>
      </c>
      <c r="F25" s="93" t="s">
        <v>537</v>
      </c>
      <c r="G25" s="93">
        <v>10</v>
      </c>
      <c r="H25" s="93" t="s">
        <v>537</v>
      </c>
      <c r="I25" s="93">
        <v>10</v>
      </c>
      <c r="J25" s="93">
        <v>2023</v>
      </c>
      <c r="K25" s="93" t="s">
        <v>537</v>
      </c>
      <c r="L25" s="93" t="s">
        <v>537</v>
      </c>
      <c r="M25" s="93" t="s">
        <v>537</v>
      </c>
      <c r="N25" s="93" t="s">
        <v>660</v>
      </c>
      <c r="O25" s="93" t="s">
        <v>537</v>
      </c>
      <c r="P25" s="93" t="s">
        <v>585</v>
      </c>
      <c r="Q25" s="93" t="s">
        <v>537</v>
      </c>
      <c r="R25" s="93">
        <v>0.625</v>
      </c>
      <c r="S25" s="93" t="s">
        <v>537</v>
      </c>
      <c r="T25" s="93" t="s">
        <v>537</v>
      </c>
      <c r="U25" s="93" t="s">
        <v>537</v>
      </c>
      <c r="V25" s="93" t="s">
        <v>537</v>
      </c>
      <c r="W25" s="93" t="s">
        <v>537</v>
      </c>
      <c r="X25" s="93" t="s">
        <v>537</v>
      </c>
      <c r="Y25" s="93" t="s">
        <v>537</v>
      </c>
      <c r="Z25" s="93" t="s">
        <v>537</v>
      </c>
      <c r="AA25" s="93" t="s">
        <v>537</v>
      </c>
    </row>
    <row r="26" spans="1:27" s="27" customFormat="1" ht="63" x14ac:dyDescent="0.25">
      <c r="A26" s="93">
        <v>2</v>
      </c>
      <c r="B26" s="93" t="s">
        <v>297</v>
      </c>
      <c r="C26" s="93" t="s">
        <v>649</v>
      </c>
      <c r="D26" s="93"/>
      <c r="E26" s="93" t="s">
        <v>537</v>
      </c>
      <c r="F26" s="93" t="s">
        <v>537</v>
      </c>
      <c r="G26" s="93">
        <v>10</v>
      </c>
      <c r="H26" s="93"/>
      <c r="I26" s="93">
        <v>10</v>
      </c>
      <c r="J26" s="93">
        <v>2023</v>
      </c>
      <c r="K26" s="93" t="s">
        <v>537</v>
      </c>
      <c r="L26" s="93" t="s">
        <v>537</v>
      </c>
      <c r="M26" s="93" t="s">
        <v>537</v>
      </c>
      <c r="N26" s="93" t="s">
        <v>660</v>
      </c>
      <c r="O26" s="93" t="s">
        <v>537</v>
      </c>
      <c r="P26" s="93" t="s">
        <v>585</v>
      </c>
      <c r="Q26" s="93" t="s">
        <v>537</v>
      </c>
      <c r="R26" s="93">
        <v>0.625</v>
      </c>
      <c r="S26" s="93" t="s">
        <v>537</v>
      </c>
      <c r="T26" s="93" t="s">
        <v>537</v>
      </c>
      <c r="U26" s="93" t="s">
        <v>537</v>
      </c>
      <c r="V26" s="93" t="s">
        <v>537</v>
      </c>
      <c r="W26" s="93" t="s">
        <v>537</v>
      </c>
      <c r="X26" s="93" t="s">
        <v>537</v>
      </c>
      <c r="Y26" s="93" t="s">
        <v>537</v>
      </c>
      <c r="Z26" s="93" t="s">
        <v>537</v>
      </c>
      <c r="AA26" s="93" t="s">
        <v>537</v>
      </c>
    </row>
    <row r="27" spans="1:27" ht="63" x14ac:dyDescent="0.25">
      <c r="A27" s="93">
        <v>2</v>
      </c>
      <c r="B27" s="93" t="s">
        <v>297</v>
      </c>
      <c r="C27" s="93" t="s">
        <v>651</v>
      </c>
      <c r="D27" s="93"/>
      <c r="E27" s="93" t="s">
        <v>537</v>
      </c>
      <c r="F27" s="93" t="s">
        <v>537</v>
      </c>
      <c r="G27" s="93">
        <v>10</v>
      </c>
      <c r="H27" s="93"/>
      <c r="I27" s="93">
        <v>10</v>
      </c>
      <c r="J27" s="93">
        <v>2023</v>
      </c>
      <c r="K27" s="93" t="s">
        <v>537</v>
      </c>
      <c r="L27" s="93" t="s">
        <v>537</v>
      </c>
      <c r="M27" s="93" t="s">
        <v>537</v>
      </c>
      <c r="N27" s="93" t="s">
        <v>660</v>
      </c>
      <c r="O27" s="93" t="s">
        <v>537</v>
      </c>
      <c r="P27" s="93" t="s">
        <v>585</v>
      </c>
      <c r="Q27" s="93" t="s">
        <v>537</v>
      </c>
      <c r="R27" s="93">
        <v>0.625</v>
      </c>
      <c r="S27" s="93" t="s">
        <v>537</v>
      </c>
      <c r="T27" s="93" t="s">
        <v>537</v>
      </c>
      <c r="U27" s="93" t="s">
        <v>537</v>
      </c>
      <c r="V27" s="93" t="s">
        <v>537</v>
      </c>
      <c r="W27" s="93" t="s">
        <v>537</v>
      </c>
      <c r="X27" s="93" t="s">
        <v>537</v>
      </c>
      <c r="Y27" s="93" t="s">
        <v>537</v>
      </c>
      <c r="Z27" s="93" t="s">
        <v>537</v>
      </c>
      <c r="AA27" s="93" t="s">
        <v>537</v>
      </c>
    </row>
    <row r="28" spans="1:27" ht="63" x14ac:dyDescent="0.25">
      <c r="A28" s="93">
        <v>2</v>
      </c>
      <c r="B28" s="93" t="s">
        <v>297</v>
      </c>
      <c r="C28" s="93" t="s">
        <v>652</v>
      </c>
      <c r="D28" s="93"/>
      <c r="E28" s="93" t="s">
        <v>537</v>
      </c>
      <c r="F28" s="93" t="s">
        <v>537</v>
      </c>
      <c r="G28" s="93">
        <v>10</v>
      </c>
      <c r="H28" s="93"/>
      <c r="I28" s="93">
        <v>10</v>
      </c>
      <c r="J28" s="93">
        <v>2023</v>
      </c>
      <c r="K28" s="93" t="s">
        <v>537</v>
      </c>
      <c r="L28" s="93" t="s">
        <v>537</v>
      </c>
      <c r="M28" s="93" t="s">
        <v>537</v>
      </c>
      <c r="N28" s="93" t="s">
        <v>660</v>
      </c>
      <c r="O28" s="93" t="s">
        <v>537</v>
      </c>
      <c r="P28" s="93" t="s">
        <v>585</v>
      </c>
      <c r="Q28" s="93" t="s">
        <v>537</v>
      </c>
      <c r="R28" s="93">
        <v>0.625</v>
      </c>
      <c r="S28" s="93" t="s">
        <v>537</v>
      </c>
      <c r="T28" s="93" t="s">
        <v>537</v>
      </c>
      <c r="U28" s="93" t="s">
        <v>537</v>
      </c>
      <c r="V28" s="93" t="s">
        <v>537</v>
      </c>
      <c r="W28" s="93" t="s">
        <v>537</v>
      </c>
      <c r="X28" s="93" t="s">
        <v>537</v>
      </c>
      <c r="Y28" s="93" t="s">
        <v>537</v>
      </c>
      <c r="Z28" s="93" t="s">
        <v>537</v>
      </c>
      <c r="AA28" s="93" t="s">
        <v>537</v>
      </c>
    </row>
    <row r="29" spans="1:27" x14ac:dyDescent="0.25">
      <c r="R29" s="26">
        <f>SUM(R25:R28)</f>
        <v>2.5</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30" sqref="C30"/>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50" t="str">
        <f>'1. паспорт местоположение'!A5:C5</f>
        <v>Год раскрытия информации: 2023 год</v>
      </c>
      <c r="B5" s="350"/>
      <c r="C5" s="350"/>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7" t="s">
        <v>7</v>
      </c>
      <c r="B7" s="357"/>
      <c r="C7" s="357"/>
      <c r="D7" s="107"/>
      <c r="E7" s="107"/>
      <c r="F7" s="107"/>
      <c r="G7" s="107"/>
      <c r="H7" s="107"/>
      <c r="I7" s="107"/>
      <c r="J7" s="107"/>
      <c r="K7" s="107"/>
      <c r="L7" s="107"/>
      <c r="M7" s="107"/>
      <c r="N7" s="107"/>
      <c r="O7" s="107"/>
      <c r="P7" s="107"/>
      <c r="Q7" s="107"/>
      <c r="R7" s="107"/>
      <c r="S7" s="107"/>
      <c r="T7" s="107"/>
      <c r="U7" s="107"/>
    </row>
    <row r="8" spans="1:29" s="14" customFormat="1" ht="18.75" x14ac:dyDescent="0.2">
      <c r="A8" s="357"/>
      <c r="B8" s="357"/>
      <c r="C8" s="357"/>
      <c r="D8" s="118"/>
      <c r="E8" s="118"/>
      <c r="F8" s="118"/>
      <c r="G8" s="118"/>
      <c r="H8" s="107"/>
      <c r="I8" s="107"/>
      <c r="J8" s="107"/>
      <c r="K8" s="107"/>
      <c r="L8" s="107"/>
      <c r="M8" s="107"/>
      <c r="N8" s="107"/>
      <c r="O8" s="107"/>
      <c r="P8" s="107"/>
      <c r="Q8" s="107"/>
      <c r="R8" s="107"/>
      <c r="S8" s="107"/>
      <c r="T8" s="107"/>
      <c r="U8" s="107"/>
    </row>
    <row r="9" spans="1:29" s="14" customFormat="1" ht="18.75" x14ac:dyDescent="0.2">
      <c r="A9" s="355" t="str">
        <f>'1. паспорт местоположение'!A9:C9</f>
        <v xml:space="preserve">Акционерное общество "Западная энергетическая компания" </v>
      </c>
      <c r="B9" s="355"/>
      <c r="C9" s="355"/>
      <c r="D9" s="109"/>
      <c r="E9" s="109"/>
      <c r="F9" s="109"/>
      <c r="G9" s="109"/>
      <c r="H9" s="107"/>
      <c r="I9" s="107"/>
      <c r="J9" s="107"/>
      <c r="K9" s="107"/>
      <c r="L9" s="107"/>
      <c r="M9" s="107"/>
      <c r="N9" s="107"/>
      <c r="O9" s="107"/>
      <c r="P9" s="107"/>
      <c r="Q9" s="107"/>
      <c r="R9" s="107"/>
      <c r="S9" s="107"/>
      <c r="T9" s="107"/>
      <c r="U9" s="107"/>
    </row>
    <row r="10" spans="1:29" s="14" customFormat="1" ht="18.75" x14ac:dyDescent="0.2">
      <c r="A10" s="361" t="s">
        <v>6</v>
      </c>
      <c r="B10" s="361"/>
      <c r="C10" s="361"/>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7"/>
      <c r="B11" s="357"/>
      <c r="C11" s="357"/>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5" t="str">
        <f>'1. паспорт местоположение'!A12:C12</f>
        <v>M_22-21</v>
      </c>
      <c r="B12" s="355"/>
      <c r="C12" s="355"/>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61" t="s">
        <v>5</v>
      </c>
      <c r="B13" s="361"/>
      <c r="C13" s="361"/>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63"/>
      <c r="B14" s="363"/>
      <c r="C14" s="363"/>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82" t="str">
        <f>'1. паспорт местоположение'!A15:C15</f>
        <v>Электроснабжение объекта "Кампус ФГАЩУ ВО "БФУ им. И. Канта" г.Калининград, ул.Невского 14</v>
      </c>
      <c r="B15" s="382"/>
      <c r="C15" s="382"/>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61" t="s">
        <v>4</v>
      </c>
      <c r="B16" s="361"/>
      <c r="C16" s="361"/>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63"/>
      <c r="B17" s="363"/>
      <c r="C17" s="363"/>
      <c r="D17" s="108"/>
      <c r="E17" s="108"/>
      <c r="F17" s="108"/>
      <c r="G17" s="108"/>
      <c r="H17" s="108"/>
      <c r="I17" s="108"/>
      <c r="J17" s="108"/>
      <c r="K17" s="108"/>
      <c r="L17" s="108"/>
      <c r="M17" s="108"/>
      <c r="N17" s="108"/>
      <c r="O17" s="108"/>
      <c r="P17" s="108"/>
      <c r="Q17" s="108"/>
      <c r="R17" s="108"/>
    </row>
    <row r="18" spans="1:21" s="106" customFormat="1" ht="27.75" customHeight="1" x14ac:dyDescent="0.2">
      <c r="A18" s="364" t="s">
        <v>381</v>
      </c>
      <c r="B18" s="364"/>
      <c r="C18" s="364"/>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
        <v>628</v>
      </c>
      <c r="D22" s="110"/>
      <c r="E22" s="110"/>
      <c r="F22" s="108"/>
      <c r="G22" s="108"/>
      <c r="H22" s="108"/>
      <c r="I22" s="108"/>
      <c r="J22" s="108"/>
      <c r="K22" s="108"/>
      <c r="L22" s="108"/>
      <c r="M22" s="108"/>
      <c r="N22" s="108"/>
      <c r="O22" s="108"/>
      <c r="P22" s="108"/>
    </row>
    <row r="23" spans="1:21" ht="63" customHeight="1" x14ac:dyDescent="0.25">
      <c r="A23" s="120" t="s">
        <v>61</v>
      </c>
      <c r="B23" s="121" t="s">
        <v>58</v>
      </c>
      <c r="C23" s="122" t="s">
        <v>653</v>
      </c>
    </row>
    <row r="24" spans="1:21" ht="89.25" customHeight="1" x14ac:dyDescent="0.25">
      <c r="A24" s="120" t="s">
        <v>60</v>
      </c>
      <c r="B24" s="121" t="s">
        <v>413</v>
      </c>
      <c r="C24" s="122" t="s">
        <v>654</v>
      </c>
    </row>
    <row r="25" spans="1:21" ht="63" customHeight="1" x14ac:dyDescent="0.25">
      <c r="A25" s="120" t="s">
        <v>59</v>
      </c>
      <c r="B25" s="121" t="s">
        <v>414</v>
      </c>
      <c r="C25" s="331"/>
    </row>
    <row r="26" spans="1:21" ht="42.75" customHeight="1" x14ac:dyDescent="0.25">
      <c r="A26" s="120" t="s">
        <v>57</v>
      </c>
      <c r="B26" s="121" t="s">
        <v>208</v>
      </c>
      <c r="C26" s="119" t="s">
        <v>436</v>
      </c>
    </row>
    <row r="27" spans="1:21" ht="31.5" x14ac:dyDescent="0.25">
      <c r="A27" s="120" t="s">
        <v>56</v>
      </c>
      <c r="B27" s="121" t="s">
        <v>395</v>
      </c>
      <c r="C27" s="119" t="s">
        <v>629</v>
      </c>
    </row>
    <row r="28" spans="1:21" ht="42.75" customHeight="1" x14ac:dyDescent="0.25">
      <c r="A28" s="120" t="s">
        <v>54</v>
      </c>
      <c r="B28" s="121" t="s">
        <v>55</v>
      </c>
      <c r="C28" s="122">
        <v>2022</v>
      </c>
    </row>
    <row r="29" spans="1:21" ht="42.75" customHeight="1" x14ac:dyDescent="0.25">
      <c r="A29" s="120" t="s">
        <v>52</v>
      </c>
      <c r="B29" s="119" t="s">
        <v>53</v>
      </c>
      <c r="C29" s="122">
        <v>2023</v>
      </c>
    </row>
    <row r="30" spans="1:21" ht="42.75" customHeight="1" x14ac:dyDescent="0.25">
      <c r="A30" s="120" t="s">
        <v>70</v>
      </c>
      <c r="B30" s="119" t="s">
        <v>51</v>
      </c>
      <c r="C30" s="119" t="s">
        <v>655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50" t="str">
        <f>'1. паспорт местоположение'!A5:C5</f>
        <v>Год раскрытия информации: 2023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row>
    <row r="6" spans="1:28"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107"/>
      <c r="AB6" s="107"/>
    </row>
    <row r="7" spans="1:28" ht="18.75"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107"/>
      <c r="AB7" s="107"/>
    </row>
    <row r="8" spans="1:28" ht="15.75" x14ac:dyDescent="0.25">
      <c r="A8" s="355" t="str">
        <f>'1. паспорт местоположение'!A9:C9</f>
        <v xml:space="preserve">Акционерное общество "Западная энергетическая компания" </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109"/>
      <c r="AB8" s="109"/>
    </row>
    <row r="9" spans="1:28" ht="15.75" x14ac:dyDescent="0.25">
      <c r="A9" s="361" t="s">
        <v>6</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110"/>
      <c r="AB9" s="110"/>
    </row>
    <row r="10" spans="1:28" ht="18.75" x14ac:dyDescent="0.25">
      <c r="A10" s="357"/>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107"/>
      <c r="AB10" s="107"/>
    </row>
    <row r="11" spans="1:28" ht="15.75" x14ac:dyDescent="0.25">
      <c r="A11" s="362" t="str">
        <f>'1. паспорт местоположение'!A12:C12</f>
        <v>M_22-21</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109"/>
      <c r="AB11" s="109"/>
    </row>
    <row r="12" spans="1:28" ht="15.75"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110"/>
      <c r="AB12" s="110"/>
    </row>
    <row r="13" spans="1:28" ht="18.75"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124"/>
      <c r="AB13" s="124"/>
    </row>
    <row r="14" spans="1:28" ht="15.75" x14ac:dyDescent="0.25">
      <c r="A14" s="355" t="str">
        <f>'1. паспорт местоположение'!A15:C15</f>
        <v>Электроснабжение объекта "Кампус ФГАЩУ ВО "БФУ им. И. Канта" г.Калининград, ул.Невского 14</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109"/>
      <c r="AB14" s="109"/>
    </row>
    <row r="15" spans="1:28" ht="15.75"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110"/>
      <c r="AB15" s="110"/>
    </row>
    <row r="16" spans="1:28"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125"/>
      <c r="AB16" s="125"/>
    </row>
    <row r="17" spans="1:28"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125"/>
      <c r="AB17" s="125"/>
    </row>
    <row r="18" spans="1:28"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125"/>
      <c r="AB18" s="125"/>
    </row>
    <row r="19" spans="1:2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125"/>
      <c r="AB19" s="125"/>
    </row>
    <row r="20" spans="1:28" x14ac:dyDescent="0.25">
      <c r="A20" s="383"/>
      <c r="B20" s="383"/>
      <c r="C20" s="383"/>
      <c r="D20" s="383"/>
      <c r="E20" s="383"/>
      <c r="F20" s="383"/>
      <c r="G20" s="383"/>
      <c r="H20" s="383"/>
      <c r="I20" s="383"/>
      <c r="J20" s="383"/>
      <c r="K20" s="383"/>
      <c r="L20" s="383"/>
      <c r="M20" s="383"/>
      <c r="N20" s="383"/>
      <c r="O20" s="383"/>
      <c r="P20" s="383"/>
      <c r="Q20" s="383"/>
      <c r="R20" s="383"/>
      <c r="S20" s="383"/>
      <c r="T20" s="383"/>
      <c r="U20" s="383"/>
      <c r="V20" s="383"/>
      <c r="W20" s="383"/>
      <c r="X20" s="383"/>
      <c r="Y20" s="383"/>
      <c r="Z20" s="383"/>
      <c r="AA20" s="125"/>
      <c r="AB20" s="125"/>
    </row>
    <row r="21" spans="1:28" x14ac:dyDescent="0.25">
      <c r="A21" s="383"/>
      <c r="B21" s="383"/>
      <c r="C21" s="383"/>
      <c r="D21" s="383"/>
      <c r="E21" s="383"/>
      <c r="F21" s="383"/>
      <c r="G21" s="383"/>
      <c r="H21" s="383"/>
      <c r="I21" s="383"/>
      <c r="J21" s="383"/>
      <c r="K21" s="383"/>
      <c r="L21" s="383"/>
      <c r="M21" s="383"/>
      <c r="N21" s="383"/>
      <c r="O21" s="383"/>
      <c r="P21" s="383"/>
      <c r="Q21" s="383"/>
      <c r="R21" s="383"/>
      <c r="S21" s="383"/>
      <c r="T21" s="383"/>
      <c r="U21" s="383"/>
      <c r="V21" s="383"/>
      <c r="W21" s="383"/>
      <c r="X21" s="383"/>
      <c r="Y21" s="383"/>
      <c r="Z21" s="383"/>
      <c r="AA21" s="125"/>
      <c r="AB21" s="125"/>
    </row>
    <row r="22" spans="1:28" x14ac:dyDescent="0.25">
      <c r="A22" s="384" t="s">
        <v>412</v>
      </c>
      <c r="B22" s="384"/>
      <c r="C22" s="384"/>
      <c r="D22" s="384"/>
      <c r="E22" s="384"/>
      <c r="F22" s="384"/>
      <c r="G22" s="384"/>
      <c r="H22" s="384"/>
      <c r="I22" s="384"/>
      <c r="J22" s="384"/>
      <c r="K22" s="384"/>
      <c r="L22" s="384"/>
      <c r="M22" s="384"/>
      <c r="N22" s="384"/>
      <c r="O22" s="384"/>
      <c r="P22" s="384"/>
      <c r="Q22" s="384"/>
      <c r="R22" s="384"/>
      <c r="S22" s="384"/>
      <c r="T22" s="384"/>
      <c r="U22" s="384"/>
      <c r="V22" s="384"/>
      <c r="W22" s="384"/>
      <c r="X22" s="384"/>
      <c r="Y22" s="384"/>
      <c r="Z22" s="384"/>
      <c r="AA22" s="126"/>
      <c r="AB22" s="126"/>
    </row>
    <row r="23" spans="1:28" ht="32.25" customHeight="1" x14ac:dyDescent="0.25">
      <c r="A23" s="386" t="s">
        <v>295</v>
      </c>
      <c r="B23" s="387"/>
      <c r="C23" s="387"/>
      <c r="D23" s="387"/>
      <c r="E23" s="387"/>
      <c r="F23" s="387"/>
      <c r="G23" s="387"/>
      <c r="H23" s="387"/>
      <c r="I23" s="387"/>
      <c r="J23" s="387"/>
      <c r="K23" s="387"/>
      <c r="L23" s="388"/>
      <c r="M23" s="385" t="s">
        <v>296</v>
      </c>
      <c r="N23" s="385"/>
      <c r="O23" s="385"/>
      <c r="P23" s="385"/>
      <c r="Q23" s="385"/>
      <c r="R23" s="385"/>
      <c r="S23" s="385"/>
      <c r="T23" s="385"/>
      <c r="U23" s="385"/>
      <c r="V23" s="385"/>
      <c r="W23" s="385"/>
      <c r="X23" s="385"/>
      <c r="Y23" s="385"/>
      <c r="Z23" s="385"/>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50" t="str">
        <f>'1. паспорт местоположение'!A5:C5</f>
        <v>Год раскрытия информации: 2023 год</v>
      </c>
      <c r="B5" s="350"/>
      <c r="C5" s="350"/>
      <c r="D5" s="350"/>
      <c r="E5" s="350"/>
      <c r="F5" s="350"/>
      <c r="G5" s="350"/>
      <c r="H5" s="350"/>
      <c r="I5" s="350"/>
      <c r="J5" s="350"/>
      <c r="K5" s="350"/>
      <c r="L5" s="350"/>
      <c r="M5" s="350"/>
      <c r="N5" s="350"/>
      <c r="O5" s="350"/>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7" t="s">
        <v>7</v>
      </c>
      <c r="B7" s="357"/>
      <c r="C7" s="357"/>
      <c r="D7" s="357"/>
      <c r="E7" s="357"/>
      <c r="F7" s="357"/>
      <c r="G7" s="357"/>
      <c r="H7" s="357"/>
      <c r="I7" s="357"/>
      <c r="J7" s="357"/>
      <c r="K7" s="357"/>
      <c r="L7" s="357"/>
      <c r="M7" s="357"/>
      <c r="N7" s="357"/>
      <c r="O7" s="357"/>
      <c r="P7" s="107"/>
      <c r="Q7" s="107"/>
      <c r="R7" s="107"/>
      <c r="S7" s="107"/>
      <c r="T7" s="107"/>
      <c r="U7" s="107"/>
      <c r="V7" s="107"/>
      <c r="W7" s="107"/>
      <c r="X7" s="107"/>
      <c r="Y7" s="107"/>
      <c r="Z7" s="107"/>
    </row>
    <row r="8" spans="1:28" s="14" customFormat="1" ht="18.75" x14ac:dyDescent="0.2">
      <c r="A8" s="357"/>
      <c r="B8" s="357"/>
      <c r="C8" s="357"/>
      <c r="D8" s="357"/>
      <c r="E8" s="357"/>
      <c r="F8" s="357"/>
      <c r="G8" s="357"/>
      <c r="H8" s="357"/>
      <c r="I8" s="357"/>
      <c r="J8" s="357"/>
      <c r="K8" s="357"/>
      <c r="L8" s="357"/>
      <c r="M8" s="357"/>
      <c r="N8" s="357"/>
      <c r="O8" s="357"/>
      <c r="P8" s="107"/>
      <c r="Q8" s="107"/>
      <c r="R8" s="107"/>
      <c r="S8" s="107"/>
      <c r="T8" s="107"/>
      <c r="U8" s="107"/>
      <c r="V8" s="107"/>
      <c r="W8" s="107"/>
      <c r="X8" s="107"/>
      <c r="Y8" s="107"/>
      <c r="Z8" s="107"/>
    </row>
    <row r="9" spans="1:28" s="14" customFormat="1" ht="18.75" x14ac:dyDescent="0.2">
      <c r="A9" s="355" t="str">
        <f>'1. паспорт местоположение'!A9:C9</f>
        <v xml:space="preserve">Акционерное общество "Западная энергетическая компания" </v>
      </c>
      <c r="B9" s="355"/>
      <c r="C9" s="355"/>
      <c r="D9" s="355"/>
      <c r="E9" s="355"/>
      <c r="F9" s="355"/>
      <c r="G9" s="355"/>
      <c r="H9" s="355"/>
      <c r="I9" s="355"/>
      <c r="J9" s="355"/>
      <c r="K9" s="355"/>
      <c r="L9" s="355"/>
      <c r="M9" s="355"/>
      <c r="N9" s="355"/>
      <c r="O9" s="355"/>
      <c r="P9" s="107"/>
      <c r="Q9" s="107"/>
      <c r="R9" s="107"/>
      <c r="S9" s="107"/>
      <c r="T9" s="107"/>
      <c r="U9" s="107"/>
      <c r="V9" s="107"/>
      <c r="W9" s="107"/>
      <c r="X9" s="107"/>
      <c r="Y9" s="107"/>
      <c r="Z9" s="107"/>
    </row>
    <row r="10" spans="1:28" s="14" customFormat="1" ht="18.75" x14ac:dyDescent="0.2">
      <c r="A10" s="361" t="s">
        <v>6</v>
      </c>
      <c r="B10" s="361"/>
      <c r="C10" s="361"/>
      <c r="D10" s="361"/>
      <c r="E10" s="361"/>
      <c r="F10" s="361"/>
      <c r="G10" s="361"/>
      <c r="H10" s="361"/>
      <c r="I10" s="361"/>
      <c r="J10" s="361"/>
      <c r="K10" s="361"/>
      <c r="L10" s="361"/>
      <c r="M10" s="361"/>
      <c r="N10" s="361"/>
      <c r="O10" s="361"/>
      <c r="P10" s="107"/>
      <c r="Q10" s="107"/>
      <c r="R10" s="107"/>
      <c r="S10" s="107"/>
      <c r="T10" s="107"/>
      <c r="U10" s="107"/>
      <c r="V10" s="107"/>
      <c r="W10" s="107"/>
      <c r="X10" s="107"/>
      <c r="Y10" s="107"/>
      <c r="Z10" s="107"/>
    </row>
    <row r="11" spans="1:28" s="14" customFormat="1" ht="18.75" x14ac:dyDescent="0.2">
      <c r="A11" s="357"/>
      <c r="B11" s="357"/>
      <c r="C11" s="357"/>
      <c r="D11" s="357"/>
      <c r="E11" s="357"/>
      <c r="F11" s="357"/>
      <c r="G11" s="357"/>
      <c r="H11" s="357"/>
      <c r="I11" s="357"/>
      <c r="J11" s="357"/>
      <c r="K11" s="357"/>
      <c r="L11" s="357"/>
      <c r="M11" s="357"/>
      <c r="N11" s="357"/>
      <c r="O11" s="357"/>
      <c r="P11" s="107"/>
      <c r="Q11" s="107"/>
      <c r="R11" s="107"/>
      <c r="S11" s="107"/>
      <c r="T11" s="107"/>
      <c r="U11" s="107"/>
      <c r="V11" s="107"/>
      <c r="W11" s="107"/>
      <c r="X11" s="107"/>
      <c r="Y11" s="107"/>
      <c r="Z11" s="107"/>
    </row>
    <row r="12" spans="1:28" s="14" customFormat="1" ht="18.75" x14ac:dyDescent="0.2">
      <c r="A12" s="362" t="str">
        <f>'1. паспорт местоположение'!A12:C12</f>
        <v>M_22-21</v>
      </c>
      <c r="B12" s="362"/>
      <c r="C12" s="362"/>
      <c r="D12" s="362"/>
      <c r="E12" s="362"/>
      <c r="F12" s="362"/>
      <c r="G12" s="362"/>
      <c r="H12" s="362"/>
      <c r="I12" s="362"/>
      <c r="J12" s="362"/>
      <c r="K12" s="362"/>
      <c r="L12" s="362"/>
      <c r="M12" s="362"/>
      <c r="N12" s="362"/>
      <c r="O12" s="362"/>
      <c r="P12" s="107"/>
      <c r="Q12" s="107"/>
      <c r="R12" s="107"/>
      <c r="S12" s="107"/>
      <c r="T12" s="107"/>
      <c r="U12" s="107"/>
      <c r="V12" s="107"/>
      <c r="W12" s="107"/>
      <c r="X12" s="107"/>
      <c r="Y12" s="107"/>
      <c r="Z12" s="107"/>
    </row>
    <row r="13" spans="1:28" s="14" customFormat="1" ht="18.75" x14ac:dyDescent="0.2">
      <c r="A13" s="361" t="s">
        <v>5</v>
      </c>
      <c r="B13" s="361"/>
      <c r="C13" s="361"/>
      <c r="D13" s="361"/>
      <c r="E13" s="361"/>
      <c r="F13" s="361"/>
      <c r="G13" s="361"/>
      <c r="H13" s="361"/>
      <c r="I13" s="361"/>
      <c r="J13" s="361"/>
      <c r="K13" s="361"/>
      <c r="L13" s="361"/>
      <c r="M13" s="361"/>
      <c r="N13" s="361"/>
      <c r="O13" s="361"/>
      <c r="P13" s="107"/>
      <c r="Q13" s="107"/>
      <c r="R13" s="107"/>
      <c r="S13" s="107"/>
      <c r="T13" s="107"/>
      <c r="U13" s="107"/>
      <c r="V13" s="107"/>
      <c r="W13" s="107"/>
      <c r="X13" s="107"/>
      <c r="Y13" s="107"/>
      <c r="Z13" s="107"/>
    </row>
    <row r="14" spans="1:28" s="14" customFormat="1" ht="15.75" customHeight="1" x14ac:dyDescent="0.2">
      <c r="A14" s="363"/>
      <c r="B14" s="363"/>
      <c r="C14" s="363"/>
      <c r="D14" s="363"/>
      <c r="E14" s="363"/>
      <c r="F14" s="363"/>
      <c r="G14" s="363"/>
      <c r="H14" s="363"/>
      <c r="I14" s="363"/>
      <c r="J14" s="363"/>
      <c r="K14" s="363"/>
      <c r="L14" s="363"/>
      <c r="M14" s="363"/>
      <c r="N14" s="363"/>
      <c r="O14" s="363"/>
      <c r="P14" s="108"/>
      <c r="Q14" s="108"/>
      <c r="R14" s="108"/>
      <c r="S14" s="108"/>
      <c r="T14" s="108"/>
      <c r="U14" s="108"/>
      <c r="V14" s="108"/>
      <c r="W14" s="108"/>
      <c r="X14" s="108"/>
      <c r="Y14" s="108"/>
      <c r="Z14" s="108"/>
    </row>
    <row r="15" spans="1:28" s="106" customFormat="1" ht="15.75" x14ac:dyDescent="0.2">
      <c r="A15" s="355" t="str">
        <f>'1. паспорт местоположение'!A15:C15</f>
        <v>Электроснабжение объекта "Кампус ФГАЩУ ВО "БФУ им. И. Канта" г.Калининград, ул.Невского 14</v>
      </c>
      <c r="B15" s="355"/>
      <c r="C15" s="355"/>
      <c r="D15" s="355"/>
      <c r="E15" s="355"/>
      <c r="F15" s="355"/>
      <c r="G15" s="355"/>
      <c r="H15" s="355"/>
      <c r="I15" s="355"/>
      <c r="J15" s="355"/>
      <c r="K15" s="355"/>
      <c r="L15" s="355"/>
      <c r="M15" s="355"/>
      <c r="N15" s="355"/>
      <c r="O15" s="355"/>
      <c r="P15" s="109"/>
      <c r="Q15" s="109"/>
      <c r="R15" s="109"/>
      <c r="S15" s="109"/>
      <c r="T15" s="109"/>
      <c r="U15" s="109"/>
      <c r="V15" s="109"/>
      <c r="W15" s="109"/>
      <c r="X15" s="109"/>
      <c r="Y15" s="109"/>
      <c r="Z15" s="109"/>
    </row>
    <row r="16" spans="1:28" s="106" customFormat="1" ht="15" customHeight="1" x14ac:dyDescent="0.2">
      <c r="A16" s="361" t="s">
        <v>4</v>
      </c>
      <c r="B16" s="361"/>
      <c r="C16" s="361"/>
      <c r="D16" s="361"/>
      <c r="E16" s="361"/>
      <c r="F16" s="361"/>
      <c r="G16" s="361"/>
      <c r="H16" s="361"/>
      <c r="I16" s="361"/>
      <c r="J16" s="361"/>
      <c r="K16" s="361"/>
      <c r="L16" s="361"/>
      <c r="M16" s="361"/>
      <c r="N16" s="361"/>
      <c r="O16" s="361"/>
      <c r="P16" s="110"/>
      <c r="Q16" s="110"/>
      <c r="R16" s="110"/>
      <c r="S16" s="110"/>
      <c r="T16" s="110"/>
      <c r="U16" s="110"/>
      <c r="V16" s="110"/>
      <c r="W16" s="110"/>
      <c r="X16" s="110"/>
      <c r="Y16" s="110"/>
      <c r="Z16" s="110"/>
    </row>
    <row r="17" spans="1:26" s="106" customFormat="1" ht="15" customHeight="1" x14ac:dyDescent="0.2">
      <c r="A17" s="363"/>
      <c r="B17" s="363"/>
      <c r="C17" s="363"/>
      <c r="D17" s="363"/>
      <c r="E17" s="363"/>
      <c r="F17" s="363"/>
      <c r="G17" s="363"/>
      <c r="H17" s="363"/>
      <c r="I17" s="363"/>
      <c r="J17" s="363"/>
      <c r="K17" s="363"/>
      <c r="L17" s="363"/>
      <c r="M17" s="363"/>
      <c r="N17" s="363"/>
      <c r="O17" s="363"/>
      <c r="P17" s="108"/>
      <c r="Q17" s="108"/>
      <c r="R17" s="108"/>
      <c r="S17" s="108"/>
      <c r="T17" s="108"/>
      <c r="U17" s="108"/>
      <c r="V17" s="108"/>
      <c r="W17" s="108"/>
    </row>
    <row r="18" spans="1:26" s="106" customFormat="1" ht="91.5" customHeight="1" x14ac:dyDescent="0.2">
      <c r="A18" s="393" t="s">
        <v>390</v>
      </c>
      <c r="B18" s="393"/>
      <c r="C18" s="393"/>
      <c r="D18" s="393"/>
      <c r="E18" s="393"/>
      <c r="F18" s="393"/>
      <c r="G18" s="393"/>
      <c r="H18" s="393"/>
      <c r="I18" s="393"/>
      <c r="J18" s="393"/>
      <c r="K18" s="393"/>
      <c r="L18" s="393"/>
      <c r="M18" s="393"/>
      <c r="N18" s="393"/>
      <c r="O18" s="393"/>
      <c r="P18" s="111"/>
      <c r="Q18" s="111"/>
      <c r="R18" s="111"/>
      <c r="S18" s="111"/>
      <c r="T18" s="111"/>
      <c r="U18" s="111"/>
      <c r="V18" s="111"/>
      <c r="W18" s="111"/>
      <c r="X18" s="111"/>
      <c r="Y18" s="111"/>
      <c r="Z18" s="111"/>
    </row>
    <row r="19" spans="1:26" s="106" customFormat="1" ht="78" customHeight="1" x14ac:dyDescent="0.2">
      <c r="A19" s="389" t="s">
        <v>3</v>
      </c>
      <c r="B19" s="389" t="s">
        <v>82</v>
      </c>
      <c r="C19" s="389" t="s">
        <v>81</v>
      </c>
      <c r="D19" s="389" t="s">
        <v>73</v>
      </c>
      <c r="E19" s="390" t="s">
        <v>80</v>
      </c>
      <c r="F19" s="391"/>
      <c r="G19" s="391"/>
      <c r="H19" s="391"/>
      <c r="I19" s="392"/>
      <c r="J19" s="389" t="s">
        <v>79</v>
      </c>
      <c r="K19" s="389"/>
      <c r="L19" s="389"/>
      <c r="M19" s="389"/>
      <c r="N19" s="389"/>
      <c r="O19" s="389"/>
      <c r="P19" s="108"/>
      <c r="Q19" s="108"/>
      <c r="R19" s="108"/>
      <c r="S19" s="108"/>
      <c r="T19" s="108"/>
      <c r="U19" s="108"/>
      <c r="V19" s="108"/>
      <c r="W19" s="108"/>
    </row>
    <row r="20" spans="1:26" s="106" customFormat="1" ht="51" customHeight="1" x14ac:dyDescent="0.2">
      <c r="A20" s="389"/>
      <c r="B20" s="389"/>
      <c r="C20" s="389"/>
      <c r="D20" s="389"/>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621</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9" zoomScale="90" zoomScaleNormal="90" workbookViewId="0">
      <selection activeCell="F54" sqref="F54"/>
    </sheetView>
  </sheetViews>
  <sheetFormatPr defaultColWidth="9.140625" defaultRowHeight="15.75" x14ac:dyDescent="0.2"/>
  <cols>
    <col min="1" max="1" width="61.7109375" style="210" customWidth="1"/>
    <col min="2" max="2" width="18.5703125" style="189" customWidth="1"/>
    <col min="3" max="12" width="16.85546875" style="189" customWidth="1"/>
    <col min="13" max="42" width="16.85546875" style="189" hidden="1"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409" t="str">
        <f>'1. паспорт местоположение'!A5:C5</f>
        <v>Год раскрытия информации: 2023 год</v>
      </c>
      <c r="B5" s="409"/>
      <c r="C5" s="409"/>
      <c r="D5" s="409"/>
      <c r="E5" s="409"/>
      <c r="F5" s="409"/>
      <c r="G5" s="409"/>
      <c r="H5" s="409"/>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410" t="s">
        <v>7</v>
      </c>
      <c r="B7" s="410"/>
      <c r="C7" s="410"/>
      <c r="D7" s="410"/>
      <c r="E7" s="410"/>
      <c r="F7" s="410"/>
      <c r="G7" s="410"/>
      <c r="H7" s="410"/>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11" t="str">
        <f>'1. паспорт местоположение'!A9:C10</f>
        <v xml:space="preserve">Акционерное общество "Западная энергетическая компания" </v>
      </c>
      <c r="B9" s="411"/>
      <c r="C9" s="411"/>
      <c r="D9" s="411"/>
      <c r="E9" s="411"/>
      <c r="F9" s="411"/>
      <c r="G9" s="411"/>
      <c r="H9" s="411"/>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12" t="s">
        <v>6</v>
      </c>
      <c r="B10" s="412"/>
      <c r="C10" s="412"/>
      <c r="D10" s="412"/>
      <c r="E10" s="412"/>
      <c r="F10" s="412"/>
      <c r="G10" s="412"/>
      <c r="H10" s="412"/>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11" t="str">
        <f>'1. паспорт местоположение'!A12:C12</f>
        <v>M_22-21</v>
      </c>
      <c r="B12" s="411"/>
      <c r="C12" s="411"/>
      <c r="D12" s="411"/>
      <c r="E12" s="411"/>
      <c r="F12" s="411"/>
      <c r="G12" s="411"/>
      <c r="H12" s="411"/>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12" t="s">
        <v>5</v>
      </c>
      <c r="B13" s="412"/>
      <c r="C13" s="412"/>
      <c r="D13" s="412"/>
      <c r="E13" s="412"/>
      <c r="F13" s="412"/>
      <c r="G13" s="412"/>
      <c r="H13" s="412"/>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13" t="str">
        <f>'1. паспорт местоположение'!A15:C15</f>
        <v>Электроснабжение объекта "Кампус ФГАЩУ ВО "БФУ им. И. Канта" г.Калининград, ул.Невского 14</v>
      </c>
      <c r="B15" s="413"/>
      <c r="C15" s="413"/>
      <c r="D15" s="413"/>
      <c r="E15" s="413"/>
      <c r="F15" s="413"/>
      <c r="G15" s="413"/>
      <c r="H15" s="413"/>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12" t="s">
        <v>4</v>
      </c>
      <c r="B16" s="412"/>
      <c r="C16" s="412"/>
      <c r="D16" s="412"/>
      <c r="E16" s="412"/>
      <c r="F16" s="412"/>
      <c r="G16" s="412"/>
      <c r="H16" s="412"/>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11" t="s">
        <v>391</v>
      </c>
      <c r="B18" s="411"/>
      <c r="C18" s="411"/>
      <c r="D18" s="411"/>
      <c r="E18" s="411"/>
      <c r="F18" s="411"/>
      <c r="G18" s="411"/>
      <c r="H18" s="411"/>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61340563.421050161</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6" t="s">
        <v>285</v>
      </c>
      <c r="E28" s="397"/>
      <c r="F28" s="398"/>
      <c r="G28" s="407">
        <f ca="1">IF(SUM(B89:L89)=0,"не окупается",SUM(B89:L89))</f>
        <v>0</v>
      </c>
      <c r="H28" s="408"/>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61340.563421050167</v>
      </c>
      <c r="C29" s="189"/>
      <c r="D29" s="396" t="s">
        <v>283</v>
      </c>
      <c r="E29" s="397"/>
      <c r="F29" s="398"/>
      <c r="G29" s="407">
        <f ca="1">IF(SUM(B90:L90)=0,"не окупается",SUM(B90:L90))</f>
        <v>0</v>
      </c>
      <c r="H29" s="408"/>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6" t="s">
        <v>546</v>
      </c>
      <c r="E30" s="397"/>
      <c r="F30" s="398"/>
      <c r="G30" s="399">
        <f ca="1">L87</f>
        <v>0</v>
      </c>
      <c r="H30" s="400"/>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01"/>
      <c r="E31" s="402"/>
      <c r="F31" s="403"/>
      <c r="G31" s="401"/>
      <c r="H31" s="403"/>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547</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v>4.9000000000000002E-2</v>
      </c>
      <c r="C48" s="237">
        <v>0.13900000000000001</v>
      </c>
      <c r="D48" s="237">
        <v>5.8999999999999997E-2</v>
      </c>
      <c r="E48" s="237">
        <v>5.2999999999999999E-2</v>
      </c>
      <c r="F48" s="237">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1">AJ136</f>
        <v>4.7E-2</v>
      </c>
      <c r="AF48" s="237">
        <f t="shared" si="1"/>
        <v>4.7E-2</v>
      </c>
      <c r="AG48" s="237">
        <f t="shared" si="1"/>
        <v>4.7E-2</v>
      </c>
      <c r="AH48" s="237">
        <f t="shared" si="1"/>
        <v>4.7E-2</v>
      </c>
      <c r="AI48" s="237">
        <f t="shared" si="1"/>
        <v>4.7E-2</v>
      </c>
      <c r="AJ48" s="237">
        <f t="shared" si="1"/>
        <v>4.7E-2</v>
      </c>
      <c r="AK48" s="237">
        <f t="shared" si="1"/>
        <v>4.7E-2</v>
      </c>
      <c r="AL48" s="237">
        <f t="shared" si="1"/>
        <v>4.7E-2</v>
      </c>
      <c r="AM48" s="237">
        <f t="shared" si="1"/>
        <v>4.7E-2</v>
      </c>
      <c r="AN48" s="237">
        <f t="shared" si="1"/>
        <v>4.7E-2</v>
      </c>
      <c r="AO48" s="237">
        <f t="shared" si="1"/>
        <v>4.7E-2</v>
      </c>
      <c r="AP48" s="237">
        <f t="shared" si="1"/>
        <v>4.7E-2</v>
      </c>
    </row>
    <row r="49" spans="1:45" x14ac:dyDescent="0.2">
      <c r="A49" s="236" t="s">
        <v>268</v>
      </c>
      <c r="B49" s="237">
        <f>G137</f>
        <v>0.21544892057600018</v>
      </c>
      <c r="C49" s="237">
        <f t="shared" ref="C49:AP49" si="2">H137</f>
        <v>0.27743681552537613</v>
      </c>
      <c r="D49" s="237">
        <f t="shared" si="2"/>
        <v>0.34003121948611947</v>
      </c>
      <c r="E49" s="237">
        <f t="shared" si="2"/>
        <v>0.403012686801967</v>
      </c>
      <c r="F49" s="237">
        <f t="shared" si="2"/>
        <v>0.46895428308165932</v>
      </c>
      <c r="G49" s="237">
        <f t="shared" si="2"/>
        <v>0.53799513438649726</v>
      </c>
      <c r="H49" s="237">
        <f t="shared" si="2"/>
        <v>0.61028090570266258</v>
      </c>
      <c r="I49" s="237">
        <f t="shared" si="2"/>
        <v>0.68596410827068754</v>
      </c>
      <c r="J49" s="237">
        <f t="shared" si="2"/>
        <v>0.7652044213594098</v>
      </c>
      <c r="K49" s="237">
        <f t="shared" si="2"/>
        <v>0.84816902916330195</v>
      </c>
      <c r="L49" s="237">
        <f t="shared" si="2"/>
        <v>0.93503297353397707</v>
      </c>
      <c r="M49" s="237">
        <f t="shared" si="2"/>
        <v>1.0259795232900739</v>
      </c>
      <c r="N49" s="237">
        <f t="shared" si="2"/>
        <v>1.1212005608847071</v>
      </c>
      <c r="O49" s="237">
        <f t="shared" si="2"/>
        <v>1.220896987246288</v>
      </c>
      <c r="P49" s="237">
        <f t="shared" si="2"/>
        <v>1.3252791456468636</v>
      </c>
      <c r="Q49" s="237">
        <f t="shared" si="2"/>
        <v>1.4345672654922659</v>
      </c>
      <c r="R49" s="237">
        <f t="shared" si="2"/>
        <v>1.5489919269704022</v>
      </c>
      <c r="S49" s="237">
        <f t="shared" si="2"/>
        <v>1.668794547538011</v>
      </c>
      <c r="T49" s="237">
        <f t="shared" si="2"/>
        <v>1.7942278912722975</v>
      </c>
      <c r="U49" s="237">
        <f t="shared" si="2"/>
        <v>1.9255566021620951</v>
      </c>
      <c r="V49" s="237">
        <f t="shared" si="2"/>
        <v>2.0630577624637132</v>
      </c>
      <c r="W49" s="237">
        <f t="shared" si="2"/>
        <v>2.2070214772995076</v>
      </c>
      <c r="X49" s="237">
        <f t="shared" si="2"/>
        <v>2.3577514867325844</v>
      </c>
      <c r="Y49" s="237">
        <f t="shared" si="2"/>
        <v>2.5155658066090156</v>
      </c>
      <c r="Z49" s="237">
        <f t="shared" si="2"/>
        <v>2.6807973995196392</v>
      </c>
      <c r="AA49" s="237">
        <f t="shared" si="2"/>
        <v>2.8537948772970618</v>
      </c>
      <c r="AB49" s="237">
        <f t="shared" si="2"/>
        <v>3.0349232365300232</v>
      </c>
      <c r="AC49" s="237">
        <f t="shared" si="2"/>
        <v>3.2245646286469336</v>
      </c>
      <c r="AD49" s="237">
        <f t="shared" si="2"/>
        <v>3.4231191661933389</v>
      </c>
      <c r="AE49" s="237">
        <f t="shared" si="2"/>
        <v>3.6310057670044253</v>
      </c>
      <c r="AF49" s="237">
        <f t="shared" si="2"/>
        <v>3.8486630380536333</v>
      </c>
      <c r="AG49" s="237">
        <f t="shared" si="2"/>
        <v>4.0765502008421537</v>
      </c>
      <c r="AH49" s="237">
        <f t="shared" si="2"/>
        <v>4.3151480602817349</v>
      </c>
      <c r="AI49" s="237">
        <f t="shared" si="2"/>
        <v>4.5649600191149764</v>
      </c>
      <c r="AJ49" s="237">
        <f t="shared" si="2"/>
        <v>4.8265131400133798</v>
      </c>
      <c r="AK49" s="237">
        <f t="shared" si="2"/>
        <v>5.1003592575940084</v>
      </c>
      <c r="AL49" s="237">
        <f t="shared" si="2"/>
        <v>5.3870761427009262</v>
      </c>
      <c r="AM49" s="237">
        <f t="shared" si="2"/>
        <v>5.687268721407869</v>
      </c>
      <c r="AN49" s="237">
        <f t="shared" si="2"/>
        <v>6.0015703513140384</v>
      </c>
      <c r="AO49" s="237">
        <f t="shared" si="2"/>
        <v>6.3306441578257973</v>
      </c>
      <c r="AP49" s="237">
        <f t="shared" si="2"/>
        <v>6.6751844332436097</v>
      </c>
      <c r="AQ49" s="191"/>
      <c r="AR49" s="191"/>
      <c r="AS49" s="191"/>
    </row>
    <row r="50" spans="1:45" ht="16.5" thickBot="1" x14ac:dyDescent="0.25">
      <c r="A50" s="238" t="s">
        <v>431</v>
      </c>
      <c r="B50" s="239">
        <v>8233098</v>
      </c>
      <c r="C50" s="239">
        <f>C108*(1+C49)</f>
        <v>0</v>
      </c>
      <c r="D50" s="239">
        <f>H108*(1+H49)</f>
        <v>307559.93860899296</v>
      </c>
      <c r="E50" s="239">
        <f t="shared" ref="E50:M50" si="3">I108*(1+E49)</f>
        <v>535944.37379502703</v>
      </c>
      <c r="F50" s="239">
        <f t="shared" si="3"/>
        <v>841700.63904508995</v>
      </c>
      <c r="G50" s="239">
        <f t="shared" si="3"/>
        <v>1175014.0921069453</v>
      </c>
      <c r="H50" s="239">
        <f t="shared" si="3"/>
        <v>1537799.6930449647</v>
      </c>
      <c r="I50" s="239">
        <f t="shared" si="3"/>
        <v>2254106.790065309</v>
      </c>
      <c r="J50" s="239">
        <f t="shared" si="3"/>
        <v>2360049.8091983786</v>
      </c>
      <c r="K50" s="239">
        <f t="shared" si="3"/>
        <v>2470972.150230702</v>
      </c>
      <c r="L50" s="239">
        <f t="shared" si="3"/>
        <v>2587107.841291545</v>
      </c>
      <c r="M50" s="239">
        <f t="shared" si="3"/>
        <v>2708701.9098322475</v>
      </c>
      <c r="N50" s="239">
        <f t="shared" ref="N50:AP50" si="4">N108*(1+N49)</f>
        <v>2836010.8995943628</v>
      </c>
      <c r="O50" s="239">
        <f t="shared" si="4"/>
        <v>2969303.4118752973</v>
      </c>
      <c r="P50" s="239">
        <f t="shared" si="4"/>
        <v>3108860.6722334363</v>
      </c>
      <c r="Q50" s="239">
        <f t="shared" si="4"/>
        <v>3254977.1238284078</v>
      </c>
      <c r="R50" s="239">
        <f t="shared" si="4"/>
        <v>3407961.0486483425</v>
      </c>
      <c r="S50" s="239">
        <f t="shared" si="4"/>
        <v>3568135.2179348147</v>
      </c>
      <c r="T50" s="239">
        <f t="shared" si="4"/>
        <v>3735837.5731777507</v>
      </c>
      <c r="U50" s="239">
        <f t="shared" si="4"/>
        <v>3911421.9391171047</v>
      </c>
      <c r="V50" s="239">
        <f t="shared" si="4"/>
        <v>4095258.770255608</v>
      </c>
      <c r="W50" s="239">
        <f t="shared" si="4"/>
        <v>4287735.9324576212</v>
      </c>
      <c r="X50" s="239">
        <f t="shared" si="4"/>
        <v>4489259.5212831292</v>
      </c>
      <c r="Y50" s="239">
        <f t="shared" si="4"/>
        <v>4700254.7187834363</v>
      </c>
      <c r="Z50" s="239">
        <f t="shared" si="4"/>
        <v>4921166.6905662576</v>
      </c>
      <c r="AA50" s="239">
        <f t="shared" si="4"/>
        <v>5152461.5250228709</v>
      </c>
      <c r="AB50" s="239">
        <f t="shared" si="4"/>
        <v>5394627.2166989455</v>
      </c>
      <c r="AC50" s="239">
        <f t="shared" si="4"/>
        <v>5648174.6958837947</v>
      </c>
      <c r="AD50" s="239">
        <f t="shared" si="4"/>
        <v>5913638.9065903323</v>
      </c>
      <c r="AE50" s="239">
        <f t="shared" si="4"/>
        <v>6191579.9352000775</v>
      </c>
      <c r="AF50" s="239">
        <f t="shared" si="4"/>
        <v>6482584.1921544811</v>
      </c>
      <c r="AG50" s="239">
        <f t="shared" si="4"/>
        <v>6787265.6491857413</v>
      </c>
      <c r="AH50" s="239">
        <f t="shared" si="4"/>
        <v>7106267.1346974708</v>
      </c>
      <c r="AI50" s="239">
        <f t="shared" si="4"/>
        <v>7440261.6900282521</v>
      </c>
      <c r="AJ50" s="239">
        <f t="shared" si="4"/>
        <v>7789953.9894595789</v>
      </c>
      <c r="AK50" s="239">
        <f t="shared" si="4"/>
        <v>8156081.8269641791</v>
      </c>
      <c r="AL50" s="239">
        <f t="shared" si="4"/>
        <v>8539417.6728314944</v>
      </c>
      <c r="AM50" s="239">
        <f t="shared" si="4"/>
        <v>8940770.3034545742</v>
      </c>
      <c r="AN50" s="239">
        <f t="shared" si="4"/>
        <v>9360986.5077169389</v>
      </c>
      <c r="AO50" s="239">
        <f t="shared" si="4"/>
        <v>9800952.8735796325</v>
      </c>
      <c r="AP50" s="239">
        <f t="shared" si="4"/>
        <v>10261597.658637876</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5">C58</f>
        <v>2</v>
      </c>
      <c r="D52" s="241">
        <f t="shared" si="5"/>
        <v>3</v>
      </c>
      <c r="E52" s="241">
        <f t="shared" si="5"/>
        <v>4</v>
      </c>
      <c r="F52" s="241">
        <f t="shared" si="5"/>
        <v>5</v>
      </c>
      <c r="G52" s="241">
        <f t="shared" si="5"/>
        <v>6</v>
      </c>
      <c r="H52" s="241">
        <f t="shared" si="5"/>
        <v>7</v>
      </c>
      <c r="I52" s="241">
        <f t="shared" si="5"/>
        <v>8</v>
      </c>
      <c r="J52" s="241">
        <f t="shared" si="5"/>
        <v>9</v>
      </c>
      <c r="K52" s="241">
        <f t="shared" si="5"/>
        <v>10</v>
      </c>
      <c r="L52" s="241">
        <f t="shared" si="5"/>
        <v>11</v>
      </c>
      <c r="M52" s="241">
        <f t="shared" si="5"/>
        <v>12</v>
      </c>
      <c r="N52" s="241">
        <f t="shared" si="5"/>
        <v>13</v>
      </c>
      <c r="O52" s="241">
        <f t="shared" si="5"/>
        <v>14</v>
      </c>
      <c r="P52" s="241">
        <f t="shared" si="5"/>
        <v>15</v>
      </c>
      <c r="Q52" s="241">
        <f t="shared" si="5"/>
        <v>16</v>
      </c>
      <c r="R52" s="241">
        <f t="shared" si="5"/>
        <v>17</v>
      </c>
      <c r="S52" s="241">
        <f t="shared" si="5"/>
        <v>18</v>
      </c>
      <c r="T52" s="241">
        <f t="shared" si="5"/>
        <v>19</v>
      </c>
      <c r="U52" s="241">
        <f t="shared" si="5"/>
        <v>20</v>
      </c>
      <c r="V52" s="241">
        <f t="shared" si="5"/>
        <v>21</v>
      </c>
      <c r="W52" s="241">
        <f t="shared" si="5"/>
        <v>22</v>
      </c>
      <c r="X52" s="241">
        <f t="shared" si="5"/>
        <v>23</v>
      </c>
      <c r="Y52" s="241">
        <f t="shared" si="5"/>
        <v>24</v>
      </c>
      <c r="Z52" s="241">
        <f t="shared" si="5"/>
        <v>25</v>
      </c>
      <c r="AA52" s="241">
        <f t="shared" si="5"/>
        <v>26</v>
      </c>
      <c r="AB52" s="241">
        <f t="shared" si="5"/>
        <v>27</v>
      </c>
      <c r="AC52" s="241">
        <f t="shared" si="5"/>
        <v>28</v>
      </c>
      <c r="AD52" s="241">
        <f t="shared" si="5"/>
        <v>29</v>
      </c>
      <c r="AE52" s="241">
        <f t="shared" si="5"/>
        <v>30</v>
      </c>
      <c r="AF52" s="241">
        <f t="shared" si="5"/>
        <v>31</v>
      </c>
      <c r="AG52" s="241">
        <f t="shared" si="5"/>
        <v>32</v>
      </c>
      <c r="AH52" s="241">
        <f t="shared" si="5"/>
        <v>33</v>
      </c>
      <c r="AI52" s="241">
        <f t="shared" si="5"/>
        <v>34</v>
      </c>
      <c r="AJ52" s="241">
        <f t="shared" si="5"/>
        <v>35</v>
      </c>
      <c r="AK52" s="241">
        <f t="shared" si="5"/>
        <v>36</v>
      </c>
      <c r="AL52" s="241">
        <f t="shared" si="5"/>
        <v>37</v>
      </c>
      <c r="AM52" s="241">
        <f t="shared" si="5"/>
        <v>38</v>
      </c>
      <c r="AN52" s="241">
        <f t="shared" si="5"/>
        <v>39</v>
      </c>
      <c r="AO52" s="241">
        <f t="shared" si="5"/>
        <v>40</v>
      </c>
      <c r="AP52" s="241">
        <f>AP58</f>
        <v>41</v>
      </c>
    </row>
    <row r="53" spans="1:45" x14ac:dyDescent="0.2">
      <c r="A53" s="242" t="s">
        <v>266</v>
      </c>
      <c r="B53" s="243">
        <v>0</v>
      </c>
      <c r="C53" s="243">
        <f t="shared" ref="C53:AP53" si="6">B53+B54-B55</f>
        <v>0</v>
      </c>
      <c r="D53" s="243">
        <f t="shared" si="6"/>
        <v>0</v>
      </c>
      <c r="E53" s="243">
        <f t="shared" si="6"/>
        <v>0</v>
      </c>
      <c r="F53" s="243">
        <f t="shared" si="6"/>
        <v>0</v>
      </c>
      <c r="G53" s="243">
        <f t="shared" si="6"/>
        <v>0</v>
      </c>
      <c r="H53" s="243">
        <f t="shared" si="6"/>
        <v>0</v>
      </c>
      <c r="I53" s="243">
        <f t="shared" si="6"/>
        <v>0</v>
      </c>
      <c r="J53" s="243">
        <f t="shared" si="6"/>
        <v>0</v>
      </c>
      <c r="K53" s="243">
        <f t="shared" si="6"/>
        <v>0</v>
      </c>
      <c r="L53" s="243">
        <f t="shared" si="6"/>
        <v>0</v>
      </c>
      <c r="M53" s="243">
        <f t="shared" si="6"/>
        <v>0</v>
      </c>
      <c r="N53" s="243">
        <f t="shared" si="6"/>
        <v>0</v>
      </c>
      <c r="O53" s="243">
        <f t="shared" si="6"/>
        <v>0</v>
      </c>
      <c r="P53" s="243">
        <f t="shared" si="6"/>
        <v>0</v>
      </c>
      <c r="Q53" s="243">
        <f t="shared" si="6"/>
        <v>0</v>
      </c>
      <c r="R53" s="243">
        <f t="shared" si="6"/>
        <v>0</v>
      </c>
      <c r="S53" s="243">
        <f t="shared" si="6"/>
        <v>0</v>
      </c>
      <c r="T53" s="243">
        <f t="shared" si="6"/>
        <v>0</v>
      </c>
      <c r="U53" s="243">
        <f t="shared" si="6"/>
        <v>0</v>
      </c>
      <c r="V53" s="243">
        <f t="shared" si="6"/>
        <v>0</v>
      </c>
      <c r="W53" s="243">
        <f t="shared" si="6"/>
        <v>0</v>
      </c>
      <c r="X53" s="243">
        <f t="shared" si="6"/>
        <v>0</v>
      </c>
      <c r="Y53" s="243">
        <f t="shared" si="6"/>
        <v>0</v>
      </c>
      <c r="Z53" s="243">
        <f t="shared" si="6"/>
        <v>0</v>
      </c>
      <c r="AA53" s="243">
        <f t="shared" si="6"/>
        <v>0</v>
      </c>
      <c r="AB53" s="243">
        <f t="shared" si="6"/>
        <v>0</v>
      </c>
      <c r="AC53" s="243">
        <f t="shared" si="6"/>
        <v>0</v>
      </c>
      <c r="AD53" s="243">
        <f t="shared" si="6"/>
        <v>0</v>
      </c>
      <c r="AE53" s="243">
        <f t="shared" si="6"/>
        <v>0</v>
      </c>
      <c r="AF53" s="243">
        <f t="shared" si="6"/>
        <v>0</v>
      </c>
      <c r="AG53" s="243">
        <f t="shared" si="6"/>
        <v>0</v>
      </c>
      <c r="AH53" s="243">
        <f t="shared" si="6"/>
        <v>0</v>
      </c>
      <c r="AI53" s="243">
        <f t="shared" si="6"/>
        <v>0</v>
      </c>
      <c r="AJ53" s="243">
        <f t="shared" si="6"/>
        <v>0</v>
      </c>
      <c r="AK53" s="243">
        <f t="shared" si="6"/>
        <v>0</v>
      </c>
      <c r="AL53" s="243">
        <f t="shared" si="6"/>
        <v>0</v>
      </c>
      <c r="AM53" s="243">
        <f t="shared" si="6"/>
        <v>0</v>
      </c>
      <c r="AN53" s="243">
        <f t="shared" si="6"/>
        <v>0</v>
      </c>
      <c r="AO53" s="243">
        <f t="shared" si="6"/>
        <v>0</v>
      </c>
      <c r="AP53" s="243">
        <f t="shared" si="6"/>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7">IF(ROUND(C53,1)=0,0,B55+C54/$B$40)</f>
        <v>0</v>
      </c>
      <c r="D55" s="243">
        <f t="shared" si="7"/>
        <v>0</v>
      </c>
      <c r="E55" s="243">
        <f t="shared" si="7"/>
        <v>0</v>
      </c>
      <c r="F55" s="243">
        <f t="shared" si="7"/>
        <v>0</v>
      </c>
      <c r="G55" s="243">
        <f t="shared" si="7"/>
        <v>0</v>
      </c>
      <c r="H55" s="243">
        <f t="shared" si="7"/>
        <v>0</v>
      </c>
      <c r="I55" s="243">
        <f t="shared" si="7"/>
        <v>0</v>
      </c>
      <c r="J55" s="243">
        <f t="shared" si="7"/>
        <v>0</v>
      </c>
      <c r="K55" s="243">
        <f t="shared" si="7"/>
        <v>0</v>
      </c>
      <c r="L55" s="243">
        <f t="shared" si="7"/>
        <v>0</v>
      </c>
      <c r="M55" s="243">
        <f t="shared" si="7"/>
        <v>0</v>
      </c>
      <c r="N55" s="243">
        <f t="shared" si="7"/>
        <v>0</v>
      </c>
      <c r="O55" s="243">
        <f t="shared" si="7"/>
        <v>0</v>
      </c>
      <c r="P55" s="243">
        <f t="shared" si="7"/>
        <v>0</v>
      </c>
      <c r="Q55" s="243">
        <f t="shared" si="7"/>
        <v>0</v>
      </c>
      <c r="R55" s="243">
        <f t="shared" si="7"/>
        <v>0</v>
      </c>
      <c r="S55" s="243">
        <f t="shared" si="7"/>
        <v>0</v>
      </c>
      <c r="T55" s="243">
        <f t="shared" si="7"/>
        <v>0</v>
      </c>
      <c r="U55" s="243">
        <f t="shared" si="7"/>
        <v>0</v>
      </c>
      <c r="V55" s="243">
        <f t="shared" si="7"/>
        <v>0</v>
      </c>
      <c r="W55" s="243">
        <f t="shared" si="7"/>
        <v>0</v>
      </c>
      <c r="X55" s="243">
        <f t="shared" si="7"/>
        <v>0</v>
      </c>
      <c r="Y55" s="243">
        <f t="shared" si="7"/>
        <v>0</v>
      </c>
      <c r="Z55" s="243">
        <f t="shared" si="7"/>
        <v>0</v>
      </c>
      <c r="AA55" s="243">
        <f t="shared" si="7"/>
        <v>0</v>
      </c>
      <c r="AB55" s="243">
        <f t="shared" si="7"/>
        <v>0</v>
      </c>
      <c r="AC55" s="243">
        <f t="shared" si="7"/>
        <v>0</v>
      </c>
      <c r="AD55" s="243">
        <f t="shared" si="7"/>
        <v>0</v>
      </c>
      <c r="AE55" s="243">
        <f t="shared" si="7"/>
        <v>0</v>
      </c>
      <c r="AF55" s="243">
        <f t="shared" si="7"/>
        <v>0</v>
      </c>
      <c r="AG55" s="243">
        <f t="shared" si="7"/>
        <v>0</v>
      </c>
      <c r="AH55" s="243">
        <f t="shared" si="7"/>
        <v>0</v>
      </c>
      <c r="AI55" s="243">
        <f t="shared" si="7"/>
        <v>0</v>
      </c>
      <c r="AJ55" s="243">
        <f t="shared" si="7"/>
        <v>0</v>
      </c>
      <c r="AK55" s="243">
        <f t="shared" si="7"/>
        <v>0</v>
      </c>
      <c r="AL55" s="243">
        <f t="shared" si="7"/>
        <v>0</v>
      </c>
      <c r="AM55" s="243">
        <f t="shared" si="7"/>
        <v>0</v>
      </c>
      <c r="AN55" s="243">
        <f t="shared" si="7"/>
        <v>0</v>
      </c>
      <c r="AO55" s="243">
        <f t="shared" si="7"/>
        <v>0</v>
      </c>
      <c r="AP55" s="243">
        <f t="shared" si="7"/>
        <v>0</v>
      </c>
    </row>
    <row r="56" spans="1:45" ht="16.5" thickBot="1" x14ac:dyDescent="0.25">
      <c r="A56" s="244" t="s">
        <v>263</v>
      </c>
      <c r="B56" s="245">
        <f t="shared" ref="B56:AP56" si="8">AVERAGE(SUM(B53:B54),(SUM(B53:B54)-B55))*$B$42</f>
        <v>0</v>
      </c>
      <c r="C56" s="245">
        <f t="shared" si="8"/>
        <v>0</v>
      </c>
      <c r="D56" s="245">
        <f t="shared" si="8"/>
        <v>0</v>
      </c>
      <c r="E56" s="245">
        <f t="shared" si="8"/>
        <v>0</v>
      </c>
      <c r="F56" s="245">
        <f t="shared" si="8"/>
        <v>0</v>
      </c>
      <c r="G56" s="245">
        <f t="shared" si="8"/>
        <v>0</v>
      </c>
      <c r="H56" s="245">
        <f t="shared" si="8"/>
        <v>0</v>
      </c>
      <c r="I56" s="245">
        <f t="shared" si="8"/>
        <v>0</v>
      </c>
      <c r="J56" s="245">
        <f t="shared" si="8"/>
        <v>0</v>
      </c>
      <c r="K56" s="245">
        <f t="shared" si="8"/>
        <v>0</v>
      </c>
      <c r="L56" s="245">
        <f t="shared" si="8"/>
        <v>0</v>
      </c>
      <c r="M56" s="245">
        <f t="shared" si="8"/>
        <v>0</v>
      </c>
      <c r="N56" s="245">
        <f t="shared" si="8"/>
        <v>0</v>
      </c>
      <c r="O56" s="245">
        <f t="shared" si="8"/>
        <v>0</v>
      </c>
      <c r="P56" s="245">
        <f t="shared" si="8"/>
        <v>0</v>
      </c>
      <c r="Q56" s="245">
        <f t="shared" si="8"/>
        <v>0</v>
      </c>
      <c r="R56" s="245">
        <f t="shared" si="8"/>
        <v>0</v>
      </c>
      <c r="S56" s="245">
        <f t="shared" si="8"/>
        <v>0</v>
      </c>
      <c r="T56" s="245">
        <f t="shared" si="8"/>
        <v>0</v>
      </c>
      <c r="U56" s="245">
        <f t="shared" si="8"/>
        <v>0</v>
      </c>
      <c r="V56" s="245">
        <f t="shared" si="8"/>
        <v>0</v>
      </c>
      <c r="W56" s="245">
        <f t="shared" si="8"/>
        <v>0</v>
      </c>
      <c r="X56" s="245">
        <f t="shared" si="8"/>
        <v>0</v>
      </c>
      <c r="Y56" s="245">
        <f t="shared" si="8"/>
        <v>0</v>
      </c>
      <c r="Z56" s="245">
        <f t="shared" si="8"/>
        <v>0</v>
      </c>
      <c r="AA56" s="245">
        <f t="shared" si="8"/>
        <v>0</v>
      </c>
      <c r="AB56" s="245">
        <f t="shared" si="8"/>
        <v>0</v>
      </c>
      <c r="AC56" s="245">
        <f t="shared" si="8"/>
        <v>0</v>
      </c>
      <c r="AD56" s="245">
        <f t="shared" si="8"/>
        <v>0</v>
      </c>
      <c r="AE56" s="245">
        <f t="shared" si="8"/>
        <v>0</v>
      </c>
      <c r="AF56" s="245">
        <f t="shared" si="8"/>
        <v>0</v>
      </c>
      <c r="AG56" s="245">
        <f t="shared" si="8"/>
        <v>0</v>
      </c>
      <c r="AH56" s="245">
        <f t="shared" si="8"/>
        <v>0</v>
      </c>
      <c r="AI56" s="245">
        <f t="shared" si="8"/>
        <v>0</v>
      </c>
      <c r="AJ56" s="245">
        <f t="shared" si="8"/>
        <v>0</v>
      </c>
      <c r="AK56" s="245">
        <f t="shared" si="8"/>
        <v>0</v>
      </c>
      <c r="AL56" s="245">
        <f t="shared" si="8"/>
        <v>0</v>
      </c>
      <c r="AM56" s="245">
        <f t="shared" si="8"/>
        <v>0</v>
      </c>
      <c r="AN56" s="245">
        <f t="shared" si="8"/>
        <v>0</v>
      </c>
      <c r="AO56" s="245">
        <f t="shared" si="8"/>
        <v>0</v>
      </c>
      <c r="AP56" s="245">
        <f t="shared" si="8"/>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9">C58+1</f>
        <v>3</v>
      </c>
      <c r="E58" s="241">
        <f t="shared" si="9"/>
        <v>4</v>
      </c>
      <c r="F58" s="241">
        <f t="shared" si="9"/>
        <v>5</v>
      </c>
      <c r="G58" s="241">
        <f t="shared" si="9"/>
        <v>6</v>
      </c>
      <c r="H58" s="241">
        <f t="shared" si="9"/>
        <v>7</v>
      </c>
      <c r="I58" s="241">
        <f t="shared" si="9"/>
        <v>8</v>
      </c>
      <c r="J58" s="241">
        <f t="shared" si="9"/>
        <v>9</v>
      </c>
      <c r="K58" s="241">
        <f t="shared" si="9"/>
        <v>10</v>
      </c>
      <c r="L58" s="241">
        <f t="shared" si="9"/>
        <v>11</v>
      </c>
      <c r="M58" s="241">
        <f t="shared" si="9"/>
        <v>12</v>
      </c>
      <c r="N58" s="241">
        <f t="shared" si="9"/>
        <v>13</v>
      </c>
      <c r="O58" s="241">
        <f t="shared" si="9"/>
        <v>14</v>
      </c>
      <c r="P58" s="241">
        <f t="shared" si="9"/>
        <v>15</v>
      </c>
      <c r="Q58" s="241">
        <f t="shared" si="9"/>
        <v>16</v>
      </c>
      <c r="R58" s="241">
        <f t="shared" si="9"/>
        <v>17</v>
      </c>
      <c r="S58" s="241">
        <f t="shared" si="9"/>
        <v>18</v>
      </c>
      <c r="T58" s="241">
        <f t="shared" si="9"/>
        <v>19</v>
      </c>
      <c r="U58" s="241">
        <f t="shared" si="9"/>
        <v>20</v>
      </c>
      <c r="V58" s="241">
        <f t="shared" si="9"/>
        <v>21</v>
      </c>
      <c r="W58" s="241">
        <f t="shared" si="9"/>
        <v>22</v>
      </c>
      <c r="X58" s="241">
        <f t="shared" si="9"/>
        <v>23</v>
      </c>
      <c r="Y58" s="241">
        <f t="shared" si="9"/>
        <v>24</v>
      </c>
      <c r="Z58" s="241">
        <f t="shared" si="9"/>
        <v>25</v>
      </c>
      <c r="AA58" s="241">
        <f t="shared" si="9"/>
        <v>26</v>
      </c>
      <c r="AB58" s="241">
        <f t="shared" si="9"/>
        <v>27</v>
      </c>
      <c r="AC58" s="241">
        <f t="shared" si="9"/>
        <v>28</v>
      </c>
      <c r="AD58" s="241">
        <f t="shared" si="9"/>
        <v>29</v>
      </c>
      <c r="AE58" s="241">
        <f t="shared" si="9"/>
        <v>30</v>
      </c>
      <c r="AF58" s="241">
        <f t="shared" si="9"/>
        <v>31</v>
      </c>
      <c r="AG58" s="241">
        <f t="shared" si="9"/>
        <v>32</v>
      </c>
      <c r="AH58" s="241">
        <f t="shared" si="9"/>
        <v>33</v>
      </c>
      <c r="AI58" s="241">
        <f t="shared" si="9"/>
        <v>34</v>
      </c>
      <c r="AJ58" s="241">
        <f t="shared" si="9"/>
        <v>35</v>
      </c>
      <c r="AK58" s="241">
        <f t="shared" si="9"/>
        <v>36</v>
      </c>
      <c r="AL58" s="241">
        <f t="shared" si="9"/>
        <v>37</v>
      </c>
      <c r="AM58" s="241">
        <f t="shared" si="9"/>
        <v>38</v>
      </c>
      <c r="AN58" s="241">
        <f t="shared" si="9"/>
        <v>39</v>
      </c>
      <c r="AO58" s="241">
        <f t="shared" si="9"/>
        <v>40</v>
      </c>
      <c r="AP58" s="241">
        <f t="shared" si="9"/>
        <v>41</v>
      </c>
    </row>
    <row r="59" spans="1:45" ht="14.25" x14ac:dyDescent="0.2">
      <c r="A59" s="249" t="s">
        <v>262</v>
      </c>
      <c r="B59" s="250">
        <v>0</v>
      </c>
      <c r="C59" s="250">
        <v>77325335.739999995</v>
      </c>
      <c r="D59" s="250">
        <f t="shared" ref="D59:AP59" si="10">D50*$B$28</f>
        <v>307559.93860899296</v>
      </c>
      <c r="E59" s="250">
        <f t="shared" si="10"/>
        <v>535944.37379502703</v>
      </c>
      <c r="F59" s="250">
        <f t="shared" si="10"/>
        <v>841700.63904508995</v>
      </c>
      <c r="G59" s="250">
        <f>G50*$B$28</f>
        <v>1175014.0921069453</v>
      </c>
      <c r="H59" s="250">
        <f t="shared" si="10"/>
        <v>1537799.6930449647</v>
      </c>
      <c r="I59" s="250">
        <f t="shared" si="10"/>
        <v>2254106.790065309</v>
      </c>
      <c r="J59" s="250">
        <f t="shared" si="10"/>
        <v>2360049.8091983786</v>
      </c>
      <c r="K59" s="250">
        <f t="shared" si="10"/>
        <v>2470972.150230702</v>
      </c>
      <c r="L59" s="250">
        <f t="shared" si="10"/>
        <v>2587107.841291545</v>
      </c>
      <c r="M59" s="250">
        <f t="shared" si="10"/>
        <v>2708701.9098322475</v>
      </c>
      <c r="N59" s="250">
        <f t="shared" si="10"/>
        <v>2836010.8995943628</v>
      </c>
      <c r="O59" s="250">
        <f t="shared" si="10"/>
        <v>2969303.4118752973</v>
      </c>
      <c r="P59" s="250">
        <f t="shared" si="10"/>
        <v>3108860.6722334363</v>
      </c>
      <c r="Q59" s="250">
        <f t="shared" si="10"/>
        <v>3254977.1238284078</v>
      </c>
      <c r="R59" s="250">
        <f t="shared" si="10"/>
        <v>3407961.0486483425</v>
      </c>
      <c r="S59" s="250">
        <f t="shared" si="10"/>
        <v>3568135.2179348147</v>
      </c>
      <c r="T59" s="250">
        <f t="shared" si="10"/>
        <v>3735837.5731777507</v>
      </c>
      <c r="U59" s="250">
        <f t="shared" si="10"/>
        <v>3911421.9391171047</v>
      </c>
      <c r="V59" s="250">
        <f t="shared" si="10"/>
        <v>4095258.770255608</v>
      </c>
      <c r="W59" s="250">
        <f t="shared" si="10"/>
        <v>4287735.9324576212</v>
      </c>
      <c r="X59" s="250">
        <f t="shared" si="10"/>
        <v>4489259.5212831292</v>
      </c>
      <c r="Y59" s="250">
        <f t="shared" si="10"/>
        <v>4700254.7187834363</v>
      </c>
      <c r="Z59" s="250">
        <f t="shared" si="10"/>
        <v>4921166.6905662576</v>
      </c>
      <c r="AA59" s="250">
        <f t="shared" si="10"/>
        <v>5152461.5250228709</v>
      </c>
      <c r="AB59" s="250">
        <f t="shared" si="10"/>
        <v>5394627.2166989455</v>
      </c>
      <c r="AC59" s="250">
        <f t="shared" si="10"/>
        <v>5648174.6958837947</v>
      </c>
      <c r="AD59" s="250">
        <f t="shared" si="10"/>
        <v>5913638.9065903323</v>
      </c>
      <c r="AE59" s="250">
        <f t="shared" si="10"/>
        <v>6191579.9352000775</v>
      </c>
      <c r="AF59" s="250">
        <f t="shared" si="10"/>
        <v>6482584.1921544811</v>
      </c>
      <c r="AG59" s="250">
        <f t="shared" si="10"/>
        <v>6787265.6491857413</v>
      </c>
      <c r="AH59" s="250">
        <f t="shared" si="10"/>
        <v>7106267.1346974708</v>
      </c>
      <c r="AI59" s="250">
        <f t="shared" si="10"/>
        <v>7440261.6900282521</v>
      </c>
      <c r="AJ59" s="250">
        <f t="shared" si="10"/>
        <v>7789953.9894595789</v>
      </c>
      <c r="AK59" s="250">
        <f t="shared" si="10"/>
        <v>8156081.8269641791</v>
      </c>
      <c r="AL59" s="250">
        <f t="shared" si="10"/>
        <v>8539417.6728314944</v>
      </c>
      <c r="AM59" s="250">
        <f t="shared" si="10"/>
        <v>8940770.3034545742</v>
      </c>
      <c r="AN59" s="250">
        <f t="shared" si="10"/>
        <v>9360986.5077169389</v>
      </c>
      <c r="AO59" s="250">
        <f t="shared" si="10"/>
        <v>9800952.8735796325</v>
      </c>
      <c r="AP59" s="250">
        <f t="shared" si="10"/>
        <v>10261597.658637876</v>
      </c>
    </row>
    <row r="60" spans="1:45" x14ac:dyDescent="0.2">
      <c r="A60" s="242" t="s">
        <v>261</v>
      </c>
      <c r="B60" s="243">
        <f>SUM(B61:B65)</f>
        <v>0</v>
      </c>
      <c r="C60" s="243">
        <f t="shared" ref="C60:AP60" si="11">SUM(C61:C65)</f>
        <v>0</v>
      </c>
      <c r="D60" s="243">
        <f>SUM(D61:D65)</f>
        <v>-1349492.3952631035</v>
      </c>
      <c r="E60" s="243">
        <f>SUM(E61:E65)</f>
        <v>-1390570.9041163141</v>
      </c>
      <c r="F60" s="243">
        <f t="shared" si="11"/>
        <v>-1349632.7189428902</v>
      </c>
      <c r="G60" s="243">
        <f t="shared" si="11"/>
        <v>-1308884.6438188946</v>
      </c>
      <c r="H60" s="243">
        <f t="shared" si="11"/>
        <v>-1268335.6139166499</v>
      </c>
      <c r="I60" s="243">
        <f t="shared" si="11"/>
        <v>-1227994.9843615787</v>
      </c>
      <c r="J60" s="243">
        <f t="shared" si="11"/>
        <v>-1187872.549969998</v>
      </c>
      <c r="K60" s="243">
        <f t="shared" si="11"/>
        <v>-1147978.5659145915</v>
      </c>
      <c r="L60" s="243">
        <f t="shared" si="11"/>
        <v>-1108323.76936116</v>
      </c>
      <c r="M60" s="243">
        <f t="shared" si="11"/>
        <v>-1068919.4021222962</v>
      </c>
      <c r="N60" s="243">
        <f t="shared" si="11"/>
        <v>-1029777.2343757845</v>
      </c>
      <c r="O60" s="243">
        <f t="shared" si="11"/>
        <v>-990909.58949776576</v>
      </c>
      <c r="P60" s="243">
        <f t="shared" si="11"/>
        <v>-952329.37006305892</v>
      </c>
      <c r="Q60" s="243">
        <f t="shared" si="11"/>
        <v>-914050.08506749966</v>
      </c>
      <c r="R60" s="243">
        <f t="shared" si="11"/>
        <v>-876085.87842972798</v>
      </c>
      <c r="S60" s="243">
        <f t="shared" si="11"/>
        <v>-838451.55883255997</v>
      </c>
      <c r="T60" s="243">
        <f t="shared" si="11"/>
        <v>-801162.63096690387</v>
      </c>
      <c r="U60" s="243">
        <f t="shared" si="11"/>
        <v>-764235.32824414084</v>
      </c>
      <c r="V60" s="243">
        <f t="shared" si="11"/>
        <v>-727686.64704598684</v>
      </c>
      <c r="W60" s="243">
        <f t="shared" si="11"/>
        <v>-691534.38258409838</v>
      </c>
      <c r="X60" s="243">
        <f t="shared" si="11"/>
        <v>-655797.16644508007</v>
      </c>
      <c r="Y60" s="243">
        <f t="shared" si="11"/>
        <v>-620494.50590010674</v>
      </c>
      <c r="Z60" s="243">
        <f t="shared" si="11"/>
        <v>-585646.82506209856</v>
      </c>
      <c r="AA60" s="243">
        <f t="shared" si="11"/>
        <v>-551275.50797728274</v>
      </c>
      <c r="AB60" s="243">
        <f t="shared" si="11"/>
        <v>-517402.94374205964</v>
      </c>
      <c r="AC60" s="243">
        <f t="shared" si="11"/>
        <v>-484052.57374035974</v>
      </c>
      <c r="AD60" s="243">
        <f t="shared" si="11"/>
        <v>-451248.94110115885</v>
      </c>
      <c r="AE60" s="243">
        <f t="shared" si="11"/>
        <v>-419017.74248049437</v>
      </c>
      <c r="AF60" s="243">
        <f t="shared" si="11"/>
        <v>-387385.88227723754</v>
      </c>
      <c r="AG60" s="243">
        <f t="shared" si="11"/>
        <v>-311398.44955490308</v>
      </c>
      <c r="AH60" s="243">
        <f t="shared" si="11"/>
        <v>-326034.17668398353</v>
      </c>
      <c r="AI60" s="243">
        <f t="shared" si="11"/>
        <v>-341357.78298813076</v>
      </c>
      <c r="AJ60" s="243">
        <f t="shared" si="11"/>
        <v>-357401.59878857288</v>
      </c>
      <c r="AK60" s="243">
        <f t="shared" si="11"/>
        <v>-374199.47393163579</v>
      </c>
      <c r="AL60" s="243">
        <f t="shared" si="11"/>
        <v>-391786.84920642263</v>
      </c>
      <c r="AM60" s="243">
        <f t="shared" si="11"/>
        <v>-410200.83111912443</v>
      </c>
      <c r="AN60" s="243">
        <f t="shared" si="11"/>
        <v>-429480.27018172329</v>
      </c>
      <c r="AO60" s="243">
        <f t="shared" si="11"/>
        <v>-449665.84288026422</v>
      </c>
      <c r="AP60" s="243">
        <f t="shared" si="11"/>
        <v>-470800.13749563659</v>
      </c>
    </row>
    <row r="61" spans="1:45" x14ac:dyDescent="0.2">
      <c r="A61" s="251" t="s">
        <v>260</v>
      </c>
      <c r="B61" s="243"/>
      <c r="C61" s="243">
        <f>-IF(C$47&lt;=$B$30,0,$B$29*(1+C$49)*$B$28)</f>
        <v>0</v>
      </c>
      <c r="D61" s="243">
        <f>-IF(D$47&lt;=$B$30,0,$B$29*(1+D$49)*$B$28)</f>
        <v>0</v>
      </c>
      <c r="E61" s="243">
        <f>-IF(E$47&lt;=$B$30,0,$B$29*(1+E$49)*$B$28)</f>
        <v>-86061.588695314058</v>
      </c>
      <c r="F61" s="243">
        <f t="shared" ref="F61:AP61" si="12">-IF(F$47&lt;=$B$30,0,$B$29*(1+F$49)*$B$28)</f>
        <v>-90106.483363993801</v>
      </c>
      <c r="G61" s="243">
        <f t="shared" si="12"/>
        <v>-94341.48808210151</v>
      </c>
      <c r="H61" s="243">
        <f t="shared" si="12"/>
        <v>-98775.538021960281</v>
      </c>
      <c r="I61" s="243">
        <f t="shared" si="12"/>
        <v>-103417.9883089924</v>
      </c>
      <c r="J61" s="243">
        <f t="shared" si="12"/>
        <v>-108278.63375951504</v>
      </c>
      <c r="K61" s="243">
        <f t="shared" si="12"/>
        <v>-113367.72954621224</v>
      </c>
      <c r="L61" s="243">
        <f t="shared" si="12"/>
        <v>-118696.01283488421</v>
      </c>
      <c r="M61" s="243">
        <f t="shared" si="12"/>
        <v>-124274.72543812376</v>
      </c>
      <c r="N61" s="243">
        <f t="shared" si="12"/>
        <v>-130115.63753371556</v>
      </c>
      <c r="O61" s="243">
        <f t="shared" si="12"/>
        <v>-136231.07249780017</v>
      </c>
      <c r="P61" s="243">
        <f t="shared" si="12"/>
        <v>-142633.93290519679</v>
      </c>
      <c r="Q61" s="243">
        <f t="shared" si="12"/>
        <v>-149337.72775174101</v>
      </c>
      <c r="R61" s="243">
        <f t="shared" si="12"/>
        <v>-156356.60095607283</v>
      </c>
      <c r="S61" s="243">
        <f t="shared" si="12"/>
        <v>-163705.36120100826</v>
      </c>
      <c r="T61" s="243">
        <f t="shared" si="12"/>
        <v>-171399.51317745564</v>
      </c>
      <c r="U61" s="243">
        <f t="shared" si="12"/>
        <v>-179455.29029679604</v>
      </c>
      <c r="V61" s="243">
        <f t="shared" si="12"/>
        <v>-187889.68894074543</v>
      </c>
      <c r="W61" s="243">
        <f t="shared" si="12"/>
        <v>-196720.50432096043</v>
      </c>
      <c r="X61" s="243">
        <f t="shared" si="12"/>
        <v>-205966.36802404557</v>
      </c>
      <c r="Y61" s="243">
        <f t="shared" si="12"/>
        <v>-215646.78732117571</v>
      </c>
      <c r="Z61" s="243">
        <f t="shared" si="12"/>
        <v>-225782.18632527097</v>
      </c>
      <c r="AA61" s="243">
        <f t="shared" si="12"/>
        <v>-236393.94908255865</v>
      </c>
      <c r="AB61" s="243">
        <f t="shared" si="12"/>
        <v>-247504.4646894389</v>
      </c>
      <c r="AC61" s="243">
        <f t="shared" si="12"/>
        <v>-259137.17452984248</v>
      </c>
      <c r="AD61" s="243">
        <f t="shared" si="12"/>
        <v>-271316.62173274503</v>
      </c>
      <c r="AE61" s="243">
        <f t="shared" si="12"/>
        <v>-284068.50295418402</v>
      </c>
      <c r="AF61" s="243">
        <f t="shared" si="12"/>
        <v>-297419.72259303066</v>
      </c>
      <c r="AG61" s="243">
        <f t="shared" si="12"/>
        <v>-311398.44955490308</v>
      </c>
      <c r="AH61" s="243">
        <f t="shared" si="12"/>
        <v>-326034.17668398353</v>
      </c>
      <c r="AI61" s="243">
        <f t="shared" si="12"/>
        <v>-341357.78298813076</v>
      </c>
      <c r="AJ61" s="243">
        <f t="shared" si="12"/>
        <v>-357401.59878857288</v>
      </c>
      <c r="AK61" s="243">
        <f t="shared" si="12"/>
        <v>-374199.47393163579</v>
      </c>
      <c r="AL61" s="243">
        <f t="shared" si="12"/>
        <v>-391786.84920642263</v>
      </c>
      <c r="AM61" s="243">
        <f t="shared" si="12"/>
        <v>-410200.83111912443</v>
      </c>
      <c r="AN61" s="243">
        <f t="shared" si="12"/>
        <v>-429480.27018172329</v>
      </c>
      <c r="AO61" s="243">
        <f t="shared" si="12"/>
        <v>-449665.84288026422</v>
      </c>
      <c r="AP61" s="243">
        <f t="shared" si="12"/>
        <v>-470800.13749563659</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548</v>
      </c>
      <c r="B65" s="243"/>
      <c r="C65" s="339">
        <v>0</v>
      </c>
      <c r="D65" s="339">
        <f>-($B$25+D67+C67)*0.022</f>
        <v>-1349492.3952631035</v>
      </c>
      <c r="E65" s="340">
        <f>-($B$25+E67+C67+D67)*0.022</f>
        <v>-1304509.3154210001</v>
      </c>
      <c r="F65" s="340">
        <f>-($B$25+F67+D67+E67+C67)*0.022</f>
        <v>-1259526.2355788965</v>
      </c>
      <c r="G65" s="340">
        <f>-($B$25+G67+E67+F67+D67+C67)*0.022</f>
        <v>-1214543.1557367931</v>
      </c>
      <c r="H65" s="340">
        <f>-($B$25+H67+F67+G67+E67+C67+D67)*0.022</f>
        <v>-1169560.0758946897</v>
      </c>
      <c r="I65" s="340">
        <f>-($B$25+C67+I67+G67+H67+F67+D67+E67)*0.022</f>
        <v>-1124576.9960525862</v>
      </c>
      <c r="J65" s="340">
        <f>-($B$25+D67+J67+H67+I67+G67+E67+F67+C67)*0.022</f>
        <v>-1079593.9162104828</v>
      </c>
      <c r="K65" s="340">
        <f>-($B$25+E67+K67+I67+J67+H67+F67+G67+C67+D67)*0.022</f>
        <v>-1034610.8363683793</v>
      </c>
      <c r="L65" s="340">
        <f>-($B$25+F67+L67+J67+K67+I67+G67+H67+E67+D67+C67)*0.022</f>
        <v>-989627.75652627589</v>
      </c>
      <c r="M65" s="340">
        <f>-($B$25+G67+M67+K67+L67+J67+H67+I67+F67+E67+C67+D67)*0.022</f>
        <v>-944644.67668417247</v>
      </c>
      <c r="N65" s="340">
        <f>-($B$25+H67+N67+L67+M67+K67+I67+J67+G67+F67+E67+C67+D67)*0.022</f>
        <v>-899661.59684206895</v>
      </c>
      <c r="O65" s="340">
        <f>-($B$25+I67+O67+M67+N67+L67+J67+K67+H67+G67+F67+D67+C67+E67)*0.022</f>
        <v>-854678.51699996553</v>
      </c>
      <c r="P65" s="340">
        <f>-($B$25+J67+P67+N67+O67+M67+K67+L67+I67+H67+G67+E67+F67+C67+D67)*0.022</f>
        <v>-809695.43715786212</v>
      </c>
      <c r="Q65" s="340">
        <f>-($B$25+K67+Q67+O67+P67+N67+L67+M67+J67+I67+H67+F67+G67+D67+C67+E67)*0.022</f>
        <v>-764712.35731575859</v>
      </c>
      <c r="R65" s="340">
        <f>-($B$25+L67+R67+P67+Q67+O67+M67+N67+K67+J67+I67+G67+H67+E67+D67+C67+F67)*0.022</f>
        <v>-719729.27747365518</v>
      </c>
      <c r="S65" s="340">
        <f>-($B$25+M67+S67+Q67+R67+P67+N67+O67+L67+K67+J67+H67+I67+F67+E67+D67+C67+G67)*0.022</f>
        <v>-674746.19763155177</v>
      </c>
      <c r="T65" s="340">
        <f>-($B$25+N67+T67+R67+S67+Q67+O67+P67+M67+L67+K67+I67+J67+G67+F67+E67+D67+C67+H67)*0.022</f>
        <v>-629763.11778944824</v>
      </c>
      <c r="U65" s="340">
        <f>-($B$25+O67+U67+S67+T67+R67+P67+Q67+N67+M67+L67+J67+K67+H67+G67+F67+E67+C67+D67++I67)*0.022</f>
        <v>-584780.03794734483</v>
      </c>
      <c r="V65" s="340">
        <f>-($B$25+P67+V67+T67+U67+S67+Q67+R67+O67+N67+M67+K67+L67+I67+H67+G67+F67+D67+E67+C67+J67)*0.022</f>
        <v>-539796.95810524141</v>
      </c>
      <c r="W65" s="340">
        <f>-($B$25+Q67+W67+U67+V67+T67+R67+S67+P67+O67+N67+L67+M67+J67+I67+H67+G67+E67+F67+D67+C67+K67)*0.022</f>
        <v>-494813.87826313794</v>
      </c>
      <c r="X65" s="340">
        <f>-($B$25+R67+X67+V67+W67+U67+S67+T67+Q67+P67+O67+M67+N67+K67+J67+I67+H67+F67+G67+E67+D67+C67+L67)*0.022</f>
        <v>-449830.79842103447</v>
      </c>
      <c r="Y65" s="340">
        <f>-($B$25+S67+Y67+W67+X67+V67+T67+U67+R67+Q67+P67+N67+O67+L67+K67+J67+I67+G67+H67+F67+E67+D67+C67+M67)*0.022</f>
        <v>-404847.71857893106</v>
      </c>
      <c r="Z65" s="340">
        <f>-($B$25+T67+Z67+X67+Y67+W67+U67+V67+S67+R67+Q67+O67+P67+M67+L67+K67+J67+H67+I67+G67+F67+E67+D67+C67+N67)*0.022</f>
        <v>-359864.63873682759</v>
      </c>
      <c r="AA65" s="340">
        <f>-($B$25+U67+AA67+Y67+Z67+X67+V67+W67+T67+S67+R67+P67+Q67+N67+M67+L67+K67+I67+J67+H67+G67+F67+E67+D67+C67+O67)*0.022</f>
        <v>-314881.55889472412</v>
      </c>
      <c r="AB65" s="340">
        <f>-($B$25+V67+AB67+Z67+AA67+Y67+W67+X67+U67+T67+S67+Q67+R67+O67+N67+M67+L67+J67+K67+I67+H67+G67+F67+E67+D67+C67+P67)*0.022</f>
        <v>-269898.47905262071</v>
      </c>
      <c r="AC65" s="340">
        <f>-($B$25+W67+AC67+AA67+AB67+Z67+X67+Y67+V67+U67+T67+R67+S67+P67+O67+N67+M67+K67+L67+J67+I67+H67+G67+F67+E67+D67+C67+Q67)*0.022</f>
        <v>-224915.39921051724</v>
      </c>
      <c r="AD65" s="340">
        <f>-($B$25+X67+AD67+AB67+AC67+AA67+Y67+Z67+W67+V67+U67+S67+T67+Q67+P67+O67+N67+L67+M67+K67+J67+I67+H67+G67+F67+E67+D67+C67+R67)*0.022</f>
        <v>-179932.3193684138</v>
      </c>
      <c r="AE65" s="340">
        <f>-($B$25+Y67+AE67+AC67+AD67+AB67+Z67+AA67+X67+W67+V67+T67+U67+R67+Q67+P67+O67+M67+N67+L67+K67+J67+I67+H67+G67+F67+E67+D67+C67+S67)*0.022</f>
        <v>-134949.23952631035</v>
      </c>
      <c r="AF65" s="340">
        <f>-($B$25+Z67+AF67+AD67+AE67+AC67+AA67+AB67+Y67+X67+W67+U67+V67+S67+R67+Q67+P67+N67+O67+M67+L67+K67+J67+I67+H67+G67+F67+E67+D67+C67+T67)*0.022</f>
        <v>-89966.159684206898</v>
      </c>
      <c r="AG65" s="243"/>
      <c r="AH65" s="243"/>
      <c r="AI65" s="243"/>
      <c r="AJ65" s="243"/>
      <c r="AK65" s="243"/>
      <c r="AL65" s="243"/>
      <c r="AM65" s="243"/>
      <c r="AN65" s="243"/>
      <c r="AO65" s="243"/>
      <c r="AP65" s="243"/>
    </row>
    <row r="66" spans="1:45" ht="28.5" x14ac:dyDescent="0.2">
      <c r="A66" s="252" t="s">
        <v>549</v>
      </c>
      <c r="B66" s="250">
        <f t="shared" ref="B66:AO66" si="13">B59+B60</f>
        <v>0</v>
      </c>
      <c r="C66" s="250">
        <f t="shared" si="13"/>
        <v>77325335.739999995</v>
      </c>
      <c r="D66" s="250">
        <f t="shared" si="13"/>
        <v>-1041932.4566541106</v>
      </c>
      <c r="E66" s="250">
        <f t="shared" si="13"/>
        <v>-854626.53032128711</v>
      </c>
      <c r="F66" s="250">
        <f t="shared" si="13"/>
        <v>-507932.07989780023</v>
      </c>
      <c r="G66" s="250">
        <f t="shared" si="13"/>
        <v>-133870.55171194929</v>
      </c>
      <c r="H66" s="250">
        <f t="shared" si="13"/>
        <v>269464.07912831474</v>
      </c>
      <c r="I66" s="250">
        <f t="shared" si="13"/>
        <v>1026111.8057037303</v>
      </c>
      <c r="J66" s="250">
        <f t="shared" si="13"/>
        <v>1172177.2592283806</v>
      </c>
      <c r="K66" s="250">
        <f t="shared" si="13"/>
        <v>1322993.5843161105</v>
      </c>
      <c r="L66" s="250">
        <f t="shared" si="13"/>
        <v>1478784.071930385</v>
      </c>
      <c r="M66" s="250">
        <f t="shared" si="13"/>
        <v>1639782.5077099514</v>
      </c>
      <c r="N66" s="250">
        <f t="shared" si="13"/>
        <v>1806233.6652185782</v>
      </c>
      <c r="O66" s="250">
        <f t="shared" si="13"/>
        <v>1978393.8223775316</v>
      </c>
      <c r="P66" s="250">
        <f t="shared" si="13"/>
        <v>2156531.3021703772</v>
      </c>
      <c r="Q66" s="250">
        <f t="shared" si="13"/>
        <v>2340927.0387609079</v>
      </c>
      <c r="R66" s="250">
        <f t="shared" si="13"/>
        <v>2531875.1702186144</v>
      </c>
      <c r="S66" s="250">
        <f t="shared" si="13"/>
        <v>2729683.6591022545</v>
      </c>
      <c r="T66" s="250">
        <f t="shared" si="13"/>
        <v>2934674.9422108466</v>
      </c>
      <c r="U66" s="250">
        <f t="shared" si="13"/>
        <v>3147186.6108729639</v>
      </c>
      <c r="V66" s="250">
        <f t="shared" si="13"/>
        <v>3367572.1232096213</v>
      </c>
      <c r="W66" s="250">
        <f t="shared" si="13"/>
        <v>3596201.5498735229</v>
      </c>
      <c r="X66" s="250">
        <f t="shared" si="13"/>
        <v>3833462.354838049</v>
      </c>
      <c r="Y66" s="250">
        <f t="shared" si="13"/>
        <v>4079760.2128833295</v>
      </c>
      <c r="Z66" s="250">
        <f t="shared" si="13"/>
        <v>4335519.8655041587</v>
      </c>
      <c r="AA66" s="250">
        <f t="shared" si="13"/>
        <v>4601186.0170455882</v>
      </c>
      <c r="AB66" s="250">
        <f t="shared" si="13"/>
        <v>4877224.2729568854</v>
      </c>
      <c r="AC66" s="250">
        <f t="shared" si="13"/>
        <v>5164122.1221434353</v>
      </c>
      <c r="AD66" s="250">
        <f t="shared" si="13"/>
        <v>5462389.9654891733</v>
      </c>
      <c r="AE66" s="250">
        <f t="shared" si="13"/>
        <v>5772562.1927195834</v>
      </c>
      <c r="AF66" s="250">
        <f t="shared" si="13"/>
        <v>6095198.3098772438</v>
      </c>
      <c r="AG66" s="250">
        <f t="shared" si="13"/>
        <v>6475867.1996308379</v>
      </c>
      <c r="AH66" s="250">
        <f t="shared" si="13"/>
        <v>6780232.958013487</v>
      </c>
      <c r="AI66" s="250">
        <f t="shared" si="13"/>
        <v>7098903.907040121</v>
      </c>
      <c r="AJ66" s="250">
        <f t="shared" si="13"/>
        <v>7432552.3906710064</v>
      </c>
      <c r="AK66" s="250">
        <f t="shared" si="13"/>
        <v>7781882.3530325433</v>
      </c>
      <c r="AL66" s="250">
        <f t="shared" si="13"/>
        <v>8147630.8236250719</v>
      </c>
      <c r="AM66" s="250">
        <f t="shared" si="13"/>
        <v>8530569.4723354504</v>
      </c>
      <c r="AN66" s="250">
        <f t="shared" si="13"/>
        <v>8931506.2375352159</v>
      </c>
      <c r="AO66" s="250">
        <f t="shared" si="13"/>
        <v>9351287.0306993686</v>
      </c>
      <c r="AP66" s="250">
        <f>AP59+AP60</f>
        <v>9790797.5211422388</v>
      </c>
    </row>
    <row r="67" spans="1:45" x14ac:dyDescent="0.2">
      <c r="A67" s="251" t="s">
        <v>255</v>
      </c>
      <c r="B67" s="253"/>
      <c r="C67" s="334">
        <v>0</v>
      </c>
      <c r="D67" s="334">
        <v>0</v>
      </c>
      <c r="E67" s="334">
        <f>-($B$25)*$B$28/$B$27</f>
        <v>-2044685.4473683387</v>
      </c>
      <c r="F67" s="334">
        <f t="shared" ref="F67:L67" si="14">E67</f>
        <v>-2044685.4473683387</v>
      </c>
      <c r="G67" s="334">
        <f t="shared" si="14"/>
        <v>-2044685.4473683387</v>
      </c>
      <c r="H67" s="334">
        <f t="shared" si="14"/>
        <v>-2044685.4473683387</v>
      </c>
      <c r="I67" s="334">
        <f t="shared" si="14"/>
        <v>-2044685.4473683387</v>
      </c>
      <c r="J67" s="334">
        <f t="shared" si="14"/>
        <v>-2044685.4473683387</v>
      </c>
      <c r="K67" s="334">
        <f t="shared" si="14"/>
        <v>-2044685.4473683387</v>
      </c>
      <c r="L67" s="334">
        <f t="shared" si="14"/>
        <v>-2044685.4473683387</v>
      </c>
      <c r="M67" s="243">
        <f t="shared" ref="M67:AP67" si="15">L67</f>
        <v>-2044685.4473683387</v>
      </c>
      <c r="N67" s="243">
        <f t="shared" si="15"/>
        <v>-2044685.4473683387</v>
      </c>
      <c r="O67" s="243">
        <f t="shared" si="15"/>
        <v>-2044685.4473683387</v>
      </c>
      <c r="P67" s="243">
        <f t="shared" si="15"/>
        <v>-2044685.4473683387</v>
      </c>
      <c r="Q67" s="243">
        <f t="shared" si="15"/>
        <v>-2044685.4473683387</v>
      </c>
      <c r="R67" s="243">
        <f t="shared" si="15"/>
        <v>-2044685.4473683387</v>
      </c>
      <c r="S67" s="243">
        <f t="shared" si="15"/>
        <v>-2044685.4473683387</v>
      </c>
      <c r="T67" s="243">
        <f t="shared" si="15"/>
        <v>-2044685.4473683387</v>
      </c>
      <c r="U67" s="243">
        <f t="shared" si="15"/>
        <v>-2044685.4473683387</v>
      </c>
      <c r="V67" s="243">
        <f t="shared" si="15"/>
        <v>-2044685.4473683387</v>
      </c>
      <c r="W67" s="243">
        <f t="shared" si="15"/>
        <v>-2044685.4473683387</v>
      </c>
      <c r="X67" s="243">
        <f t="shared" si="15"/>
        <v>-2044685.4473683387</v>
      </c>
      <c r="Y67" s="243">
        <f t="shared" si="15"/>
        <v>-2044685.4473683387</v>
      </c>
      <c r="Z67" s="243">
        <f t="shared" si="15"/>
        <v>-2044685.4473683387</v>
      </c>
      <c r="AA67" s="243">
        <f t="shared" si="15"/>
        <v>-2044685.4473683387</v>
      </c>
      <c r="AB67" s="243">
        <f t="shared" si="15"/>
        <v>-2044685.4473683387</v>
      </c>
      <c r="AC67" s="243">
        <f t="shared" si="15"/>
        <v>-2044685.4473683387</v>
      </c>
      <c r="AD67" s="243">
        <f t="shared" si="15"/>
        <v>-2044685.4473683387</v>
      </c>
      <c r="AE67" s="243">
        <f t="shared" si="15"/>
        <v>-2044685.4473683387</v>
      </c>
      <c r="AF67" s="243">
        <f t="shared" si="15"/>
        <v>-2044685.4473683387</v>
      </c>
      <c r="AG67" s="243">
        <f t="shared" si="15"/>
        <v>-2044685.4473683387</v>
      </c>
      <c r="AH67" s="243">
        <f t="shared" si="15"/>
        <v>-2044685.4473683387</v>
      </c>
      <c r="AI67" s="243">
        <f t="shared" si="15"/>
        <v>-2044685.4473683387</v>
      </c>
      <c r="AJ67" s="243">
        <f t="shared" si="15"/>
        <v>-2044685.4473683387</v>
      </c>
      <c r="AK67" s="243">
        <f t="shared" si="15"/>
        <v>-2044685.4473683387</v>
      </c>
      <c r="AL67" s="243">
        <f t="shared" si="15"/>
        <v>-2044685.4473683387</v>
      </c>
      <c r="AM67" s="243">
        <f t="shared" si="15"/>
        <v>-2044685.4473683387</v>
      </c>
      <c r="AN67" s="243">
        <f t="shared" si="15"/>
        <v>-2044685.4473683387</v>
      </c>
      <c r="AO67" s="243">
        <f t="shared" si="15"/>
        <v>-2044685.4473683387</v>
      </c>
      <c r="AP67" s="243">
        <f t="shared" si="15"/>
        <v>-2044685.4473683387</v>
      </c>
      <c r="AQ67" s="254"/>
      <c r="AR67" s="255"/>
      <c r="AS67" s="255"/>
    </row>
    <row r="68" spans="1:45" ht="28.5" x14ac:dyDescent="0.2">
      <c r="A68" s="252" t="s">
        <v>550</v>
      </c>
      <c r="B68" s="250">
        <f t="shared" ref="B68:J68" si="16">B66+B67</f>
        <v>0</v>
      </c>
      <c r="C68" s="250">
        <f>C66+C67</f>
        <v>77325335.739999995</v>
      </c>
      <c r="D68" s="250">
        <f>D66+D67</f>
        <v>-1041932.4566541106</v>
      </c>
      <c r="E68" s="250">
        <f t="shared" si="16"/>
        <v>-2899311.9776896257</v>
      </c>
      <c r="F68" s="250">
        <f>F66+C67</f>
        <v>-507932.07989780023</v>
      </c>
      <c r="G68" s="250">
        <f t="shared" si="16"/>
        <v>-2178555.9990802882</v>
      </c>
      <c r="H68" s="250">
        <f t="shared" si="16"/>
        <v>-1775221.368240024</v>
      </c>
      <c r="I68" s="250">
        <f t="shared" si="16"/>
        <v>-1018573.6416646084</v>
      </c>
      <c r="J68" s="250">
        <f t="shared" si="16"/>
        <v>-872508.18813995807</v>
      </c>
      <c r="K68" s="250">
        <f>K66+K67</f>
        <v>-721691.86305222823</v>
      </c>
      <c r="L68" s="250">
        <f>L66+L67</f>
        <v>-565901.37543795374</v>
      </c>
      <c r="M68" s="250">
        <f t="shared" ref="M68:AO68" si="17">M66+M67</f>
        <v>-404902.93965838733</v>
      </c>
      <c r="N68" s="250">
        <f t="shared" si="17"/>
        <v>-238451.78214976052</v>
      </c>
      <c r="O68" s="250">
        <f t="shared" si="17"/>
        <v>-66291.624990807148</v>
      </c>
      <c r="P68" s="250">
        <f t="shared" si="17"/>
        <v>111845.85480203852</v>
      </c>
      <c r="Q68" s="250">
        <f t="shared" si="17"/>
        <v>296241.59139256924</v>
      </c>
      <c r="R68" s="250">
        <f t="shared" si="17"/>
        <v>487189.72285027569</v>
      </c>
      <c r="S68" s="250">
        <f t="shared" si="17"/>
        <v>684998.21173391584</v>
      </c>
      <c r="T68" s="250">
        <f t="shared" si="17"/>
        <v>889989.49484250788</v>
      </c>
      <c r="U68" s="250">
        <f t="shared" si="17"/>
        <v>1102501.1635046252</v>
      </c>
      <c r="V68" s="250">
        <f t="shared" si="17"/>
        <v>1322886.6758412826</v>
      </c>
      <c r="W68" s="250">
        <f t="shared" si="17"/>
        <v>1551516.1025051842</v>
      </c>
      <c r="X68" s="250">
        <f t="shared" si="17"/>
        <v>1788776.9074697103</v>
      </c>
      <c r="Y68" s="250">
        <f t="shared" si="17"/>
        <v>2035074.7655149908</v>
      </c>
      <c r="Z68" s="250">
        <f t="shared" si="17"/>
        <v>2290834.41813582</v>
      </c>
      <c r="AA68" s="250">
        <f t="shared" si="17"/>
        <v>2556500.5696772495</v>
      </c>
      <c r="AB68" s="250">
        <f t="shared" si="17"/>
        <v>2832538.8255885467</v>
      </c>
      <c r="AC68" s="250">
        <f t="shared" si="17"/>
        <v>3119436.6747750966</v>
      </c>
      <c r="AD68" s="250">
        <f t="shared" si="17"/>
        <v>3417704.5181208346</v>
      </c>
      <c r="AE68" s="250">
        <f t="shared" si="17"/>
        <v>3727876.7453512447</v>
      </c>
      <c r="AF68" s="250">
        <f t="shared" si="17"/>
        <v>4050512.8625089051</v>
      </c>
      <c r="AG68" s="250">
        <f t="shared" si="17"/>
        <v>4431181.7522624992</v>
      </c>
      <c r="AH68" s="250">
        <f t="shared" si="17"/>
        <v>4735547.5106451483</v>
      </c>
      <c r="AI68" s="250">
        <f t="shared" si="17"/>
        <v>5054218.4596717823</v>
      </c>
      <c r="AJ68" s="250">
        <f t="shared" si="17"/>
        <v>5387866.9433026677</v>
      </c>
      <c r="AK68" s="250">
        <f t="shared" si="17"/>
        <v>5737196.9056642046</v>
      </c>
      <c r="AL68" s="250">
        <f t="shared" si="17"/>
        <v>6102945.3762567332</v>
      </c>
      <c r="AM68" s="250">
        <f t="shared" si="17"/>
        <v>6485884.0249671116</v>
      </c>
      <c r="AN68" s="250">
        <f t="shared" si="17"/>
        <v>6886820.7901668772</v>
      </c>
      <c r="AO68" s="250">
        <f t="shared" si="17"/>
        <v>7306601.5833310299</v>
      </c>
      <c r="AP68" s="250">
        <f>AP66+AP67</f>
        <v>7746112.0737739</v>
      </c>
    </row>
    <row r="69" spans="1:45" x14ac:dyDescent="0.2">
      <c r="A69" s="251" t="s">
        <v>254</v>
      </c>
      <c r="B69" s="243">
        <f t="shared" ref="B69:AO69" si="18">-B56</f>
        <v>0</v>
      </c>
      <c r="C69" s="243">
        <f t="shared" si="18"/>
        <v>0</v>
      </c>
      <c r="D69" s="243">
        <f t="shared" si="18"/>
        <v>0</v>
      </c>
      <c r="E69" s="243">
        <f t="shared" si="18"/>
        <v>0</v>
      </c>
      <c r="F69" s="243">
        <f t="shared" si="18"/>
        <v>0</v>
      </c>
      <c r="G69" s="243">
        <f t="shared" si="18"/>
        <v>0</v>
      </c>
      <c r="H69" s="243">
        <f t="shared" si="18"/>
        <v>0</v>
      </c>
      <c r="I69" s="243">
        <f t="shared" si="18"/>
        <v>0</v>
      </c>
      <c r="J69" s="243">
        <f t="shared" si="18"/>
        <v>0</v>
      </c>
      <c r="K69" s="243">
        <f t="shared" si="18"/>
        <v>0</v>
      </c>
      <c r="L69" s="243">
        <f t="shared" si="18"/>
        <v>0</v>
      </c>
      <c r="M69" s="243">
        <f t="shared" si="18"/>
        <v>0</v>
      </c>
      <c r="N69" s="243">
        <f t="shared" si="18"/>
        <v>0</v>
      </c>
      <c r="O69" s="243">
        <f t="shared" si="18"/>
        <v>0</v>
      </c>
      <c r="P69" s="243">
        <f t="shared" si="18"/>
        <v>0</v>
      </c>
      <c r="Q69" s="243">
        <f t="shared" si="18"/>
        <v>0</v>
      </c>
      <c r="R69" s="243">
        <f t="shared" si="18"/>
        <v>0</v>
      </c>
      <c r="S69" s="243">
        <f t="shared" si="18"/>
        <v>0</v>
      </c>
      <c r="T69" s="243">
        <f t="shared" si="18"/>
        <v>0</v>
      </c>
      <c r="U69" s="243">
        <f t="shared" si="18"/>
        <v>0</v>
      </c>
      <c r="V69" s="243">
        <f t="shared" si="18"/>
        <v>0</v>
      </c>
      <c r="W69" s="243">
        <f t="shared" si="18"/>
        <v>0</v>
      </c>
      <c r="X69" s="243">
        <f t="shared" si="18"/>
        <v>0</v>
      </c>
      <c r="Y69" s="243">
        <f t="shared" si="18"/>
        <v>0</v>
      </c>
      <c r="Z69" s="243">
        <f t="shared" si="18"/>
        <v>0</v>
      </c>
      <c r="AA69" s="243">
        <f t="shared" si="18"/>
        <v>0</v>
      </c>
      <c r="AB69" s="243">
        <f t="shared" si="18"/>
        <v>0</v>
      </c>
      <c r="AC69" s="243">
        <f t="shared" si="18"/>
        <v>0</v>
      </c>
      <c r="AD69" s="243">
        <f t="shared" si="18"/>
        <v>0</v>
      </c>
      <c r="AE69" s="243">
        <f t="shared" si="18"/>
        <v>0</v>
      </c>
      <c r="AF69" s="243">
        <f t="shared" si="18"/>
        <v>0</v>
      </c>
      <c r="AG69" s="243">
        <f t="shared" si="18"/>
        <v>0</v>
      </c>
      <c r="AH69" s="243">
        <f t="shared" si="18"/>
        <v>0</v>
      </c>
      <c r="AI69" s="243">
        <f t="shared" si="18"/>
        <v>0</v>
      </c>
      <c r="AJ69" s="243">
        <f t="shared" si="18"/>
        <v>0</v>
      </c>
      <c r="AK69" s="243">
        <f t="shared" si="18"/>
        <v>0</v>
      </c>
      <c r="AL69" s="243">
        <f t="shared" si="18"/>
        <v>0</v>
      </c>
      <c r="AM69" s="243">
        <f t="shared" si="18"/>
        <v>0</v>
      </c>
      <c r="AN69" s="243">
        <f t="shared" si="18"/>
        <v>0</v>
      </c>
      <c r="AO69" s="243">
        <f t="shared" si="18"/>
        <v>0</v>
      </c>
      <c r="AP69" s="243">
        <f>-AP56</f>
        <v>0</v>
      </c>
    </row>
    <row r="70" spans="1:45" ht="14.25" x14ac:dyDescent="0.2">
      <c r="A70" s="252" t="s">
        <v>258</v>
      </c>
      <c r="B70" s="250">
        <f t="shared" ref="B70:AO70" si="19">B68+B69</f>
        <v>0</v>
      </c>
      <c r="C70" s="250">
        <f t="shared" si="19"/>
        <v>77325335.739999995</v>
      </c>
      <c r="D70" s="250">
        <f t="shared" si="19"/>
        <v>-1041932.4566541106</v>
      </c>
      <c r="E70" s="250">
        <f t="shared" si="19"/>
        <v>-2899311.9776896257</v>
      </c>
      <c r="F70" s="250">
        <f t="shared" si="19"/>
        <v>-507932.07989780023</v>
      </c>
      <c r="G70" s="250">
        <f t="shared" si="19"/>
        <v>-2178555.9990802882</v>
      </c>
      <c r="H70" s="250">
        <f t="shared" si="19"/>
        <v>-1775221.368240024</v>
      </c>
      <c r="I70" s="250">
        <f t="shared" si="19"/>
        <v>-1018573.6416646084</v>
      </c>
      <c r="J70" s="250">
        <f t="shared" si="19"/>
        <v>-872508.18813995807</v>
      </c>
      <c r="K70" s="250">
        <f t="shared" si="19"/>
        <v>-721691.86305222823</v>
      </c>
      <c r="L70" s="250">
        <f t="shared" si="19"/>
        <v>-565901.37543795374</v>
      </c>
      <c r="M70" s="250">
        <f t="shared" si="19"/>
        <v>-404902.93965838733</v>
      </c>
      <c r="N70" s="250">
        <f t="shared" si="19"/>
        <v>-238451.78214976052</v>
      </c>
      <c r="O70" s="250">
        <f t="shared" si="19"/>
        <v>-66291.624990807148</v>
      </c>
      <c r="P70" s="250">
        <f t="shared" si="19"/>
        <v>111845.85480203852</v>
      </c>
      <c r="Q70" s="250">
        <f t="shared" si="19"/>
        <v>296241.59139256924</v>
      </c>
      <c r="R70" s="250">
        <f t="shared" si="19"/>
        <v>487189.72285027569</v>
      </c>
      <c r="S70" s="250">
        <f t="shared" si="19"/>
        <v>684998.21173391584</v>
      </c>
      <c r="T70" s="250">
        <f t="shared" si="19"/>
        <v>889989.49484250788</v>
      </c>
      <c r="U70" s="250">
        <f t="shared" si="19"/>
        <v>1102501.1635046252</v>
      </c>
      <c r="V70" s="250">
        <f t="shared" si="19"/>
        <v>1322886.6758412826</v>
      </c>
      <c r="W70" s="250">
        <f t="shared" si="19"/>
        <v>1551516.1025051842</v>
      </c>
      <c r="X70" s="250">
        <f t="shared" si="19"/>
        <v>1788776.9074697103</v>
      </c>
      <c r="Y70" s="250">
        <f t="shared" si="19"/>
        <v>2035074.7655149908</v>
      </c>
      <c r="Z70" s="250">
        <f t="shared" si="19"/>
        <v>2290834.41813582</v>
      </c>
      <c r="AA70" s="250">
        <f t="shared" si="19"/>
        <v>2556500.5696772495</v>
      </c>
      <c r="AB70" s="250">
        <f t="shared" si="19"/>
        <v>2832538.8255885467</v>
      </c>
      <c r="AC70" s="250">
        <f t="shared" si="19"/>
        <v>3119436.6747750966</v>
      </c>
      <c r="AD70" s="250">
        <f t="shared" si="19"/>
        <v>3417704.5181208346</v>
      </c>
      <c r="AE70" s="250">
        <f t="shared" si="19"/>
        <v>3727876.7453512447</v>
      </c>
      <c r="AF70" s="250">
        <f t="shared" si="19"/>
        <v>4050512.8625089051</v>
      </c>
      <c r="AG70" s="250">
        <f t="shared" si="19"/>
        <v>4431181.7522624992</v>
      </c>
      <c r="AH70" s="250">
        <f t="shared" si="19"/>
        <v>4735547.5106451483</v>
      </c>
      <c r="AI70" s="250">
        <f t="shared" si="19"/>
        <v>5054218.4596717823</v>
      </c>
      <c r="AJ70" s="250">
        <f t="shared" si="19"/>
        <v>5387866.9433026677</v>
      </c>
      <c r="AK70" s="250">
        <f t="shared" si="19"/>
        <v>5737196.9056642046</v>
      </c>
      <c r="AL70" s="250">
        <f t="shared" si="19"/>
        <v>6102945.3762567332</v>
      </c>
      <c r="AM70" s="250">
        <f t="shared" si="19"/>
        <v>6485884.0249671116</v>
      </c>
      <c r="AN70" s="250">
        <f t="shared" si="19"/>
        <v>6886820.7901668772</v>
      </c>
      <c r="AO70" s="250">
        <f t="shared" si="19"/>
        <v>7306601.5833310299</v>
      </c>
      <c r="AP70" s="250">
        <f>AP68+AP69</f>
        <v>7746112.0737739</v>
      </c>
    </row>
    <row r="71" spans="1:45" x14ac:dyDescent="0.2">
      <c r="A71" s="251" t="s">
        <v>253</v>
      </c>
      <c r="B71" s="243">
        <f t="shared" ref="B71:AP71" si="20">-B70*$B$36</f>
        <v>0</v>
      </c>
      <c r="C71" s="243">
        <f>-C70*$B$36</f>
        <v>-15465067.148</v>
      </c>
      <c r="D71" s="243">
        <f t="shared" si="20"/>
        <v>208386.49133082211</v>
      </c>
      <c r="E71" s="243">
        <f t="shared" si="20"/>
        <v>579862.39553792519</v>
      </c>
      <c r="F71" s="243">
        <f t="shared" si="20"/>
        <v>101586.41597956006</v>
      </c>
      <c r="G71" s="243">
        <f t="shared" si="20"/>
        <v>435711.19981605769</v>
      </c>
      <c r="H71" s="243">
        <f t="shared" si="20"/>
        <v>355044.2736480048</v>
      </c>
      <c r="I71" s="243">
        <f t="shared" si="20"/>
        <v>203714.72833292169</v>
      </c>
      <c r="J71" s="243">
        <f t="shared" si="20"/>
        <v>174501.63762799161</v>
      </c>
      <c r="K71" s="243">
        <f t="shared" si="20"/>
        <v>144338.37261044566</v>
      </c>
      <c r="L71" s="243">
        <f t="shared" si="20"/>
        <v>113180.27508759075</v>
      </c>
      <c r="M71" s="243">
        <f t="shared" si="20"/>
        <v>80980.587931677466</v>
      </c>
      <c r="N71" s="243">
        <f t="shared" si="20"/>
        <v>47690.356429952109</v>
      </c>
      <c r="O71" s="243">
        <f t="shared" si="20"/>
        <v>13258.32499816143</v>
      </c>
      <c r="P71" s="243">
        <f t="shared" si="20"/>
        <v>-22369.170960407704</v>
      </c>
      <c r="Q71" s="243">
        <f t="shared" si="20"/>
        <v>-59248.318278513849</v>
      </c>
      <c r="R71" s="243">
        <f t="shared" si="20"/>
        <v>-97437.944570055144</v>
      </c>
      <c r="S71" s="243">
        <f t="shared" si="20"/>
        <v>-136999.64234678316</v>
      </c>
      <c r="T71" s="243">
        <f t="shared" si="20"/>
        <v>-177997.8989685016</v>
      </c>
      <c r="U71" s="243">
        <f t="shared" si="20"/>
        <v>-220500.23270092506</v>
      </c>
      <c r="V71" s="243">
        <f t="shared" si="20"/>
        <v>-264577.33516825654</v>
      </c>
      <c r="W71" s="243">
        <f t="shared" si="20"/>
        <v>-310303.22050103685</v>
      </c>
      <c r="X71" s="243">
        <f t="shared" si="20"/>
        <v>-357755.38149394211</v>
      </c>
      <c r="Y71" s="243">
        <f t="shared" si="20"/>
        <v>-407014.9531029982</v>
      </c>
      <c r="Z71" s="243">
        <f t="shared" si="20"/>
        <v>-458166.883627164</v>
      </c>
      <c r="AA71" s="243">
        <f t="shared" si="20"/>
        <v>-511300.11393544992</v>
      </c>
      <c r="AB71" s="243">
        <f t="shared" si="20"/>
        <v>-566507.76511770941</v>
      </c>
      <c r="AC71" s="243">
        <f t="shared" si="20"/>
        <v>-623887.33495501929</v>
      </c>
      <c r="AD71" s="243">
        <f t="shared" si="20"/>
        <v>-683540.90362416697</v>
      </c>
      <c r="AE71" s="243">
        <f t="shared" si="20"/>
        <v>-745575.34907024901</v>
      </c>
      <c r="AF71" s="243">
        <f t="shared" si="20"/>
        <v>-810102.57250178105</v>
      </c>
      <c r="AG71" s="243">
        <f t="shared" si="20"/>
        <v>-886236.35045249993</v>
      </c>
      <c r="AH71" s="243">
        <f t="shared" si="20"/>
        <v>-947109.50212902972</v>
      </c>
      <c r="AI71" s="243">
        <f t="shared" si="20"/>
        <v>-1010843.6919343565</v>
      </c>
      <c r="AJ71" s="243">
        <f t="shared" si="20"/>
        <v>-1077573.3886605336</v>
      </c>
      <c r="AK71" s="243">
        <f t="shared" si="20"/>
        <v>-1147439.3811328409</v>
      </c>
      <c r="AL71" s="243">
        <f t="shared" si="20"/>
        <v>-1220589.0752513467</v>
      </c>
      <c r="AM71" s="243">
        <f t="shared" si="20"/>
        <v>-1297176.8049934225</v>
      </c>
      <c r="AN71" s="243">
        <f t="shared" si="20"/>
        <v>-1377364.1580333756</v>
      </c>
      <c r="AO71" s="243">
        <f t="shared" si="20"/>
        <v>-1461320.3166662061</v>
      </c>
      <c r="AP71" s="243">
        <f t="shared" si="20"/>
        <v>-1549222.41475478</v>
      </c>
    </row>
    <row r="72" spans="1:45" ht="15" thickBot="1" x14ac:dyDescent="0.25">
      <c r="A72" s="256" t="s">
        <v>257</v>
      </c>
      <c r="B72" s="257">
        <f t="shared" ref="B72:AO72" si="21">B70+B71</f>
        <v>0</v>
      </c>
      <c r="C72" s="257">
        <f t="shared" si="21"/>
        <v>61860268.591999993</v>
      </c>
      <c r="D72" s="257">
        <f t="shared" si="21"/>
        <v>-833545.96532328846</v>
      </c>
      <c r="E72" s="257">
        <f t="shared" si="21"/>
        <v>-2319449.5821517007</v>
      </c>
      <c r="F72" s="257">
        <f t="shared" si="21"/>
        <v>-406345.66391824017</v>
      </c>
      <c r="G72" s="257">
        <f t="shared" si="21"/>
        <v>-1742844.7992642305</v>
      </c>
      <c r="H72" s="257">
        <f t="shared" si="21"/>
        <v>-1420177.0945920192</v>
      </c>
      <c r="I72" s="257">
        <f t="shared" si="21"/>
        <v>-814858.91333168675</v>
      </c>
      <c r="J72" s="257">
        <f t="shared" si="21"/>
        <v>-698006.55051196646</v>
      </c>
      <c r="K72" s="257">
        <f t="shared" si="21"/>
        <v>-577353.49044178263</v>
      </c>
      <c r="L72" s="257">
        <f t="shared" si="21"/>
        <v>-452721.10035036301</v>
      </c>
      <c r="M72" s="257">
        <f t="shared" si="21"/>
        <v>-323922.35172670987</v>
      </c>
      <c r="N72" s="257">
        <f t="shared" si="21"/>
        <v>-190761.42571980841</v>
      </c>
      <c r="O72" s="257">
        <f t="shared" si="21"/>
        <v>-53033.29999264572</v>
      </c>
      <c r="P72" s="257">
        <f t="shared" si="21"/>
        <v>89476.683841630816</v>
      </c>
      <c r="Q72" s="257">
        <f t="shared" si="21"/>
        <v>236993.2731140554</v>
      </c>
      <c r="R72" s="257">
        <f t="shared" si="21"/>
        <v>389751.77828022058</v>
      </c>
      <c r="S72" s="257">
        <f t="shared" si="21"/>
        <v>547998.56938713265</v>
      </c>
      <c r="T72" s="257">
        <f t="shared" si="21"/>
        <v>711991.59587400628</v>
      </c>
      <c r="U72" s="257">
        <f t="shared" si="21"/>
        <v>882000.93080370012</v>
      </c>
      <c r="V72" s="257">
        <f t="shared" si="21"/>
        <v>1058309.3406730262</v>
      </c>
      <c r="W72" s="257">
        <f t="shared" si="21"/>
        <v>1241212.8820041474</v>
      </c>
      <c r="X72" s="257">
        <f t="shared" si="21"/>
        <v>1431021.5259757682</v>
      </c>
      <c r="Y72" s="257">
        <f t="shared" si="21"/>
        <v>1628059.8124119926</v>
      </c>
      <c r="Z72" s="257">
        <f t="shared" si="21"/>
        <v>1832667.534508656</v>
      </c>
      <c r="AA72" s="257">
        <f t="shared" si="21"/>
        <v>2045200.4557417997</v>
      </c>
      <c r="AB72" s="257">
        <f t="shared" si="21"/>
        <v>2266031.0604708372</v>
      </c>
      <c r="AC72" s="257">
        <f t="shared" si="21"/>
        <v>2495549.3398200772</v>
      </c>
      <c r="AD72" s="257">
        <f t="shared" si="21"/>
        <v>2734163.6144966679</v>
      </c>
      <c r="AE72" s="257">
        <f t="shared" si="21"/>
        <v>2982301.3962809956</v>
      </c>
      <c r="AF72" s="257">
        <f t="shared" si="21"/>
        <v>3240410.2900071242</v>
      </c>
      <c r="AG72" s="257">
        <f t="shared" si="21"/>
        <v>3544945.4018099993</v>
      </c>
      <c r="AH72" s="257">
        <f t="shared" si="21"/>
        <v>3788438.0085161189</v>
      </c>
      <c r="AI72" s="257">
        <f t="shared" si="21"/>
        <v>4043374.7677374259</v>
      </c>
      <c r="AJ72" s="257">
        <f t="shared" si="21"/>
        <v>4310293.5546421343</v>
      </c>
      <c r="AK72" s="257">
        <f t="shared" si="21"/>
        <v>4589757.5245313635</v>
      </c>
      <c r="AL72" s="257">
        <f t="shared" si="21"/>
        <v>4882356.3010053867</v>
      </c>
      <c r="AM72" s="257">
        <f t="shared" si="21"/>
        <v>5188707.2199736889</v>
      </c>
      <c r="AN72" s="257">
        <f t="shared" si="21"/>
        <v>5509456.6321335016</v>
      </c>
      <c r="AO72" s="257">
        <f t="shared" si="21"/>
        <v>5845281.2666648235</v>
      </c>
      <c r="AP72" s="257">
        <f>AP70+AP71</f>
        <v>6196889.65901912</v>
      </c>
    </row>
    <row r="73" spans="1:45" s="248" customFormat="1" ht="16.5" thickBot="1" x14ac:dyDescent="0.25">
      <c r="A73" s="246"/>
      <c r="B73" s="258">
        <f>G141</f>
        <v>0.5</v>
      </c>
      <c r="C73" s="258">
        <f>H141</f>
        <v>1.5</v>
      </c>
      <c r="D73" s="258">
        <f t="shared" ref="D73:AP73" si="22">I141</f>
        <v>2.5</v>
      </c>
      <c r="E73" s="258">
        <f t="shared" si="22"/>
        <v>3.5</v>
      </c>
      <c r="F73" s="258">
        <f t="shared" si="22"/>
        <v>4.5</v>
      </c>
      <c r="G73" s="258">
        <f t="shared" si="22"/>
        <v>5.5</v>
      </c>
      <c r="H73" s="258">
        <f t="shared" si="22"/>
        <v>6.5</v>
      </c>
      <c r="I73" s="258">
        <f t="shared" si="22"/>
        <v>7.5</v>
      </c>
      <c r="J73" s="258">
        <f t="shared" si="22"/>
        <v>8.5</v>
      </c>
      <c r="K73" s="258">
        <f t="shared" si="22"/>
        <v>9.5</v>
      </c>
      <c r="L73" s="258">
        <f t="shared" si="22"/>
        <v>10.5</v>
      </c>
      <c r="M73" s="258">
        <f t="shared" si="22"/>
        <v>11.5</v>
      </c>
      <c r="N73" s="258">
        <f t="shared" si="22"/>
        <v>12.5</v>
      </c>
      <c r="O73" s="258">
        <f t="shared" si="22"/>
        <v>13.5</v>
      </c>
      <c r="P73" s="258">
        <f t="shared" si="22"/>
        <v>14.5</v>
      </c>
      <c r="Q73" s="258">
        <f t="shared" si="22"/>
        <v>15.5</v>
      </c>
      <c r="R73" s="258">
        <f t="shared" si="22"/>
        <v>16.5</v>
      </c>
      <c r="S73" s="258">
        <f t="shared" si="22"/>
        <v>17.5</v>
      </c>
      <c r="T73" s="258">
        <f t="shared" si="22"/>
        <v>18.5</v>
      </c>
      <c r="U73" s="258">
        <f t="shared" si="22"/>
        <v>19.5</v>
      </c>
      <c r="V73" s="258">
        <f t="shared" si="22"/>
        <v>20.5</v>
      </c>
      <c r="W73" s="258">
        <f t="shared" si="22"/>
        <v>21.5</v>
      </c>
      <c r="X73" s="258">
        <f t="shared" si="22"/>
        <v>22.5</v>
      </c>
      <c r="Y73" s="258">
        <f t="shared" si="22"/>
        <v>23.5</v>
      </c>
      <c r="Z73" s="258">
        <f t="shared" si="22"/>
        <v>24.5</v>
      </c>
      <c r="AA73" s="258">
        <f t="shared" si="22"/>
        <v>25.5</v>
      </c>
      <c r="AB73" s="258">
        <f t="shared" si="22"/>
        <v>26.5</v>
      </c>
      <c r="AC73" s="258">
        <f t="shared" si="22"/>
        <v>27.5</v>
      </c>
      <c r="AD73" s="258">
        <f t="shared" si="22"/>
        <v>28.5</v>
      </c>
      <c r="AE73" s="258">
        <f t="shared" si="22"/>
        <v>29.5</v>
      </c>
      <c r="AF73" s="258">
        <f t="shared" si="22"/>
        <v>30.5</v>
      </c>
      <c r="AG73" s="258">
        <f t="shared" si="22"/>
        <v>31.5</v>
      </c>
      <c r="AH73" s="258">
        <f t="shared" si="22"/>
        <v>32.5</v>
      </c>
      <c r="AI73" s="258">
        <f t="shared" si="22"/>
        <v>33.5</v>
      </c>
      <c r="AJ73" s="258">
        <f t="shared" si="22"/>
        <v>34.5</v>
      </c>
      <c r="AK73" s="258">
        <f t="shared" si="22"/>
        <v>35.5</v>
      </c>
      <c r="AL73" s="258">
        <f t="shared" si="22"/>
        <v>36.5</v>
      </c>
      <c r="AM73" s="258">
        <f t="shared" si="22"/>
        <v>37.5</v>
      </c>
      <c r="AN73" s="258">
        <f t="shared" si="22"/>
        <v>38.5</v>
      </c>
      <c r="AO73" s="258">
        <f t="shared" si="22"/>
        <v>39.5</v>
      </c>
      <c r="AP73" s="258">
        <f t="shared" si="22"/>
        <v>40.5</v>
      </c>
      <c r="AQ73" s="190"/>
      <c r="AR73" s="190"/>
      <c r="AS73" s="190"/>
    </row>
    <row r="74" spans="1:45" x14ac:dyDescent="0.2">
      <c r="A74" s="240" t="s">
        <v>256</v>
      </c>
      <c r="B74" s="241">
        <f t="shared" ref="B74:AO74" si="23">B58</f>
        <v>1</v>
      </c>
      <c r="C74" s="241">
        <f t="shared" si="23"/>
        <v>2</v>
      </c>
      <c r="D74" s="241">
        <f t="shared" si="23"/>
        <v>3</v>
      </c>
      <c r="E74" s="241">
        <f t="shared" si="23"/>
        <v>4</v>
      </c>
      <c r="F74" s="241">
        <f t="shared" si="23"/>
        <v>5</v>
      </c>
      <c r="G74" s="241">
        <f t="shared" si="23"/>
        <v>6</v>
      </c>
      <c r="H74" s="241">
        <f t="shared" si="23"/>
        <v>7</v>
      </c>
      <c r="I74" s="241">
        <f t="shared" si="23"/>
        <v>8</v>
      </c>
      <c r="J74" s="241">
        <f t="shared" si="23"/>
        <v>9</v>
      </c>
      <c r="K74" s="241">
        <f t="shared" si="23"/>
        <v>10</v>
      </c>
      <c r="L74" s="241">
        <f t="shared" si="23"/>
        <v>11</v>
      </c>
      <c r="M74" s="241">
        <f t="shared" si="23"/>
        <v>12</v>
      </c>
      <c r="N74" s="241">
        <f t="shared" si="23"/>
        <v>13</v>
      </c>
      <c r="O74" s="241">
        <f t="shared" si="23"/>
        <v>14</v>
      </c>
      <c r="P74" s="241">
        <f t="shared" si="23"/>
        <v>15</v>
      </c>
      <c r="Q74" s="241">
        <f t="shared" si="23"/>
        <v>16</v>
      </c>
      <c r="R74" s="241">
        <f t="shared" si="23"/>
        <v>17</v>
      </c>
      <c r="S74" s="241">
        <f t="shared" si="23"/>
        <v>18</v>
      </c>
      <c r="T74" s="241">
        <f t="shared" si="23"/>
        <v>19</v>
      </c>
      <c r="U74" s="241">
        <f t="shared" si="23"/>
        <v>20</v>
      </c>
      <c r="V74" s="241">
        <f t="shared" si="23"/>
        <v>21</v>
      </c>
      <c r="W74" s="241">
        <f t="shared" si="23"/>
        <v>22</v>
      </c>
      <c r="X74" s="241">
        <f t="shared" si="23"/>
        <v>23</v>
      </c>
      <c r="Y74" s="241">
        <f t="shared" si="23"/>
        <v>24</v>
      </c>
      <c r="Z74" s="241">
        <f t="shared" si="23"/>
        <v>25</v>
      </c>
      <c r="AA74" s="241">
        <f t="shared" si="23"/>
        <v>26</v>
      </c>
      <c r="AB74" s="241">
        <f t="shared" si="23"/>
        <v>27</v>
      </c>
      <c r="AC74" s="241">
        <f t="shared" si="23"/>
        <v>28</v>
      </c>
      <c r="AD74" s="241">
        <f t="shared" si="23"/>
        <v>29</v>
      </c>
      <c r="AE74" s="241">
        <f t="shared" si="23"/>
        <v>30</v>
      </c>
      <c r="AF74" s="241">
        <f t="shared" si="23"/>
        <v>31</v>
      </c>
      <c r="AG74" s="241">
        <f t="shared" si="23"/>
        <v>32</v>
      </c>
      <c r="AH74" s="241">
        <f t="shared" si="23"/>
        <v>33</v>
      </c>
      <c r="AI74" s="241">
        <f t="shared" si="23"/>
        <v>34</v>
      </c>
      <c r="AJ74" s="241">
        <f t="shared" si="23"/>
        <v>35</v>
      </c>
      <c r="AK74" s="241">
        <f t="shared" si="23"/>
        <v>36</v>
      </c>
      <c r="AL74" s="241">
        <f t="shared" si="23"/>
        <v>37</v>
      </c>
      <c r="AM74" s="241">
        <f t="shared" si="23"/>
        <v>38</v>
      </c>
      <c r="AN74" s="241">
        <f t="shared" si="23"/>
        <v>39</v>
      </c>
      <c r="AO74" s="241">
        <f t="shared" si="23"/>
        <v>40</v>
      </c>
      <c r="AP74" s="241">
        <f>AP58</f>
        <v>41</v>
      </c>
    </row>
    <row r="75" spans="1:45" ht="28.5" x14ac:dyDescent="0.2">
      <c r="A75" s="249" t="s">
        <v>550</v>
      </c>
      <c r="B75" s="250">
        <f t="shared" ref="B75:AO75" si="24">B68</f>
        <v>0</v>
      </c>
      <c r="C75" s="250">
        <f>C68</f>
        <v>77325335.739999995</v>
      </c>
      <c r="D75" s="250">
        <f>D68</f>
        <v>-1041932.4566541106</v>
      </c>
      <c r="E75" s="250">
        <f t="shared" si="24"/>
        <v>-2899311.9776896257</v>
      </c>
      <c r="F75" s="250">
        <f t="shared" si="24"/>
        <v>-507932.07989780023</v>
      </c>
      <c r="G75" s="250">
        <f t="shared" si="24"/>
        <v>-2178555.9990802882</v>
      </c>
      <c r="H75" s="250">
        <f t="shared" si="24"/>
        <v>-1775221.368240024</v>
      </c>
      <c r="I75" s="250">
        <f t="shared" si="24"/>
        <v>-1018573.6416646084</v>
      </c>
      <c r="J75" s="250">
        <f t="shared" si="24"/>
        <v>-872508.18813995807</v>
      </c>
      <c r="K75" s="250">
        <f t="shared" si="24"/>
        <v>-721691.86305222823</v>
      </c>
      <c r="L75" s="250">
        <f t="shared" si="24"/>
        <v>-565901.37543795374</v>
      </c>
      <c r="M75" s="250">
        <f t="shared" si="24"/>
        <v>-404902.93965838733</v>
      </c>
      <c r="N75" s="250">
        <f t="shared" si="24"/>
        <v>-238451.78214976052</v>
      </c>
      <c r="O75" s="250">
        <f t="shared" si="24"/>
        <v>-66291.624990807148</v>
      </c>
      <c r="P75" s="250">
        <f t="shared" si="24"/>
        <v>111845.85480203852</v>
      </c>
      <c r="Q75" s="250">
        <f t="shared" si="24"/>
        <v>296241.59139256924</v>
      </c>
      <c r="R75" s="250">
        <f t="shared" si="24"/>
        <v>487189.72285027569</v>
      </c>
      <c r="S75" s="250">
        <f t="shared" si="24"/>
        <v>684998.21173391584</v>
      </c>
      <c r="T75" s="250">
        <f t="shared" si="24"/>
        <v>889989.49484250788</v>
      </c>
      <c r="U75" s="250">
        <f t="shared" si="24"/>
        <v>1102501.1635046252</v>
      </c>
      <c r="V75" s="250">
        <f t="shared" si="24"/>
        <v>1322886.6758412826</v>
      </c>
      <c r="W75" s="250">
        <f t="shared" si="24"/>
        <v>1551516.1025051842</v>
      </c>
      <c r="X75" s="250">
        <f t="shared" si="24"/>
        <v>1788776.9074697103</v>
      </c>
      <c r="Y75" s="250">
        <f t="shared" si="24"/>
        <v>2035074.7655149908</v>
      </c>
      <c r="Z75" s="250">
        <f t="shared" si="24"/>
        <v>2290834.41813582</v>
      </c>
      <c r="AA75" s="250">
        <f t="shared" si="24"/>
        <v>2556500.5696772495</v>
      </c>
      <c r="AB75" s="250">
        <f t="shared" si="24"/>
        <v>2832538.8255885467</v>
      </c>
      <c r="AC75" s="250">
        <f t="shared" si="24"/>
        <v>3119436.6747750966</v>
      </c>
      <c r="AD75" s="250">
        <f t="shared" si="24"/>
        <v>3417704.5181208346</v>
      </c>
      <c r="AE75" s="250">
        <f t="shared" si="24"/>
        <v>3727876.7453512447</v>
      </c>
      <c r="AF75" s="250">
        <f t="shared" si="24"/>
        <v>4050512.8625089051</v>
      </c>
      <c r="AG75" s="250">
        <f t="shared" si="24"/>
        <v>4431181.7522624992</v>
      </c>
      <c r="AH75" s="250">
        <f t="shared" si="24"/>
        <v>4735547.5106451483</v>
      </c>
      <c r="AI75" s="250">
        <f t="shared" si="24"/>
        <v>5054218.4596717823</v>
      </c>
      <c r="AJ75" s="250">
        <f t="shared" si="24"/>
        <v>5387866.9433026677</v>
      </c>
      <c r="AK75" s="250">
        <f t="shared" si="24"/>
        <v>5737196.9056642046</v>
      </c>
      <c r="AL75" s="250">
        <f t="shared" si="24"/>
        <v>6102945.3762567332</v>
      </c>
      <c r="AM75" s="250">
        <f t="shared" si="24"/>
        <v>6485884.0249671116</v>
      </c>
      <c r="AN75" s="250">
        <f t="shared" si="24"/>
        <v>6886820.7901668772</v>
      </c>
      <c r="AO75" s="250">
        <f t="shared" si="24"/>
        <v>7306601.5833310299</v>
      </c>
      <c r="AP75" s="250">
        <f>AP68</f>
        <v>7746112.0737739</v>
      </c>
    </row>
    <row r="76" spans="1:45" x14ac:dyDescent="0.2">
      <c r="A76" s="251" t="s">
        <v>255</v>
      </c>
      <c r="B76" s="243">
        <f t="shared" ref="B76:AO76" si="25">-B67</f>
        <v>0</v>
      </c>
      <c r="C76" s="243">
        <f>-C67</f>
        <v>0</v>
      </c>
      <c r="D76" s="243">
        <f t="shared" si="25"/>
        <v>0</v>
      </c>
      <c r="E76" s="243">
        <f t="shared" si="25"/>
        <v>2044685.4473683387</v>
      </c>
      <c r="F76" s="243">
        <f>-C67</f>
        <v>0</v>
      </c>
      <c r="G76" s="243">
        <f t="shared" si="25"/>
        <v>2044685.4473683387</v>
      </c>
      <c r="H76" s="243">
        <f t="shared" si="25"/>
        <v>2044685.4473683387</v>
      </c>
      <c r="I76" s="243">
        <f t="shared" si="25"/>
        <v>2044685.4473683387</v>
      </c>
      <c r="J76" s="243">
        <f t="shared" si="25"/>
        <v>2044685.4473683387</v>
      </c>
      <c r="K76" s="243">
        <f t="shared" si="25"/>
        <v>2044685.4473683387</v>
      </c>
      <c r="L76" s="243">
        <f>-L67</f>
        <v>2044685.4473683387</v>
      </c>
      <c r="M76" s="243">
        <f>-M67</f>
        <v>2044685.4473683387</v>
      </c>
      <c r="N76" s="243">
        <f t="shared" si="25"/>
        <v>2044685.4473683387</v>
      </c>
      <c r="O76" s="243">
        <f t="shared" si="25"/>
        <v>2044685.4473683387</v>
      </c>
      <c r="P76" s="243">
        <f t="shared" si="25"/>
        <v>2044685.4473683387</v>
      </c>
      <c r="Q76" s="243">
        <f t="shared" si="25"/>
        <v>2044685.4473683387</v>
      </c>
      <c r="R76" s="243">
        <f t="shared" si="25"/>
        <v>2044685.4473683387</v>
      </c>
      <c r="S76" s="243">
        <f t="shared" si="25"/>
        <v>2044685.4473683387</v>
      </c>
      <c r="T76" s="243">
        <f t="shared" si="25"/>
        <v>2044685.4473683387</v>
      </c>
      <c r="U76" s="243">
        <f t="shared" si="25"/>
        <v>2044685.4473683387</v>
      </c>
      <c r="V76" s="243">
        <f t="shared" si="25"/>
        <v>2044685.4473683387</v>
      </c>
      <c r="W76" s="243">
        <f t="shared" si="25"/>
        <v>2044685.4473683387</v>
      </c>
      <c r="X76" s="243">
        <f t="shared" si="25"/>
        <v>2044685.4473683387</v>
      </c>
      <c r="Y76" s="243">
        <f t="shared" si="25"/>
        <v>2044685.4473683387</v>
      </c>
      <c r="Z76" s="243">
        <f t="shared" si="25"/>
        <v>2044685.4473683387</v>
      </c>
      <c r="AA76" s="243">
        <f t="shared" si="25"/>
        <v>2044685.4473683387</v>
      </c>
      <c r="AB76" s="243">
        <f t="shared" si="25"/>
        <v>2044685.4473683387</v>
      </c>
      <c r="AC76" s="243">
        <f t="shared" si="25"/>
        <v>2044685.4473683387</v>
      </c>
      <c r="AD76" s="243">
        <f t="shared" si="25"/>
        <v>2044685.4473683387</v>
      </c>
      <c r="AE76" s="243">
        <f t="shared" si="25"/>
        <v>2044685.4473683387</v>
      </c>
      <c r="AF76" s="243">
        <f t="shared" si="25"/>
        <v>2044685.4473683387</v>
      </c>
      <c r="AG76" s="243">
        <f t="shared" si="25"/>
        <v>2044685.4473683387</v>
      </c>
      <c r="AH76" s="243">
        <f t="shared" si="25"/>
        <v>2044685.4473683387</v>
      </c>
      <c r="AI76" s="243">
        <f t="shared" si="25"/>
        <v>2044685.4473683387</v>
      </c>
      <c r="AJ76" s="243">
        <f t="shared" si="25"/>
        <v>2044685.4473683387</v>
      </c>
      <c r="AK76" s="243">
        <f t="shared" si="25"/>
        <v>2044685.4473683387</v>
      </c>
      <c r="AL76" s="243">
        <f t="shared" si="25"/>
        <v>2044685.4473683387</v>
      </c>
      <c r="AM76" s="243">
        <f t="shared" si="25"/>
        <v>2044685.4473683387</v>
      </c>
      <c r="AN76" s="243">
        <f t="shared" si="25"/>
        <v>2044685.4473683387</v>
      </c>
      <c r="AO76" s="243">
        <f t="shared" si="25"/>
        <v>2044685.4473683387</v>
      </c>
      <c r="AP76" s="243">
        <f>-AP67</f>
        <v>2044685.4473683387</v>
      </c>
    </row>
    <row r="77" spans="1:45" x14ac:dyDescent="0.2">
      <c r="A77" s="251" t="s">
        <v>254</v>
      </c>
      <c r="B77" s="243">
        <f t="shared" ref="B77:AO77" si="26">B69</f>
        <v>0</v>
      </c>
      <c r="C77" s="243">
        <f t="shared" si="26"/>
        <v>0</v>
      </c>
      <c r="D77" s="243">
        <f t="shared" si="26"/>
        <v>0</v>
      </c>
      <c r="E77" s="243">
        <f t="shared" si="26"/>
        <v>0</v>
      </c>
      <c r="F77" s="243">
        <f t="shared" si="26"/>
        <v>0</v>
      </c>
      <c r="G77" s="243">
        <f t="shared" si="26"/>
        <v>0</v>
      </c>
      <c r="H77" s="243">
        <f t="shared" si="26"/>
        <v>0</v>
      </c>
      <c r="I77" s="243">
        <f t="shared" si="26"/>
        <v>0</v>
      </c>
      <c r="J77" s="243">
        <f t="shared" si="26"/>
        <v>0</v>
      </c>
      <c r="K77" s="243">
        <f t="shared" si="26"/>
        <v>0</v>
      </c>
      <c r="L77" s="243">
        <f t="shared" si="26"/>
        <v>0</v>
      </c>
      <c r="M77" s="243">
        <f t="shared" si="26"/>
        <v>0</v>
      </c>
      <c r="N77" s="243">
        <f t="shared" si="26"/>
        <v>0</v>
      </c>
      <c r="O77" s="243">
        <f t="shared" si="26"/>
        <v>0</v>
      </c>
      <c r="P77" s="243">
        <f t="shared" si="26"/>
        <v>0</v>
      </c>
      <c r="Q77" s="243">
        <f t="shared" si="26"/>
        <v>0</v>
      </c>
      <c r="R77" s="243">
        <f t="shared" si="26"/>
        <v>0</v>
      </c>
      <c r="S77" s="243">
        <f t="shared" si="26"/>
        <v>0</v>
      </c>
      <c r="T77" s="243">
        <f t="shared" si="26"/>
        <v>0</v>
      </c>
      <c r="U77" s="243">
        <f t="shared" si="26"/>
        <v>0</v>
      </c>
      <c r="V77" s="243">
        <f t="shared" si="26"/>
        <v>0</v>
      </c>
      <c r="W77" s="243">
        <f t="shared" si="26"/>
        <v>0</v>
      </c>
      <c r="X77" s="243">
        <f t="shared" si="26"/>
        <v>0</v>
      </c>
      <c r="Y77" s="243">
        <f t="shared" si="26"/>
        <v>0</v>
      </c>
      <c r="Z77" s="243">
        <f t="shared" si="26"/>
        <v>0</v>
      </c>
      <c r="AA77" s="243">
        <f t="shared" si="26"/>
        <v>0</v>
      </c>
      <c r="AB77" s="243">
        <f t="shared" si="26"/>
        <v>0</v>
      </c>
      <c r="AC77" s="243">
        <f t="shared" si="26"/>
        <v>0</v>
      </c>
      <c r="AD77" s="243">
        <f t="shared" si="26"/>
        <v>0</v>
      </c>
      <c r="AE77" s="243">
        <f t="shared" si="26"/>
        <v>0</v>
      </c>
      <c r="AF77" s="243">
        <f t="shared" si="26"/>
        <v>0</v>
      </c>
      <c r="AG77" s="243">
        <f t="shared" si="26"/>
        <v>0</v>
      </c>
      <c r="AH77" s="243">
        <f t="shared" si="26"/>
        <v>0</v>
      </c>
      <c r="AI77" s="243">
        <f t="shared" si="26"/>
        <v>0</v>
      </c>
      <c r="AJ77" s="243">
        <f t="shared" si="26"/>
        <v>0</v>
      </c>
      <c r="AK77" s="243">
        <f t="shared" si="26"/>
        <v>0</v>
      </c>
      <c r="AL77" s="243">
        <f t="shared" si="26"/>
        <v>0</v>
      </c>
      <c r="AM77" s="243">
        <f t="shared" si="26"/>
        <v>0</v>
      </c>
      <c r="AN77" s="243">
        <f t="shared" si="26"/>
        <v>0</v>
      </c>
      <c r="AO77" s="243">
        <f t="shared" si="26"/>
        <v>0</v>
      </c>
      <c r="AP77" s="243">
        <f>AP69</f>
        <v>0</v>
      </c>
    </row>
    <row r="78" spans="1:45" x14ac:dyDescent="0.2">
      <c r="A78" s="251" t="s">
        <v>253</v>
      </c>
      <c r="B78" s="243">
        <f>IF(SUM($B$71:B71)+SUM($A$78:A78)&gt;0,0,SUM($B$71:B71)-SUM($A$78:A78))</f>
        <v>0</v>
      </c>
      <c r="C78" s="243">
        <f>IF(SUM($B$71:C71)+SUM($B$78:B78)&gt;0,0,SUM($B$71:C71)-SUM($A$78:B78))</f>
        <v>-15465067.148</v>
      </c>
      <c r="D78" s="243">
        <f>IF(SUM($B$71:D71)+SUM($A$78:C78)&gt;0,0,SUM($B$71:D71)-SUM($A$78:C78))</f>
        <v>208386.49133082293</v>
      </c>
      <c r="E78" s="243">
        <f>IF(SUM($B$71:E71)+SUM($A$78:D78)&gt;0,0,SUM($B$71:E71)-SUM($A$78:D78))</f>
        <v>579862.39553792588</v>
      </c>
      <c r="F78" s="243">
        <f>IF(SUM($B$71:F71)+SUM($A$78:E78)&gt;0,0,SUM($B$71:F71)-SUM($A$78:E78))</f>
        <v>101586.41597956046</v>
      </c>
      <c r="G78" s="243">
        <f>IF(SUM($B$71:G71)+SUM($A$78:F78)&gt;0,0,SUM($B$71:G71)-SUM($A$78:F78))</f>
        <v>435711.19981605746</v>
      </c>
      <c r="H78" s="243">
        <f>IF(SUM($B$71:H71)+SUM($A$78:G78)&gt;0,0,SUM($B$71:H71)-SUM($A$78:G78))</f>
        <v>355044.27364800498</v>
      </c>
      <c r="I78" s="243">
        <f>IF(SUM($B$71:I71)+SUM($A$78:H78)&gt;0,0,SUM($B$71:I71)-SUM($A$78:H78))</f>
        <v>203714.72833292186</v>
      </c>
      <c r="J78" s="243">
        <f>IF(SUM($B$71:J71)+SUM($A$78:I78)&gt;0,0,SUM($B$71:J71)-SUM($A$78:I78))</f>
        <v>174501.63762799092</v>
      </c>
      <c r="K78" s="243">
        <f>IF(SUM($B$71:K71)+SUM($A$78:J78)&gt;0,0,SUM($B$71:K71)-SUM($A$78:J78))</f>
        <v>144338.37261044607</v>
      </c>
      <c r="L78" s="243">
        <f>IF(SUM($B$71:L71)+SUM($A$78:K78)&gt;0,0,SUM($B$71:L71)-SUM($A$78:K78))</f>
        <v>113180.27508759126</v>
      </c>
      <c r="M78" s="243">
        <f>IF(SUM($B$71:M71)+SUM($A$78:L78)&gt;0,0,SUM($B$71:M71)-SUM($A$78:L78))</f>
        <v>80980.587931677699</v>
      </c>
      <c r="N78" s="243">
        <f>IF(SUM($B$71:N71)+SUM($A$78:M78)&gt;0,0,SUM($B$71:N71)-SUM($A$78:M78))</f>
        <v>47690.356429951265</v>
      </c>
      <c r="O78" s="243">
        <f>IF(SUM($B$71:O71)+SUM($A$78:N78)&gt;0,0,SUM($B$71:O71)-SUM($A$78:N78))</f>
        <v>13258.324998160824</v>
      </c>
      <c r="P78" s="243">
        <f>IF(SUM($B$71:P71)+SUM($A$78:O78)&gt;0,0,SUM($B$71:P71)-SUM($A$78:O78))</f>
        <v>-22369.170960407704</v>
      </c>
      <c r="Q78" s="243">
        <f>IF(SUM($B$71:Q71)+SUM($A$78:P78)&gt;0,0,SUM($B$71:Q71)-SUM($A$78:P78))</f>
        <v>-59248.318278513849</v>
      </c>
      <c r="R78" s="243">
        <f>IF(SUM($B$71:R71)+SUM($A$78:Q78)&gt;0,0,SUM($B$71:R71)-SUM($A$78:Q78))</f>
        <v>-97437.944570055231</v>
      </c>
      <c r="S78" s="243">
        <f>IF(SUM($B$71:S71)+SUM($A$78:R78)&gt;0,0,SUM($B$71:S71)-SUM($A$78:R78))</f>
        <v>-136999.64234678261</v>
      </c>
      <c r="T78" s="243">
        <f>IF(SUM($B$71:T71)+SUM($A$78:S78)&gt;0,0,SUM($B$71:T71)-SUM($A$78:S78))</f>
        <v>-177997.89896850102</v>
      </c>
      <c r="U78" s="243">
        <f>IF(SUM($B$71:U71)+SUM($A$78:T78)&gt;0,0,SUM($B$71:U71)-SUM($A$78:T78))</f>
        <v>-220500.23270092532</v>
      </c>
      <c r="V78" s="243">
        <f>IF(SUM($B$71:V71)+SUM($A$78:U78)&gt;0,0,SUM($B$71:V71)-SUM($A$78:U78))</f>
        <v>-264577.33516825736</v>
      </c>
      <c r="W78" s="243">
        <f>IF(SUM($B$71:W71)+SUM($A$78:V78)&gt;0,0,SUM($B$71:W71)-SUM($A$78:V78))</f>
        <v>-310303.22050103731</v>
      </c>
      <c r="X78" s="243">
        <f>IF(SUM($B$71:X71)+SUM($A$78:W78)&gt;0,0,SUM($B$71:X71)-SUM($A$78:W78))</f>
        <v>-357755.38149394281</v>
      </c>
      <c r="Y78" s="243">
        <f>IF(SUM($B$71:Y71)+SUM($A$78:X78)&gt;0,0,SUM($B$71:Y71)-SUM($A$78:X78))</f>
        <v>-407014.95310299844</v>
      </c>
      <c r="Z78" s="243">
        <f>IF(SUM($B$71:Z71)+SUM($A$78:Y78)&gt;0,0,SUM($B$71:Z71)-SUM($A$78:Y78))</f>
        <v>-458166.88362716325</v>
      </c>
      <c r="AA78" s="243">
        <f>IF(SUM($B$71:AA71)+SUM($A$78:Z78)&gt;0,0,SUM($B$71:AA71)-SUM($A$78:Z78))</f>
        <v>-511300.11393545009</v>
      </c>
      <c r="AB78" s="243">
        <f>IF(SUM($B$71:AB71)+SUM($A$78:AA78)&gt;0,0,SUM($B$71:AB71)-SUM($A$78:AA78))</f>
        <v>-566507.76511770859</v>
      </c>
      <c r="AC78" s="243">
        <f>IF(SUM($B$71:AC71)+SUM($A$78:AB78)&gt;0,0,SUM($B$71:AC71)-SUM($A$78:AB78))</f>
        <v>-623887.33495501801</v>
      </c>
      <c r="AD78" s="243">
        <f>IF(SUM($B$71:AD71)+SUM($A$78:AC78)&gt;0,0,SUM($B$71:AD71)-SUM($A$78:AC78))</f>
        <v>-683540.9036241658</v>
      </c>
      <c r="AE78" s="243">
        <f>IF(SUM($B$71:AE71)+SUM($A$78:AD78)&gt;0,0,SUM($B$71:AE71)-SUM($A$78:AD78))</f>
        <v>-745575.34907024726</v>
      </c>
      <c r="AF78" s="243">
        <f>IF(SUM($B$71:AF71)+SUM($A$78:AE78)&gt;0,0,SUM($B$71:AF71)-SUM($A$78:AE78))</f>
        <v>-810102.57250178233</v>
      </c>
      <c r="AG78" s="243">
        <f>IF(SUM($B$71:AG71)+SUM($A$78:AF78)&gt;0,0,SUM($B$71:AG71)-SUM($A$78:AF78))</f>
        <v>-886236.35045250133</v>
      </c>
      <c r="AH78" s="243">
        <f>IF(SUM($B$71:AH71)+SUM($A$78:AG78)&gt;0,0,SUM($B$71:AH71)-SUM($A$78:AG78))</f>
        <v>-947109.50212902948</v>
      </c>
      <c r="AI78" s="243">
        <f>IF(SUM($B$71:AI71)+SUM($A$78:AH78)&gt;0,0,SUM($B$71:AI71)-SUM($A$78:AH78))</f>
        <v>-1010843.6919343583</v>
      </c>
      <c r="AJ78" s="243">
        <f>IF(SUM($B$71:AJ71)+SUM($A$78:AI78)&gt;0,0,SUM($B$71:AJ71)-SUM($A$78:AI78))</f>
        <v>-1077573.3886605352</v>
      </c>
      <c r="AK78" s="243">
        <f>IF(SUM($B$71:AK71)+SUM($A$78:AJ78)&gt;0,0,SUM($B$71:AK71)-SUM($A$78:AJ78))</f>
        <v>-1147439.3811328411</v>
      </c>
      <c r="AL78" s="243">
        <f>IF(SUM($B$71:AL71)+SUM($A$78:AK78)&gt;0,0,SUM($B$71:AL71)-SUM($A$78:AK78))</f>
        <v>-1220589.0752513483</v>
      </c>
      <c r="AM78" s="243">
        <f>IF(SUM($B$71:AM71)+SUM($A$78:AL78)&gt;0,0,SUM($B$71:AM71)-SUM($A$78:AL78))</f>
        <v>-1297176.8049934208</v>
      </c>
      <c r="AN78" s="243">
        <f>IF(SUM($B$71:AN71)+SUM($A$78:AM78)&gt;0,0,SUM($B$71:AN71)-SUM($A$78:AM78))</f>
        <v>-1377364.1580333747</v>
      </c>
      <c r="AO78" s="243">
        <f>IF(SUM($B$71:AO71)+SUM($A$78:AN78)&gt;0,0,SUM($B$71:AO71)-SUM($A$78:AN78))</f>
        <v>-1461320.3166662045</v>
      </c>
      <c r="AP78" s="243">
        <f>IF(SUM($B$71:AP71)+SUM($A$78:AO78)&gt;0,0,SUM($B$71:AP71)-SUM($A$78:AO78))</f>
        <v>-1549222.4147547781</v>
      </c>
    </row>
    <row r="79" spans="1:45" x14ac:dyDescent="0.2">
      <c r="A79" s="251" t="s">
        <v>252</v>
      </c>
      <c r="B79" s="243">
        <f ca="1">IF(((SUM($B$59:B59)+SUM($B$61:B64))+SUM($B$81:B81))&lt;0,((SUM($B$59:B59)+SUM($B$61:B64))+SUM($B$81:B81))*0.2-SUM($A$79:A79),IF(SUM(A$79:$B79)&lt;0,0-SUM(A$79:$B79),0))</f>
        <v>0</v>
      </c>
      <c r="C79" s="243">
        <f ca="1">IF(((SUM($B$59:C59)+SUM($B$61:C64))+SUM($B$81:C81))&lt;0,((SUM($B$59:C59)+SUM($B$61:C64))+SUM($B$81:C81))*0.18-SUM($A$79:B79),IF(SUM($B$79:B79)&lt;0,0-SUM($B$79:B79),0))</f>
        <v>0</v>
      </c>
      <c r="D79" s="243">
        <f ca="1">IF(((SUM($B$59:D59)+SUM($B$61:D64))+SUM($B$81:D81))&lt;0,((SUM($B$59:D59)+SUM($B$61:D64))+SUM($B$81:D81))*0.2-SUM($A$79:C79),IF(SUM($B$79:C79)&lt;0,0-SUM($B$79:C79),0))</f>
        <v>0</v>
      </c>
      <c r="E79" s="243">
        <f ca="1">IF(((SUM($B$59:E59)+SUM($B$61:E64))+SUM($B$81:E81))&lt;0,((SUM($B$59:E59)+SUM($B$61:E64))+SUM($B$81:E81))*0.2-SUM($A$79:D79),IF(SUM($B$79:D79)&lt;0,0-SUM($B$79:D79),0))</f>
        <v>0</v>
      </c>
      <c r="F79" s="243">
        <f ca="1">IF(((SUM($B$59:F59)+SUM($B$61:F64))+SUM($B$81:F81))&lt;0,((SUM($B$59:F59)+SUM($B$61:F64))+SUM($B$81:F81))*0.2-SUM($A$79:E79),IF(SUM($B$79:E79)&lt;0,0-SUM($B$79:E79),0))</f>
        <v>0</v>
      </c>
      <c r="G79" s="243">
        <f ca="1">IF(((SUM($B$59:G59)+SUM($B$61:G64))+SUM($B$81:G81))&lt;0,((SUM($B$59:G59)+SUM($B$61:G64))+SUM($B$81:G81))*0.18-SUM($A$79:F79),IF(SUM($B$79:F79)&lt;0,0-SUM($B$79:F79),0))</f>
        <v>0</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t="e">
        <f ca="1">IF(((SUM($B$59:M59)+SUM($B$61:M64))+SUM($B$81:M81))&lt;0,((SUM($B$59:M59)+SUM($B$61:M64))+SUM($B$81:M81))*0.18-SUM($A$79:L79),IF(SUM($B$79:L79)&lt;0,0-SUM($B$79:L79),0))</f>
        <v>#REF!</v>
      </c>
      <c r="N79" s="243" t="e">
        <f ca="1">IF(((SUM($B$59:N59)+SUM($B$61:N64))+SUM($B$81:N81))&lt;0,((SUM($B$59:N59)+SUM($B$61:N64))+SUM($B$81:N81))*0.18-SUM($A$79:M79),IF(SUM($B$79:M79)&lt;0,0-SUM($B$79:M79),0))</f>
        <v>#REF!</v>
      </c>
      <c r="O79" s="243" t="e">
        <f ca="1">IF(((SUM($B$59:O59)+SUM($B$61:O64))+SUM($B$81:O81))&lt;0,((SUM($B$59:O59)+SUM($B$61:O64))+SUM($B$81:O81))*0.18-SUM($A$79:N79),IF(SUM($B$79:N79)&lt;0,0-SUM($B$79:N79),0))</f>
        <v>#REF!</v>
      </c>
      <c r="P79" s="243" t="e">
        <f ca="1">IF(((SUM($B$59:P59)+SUM($B$61:P64))+SUM($B$81:P81))&lt;0,((SUM($B$59:P59)+SUM($B$61:P64))+SUM($B$81:P81))*0.18-SUM($A$79:O79),IF(SUM($B$79:O79)&lt;0,0-SUM($B$79:O79),0))</f>
        <v>#REF!</v>
      </c>
      <c r="Q79" s="243" t="e">
        <f ca="1">IF(((SUM($B$59:Q59)+SUM($B$61:Q64))+SUM($B$81:Q81))&lt;0,((SUM($B$59:Q59)+SUM($B$61:Q64))+SUM($B$81:Q81))*0.18-SUM($A$79:P79),IF(SUM($B$79:P79)&lt;0,0-SUM($B$79:P79),0))</f>
        <v>#REF!</v>
      </c>
      <c r="R79" s="243" t="e">
        <f ca="1">IF(((SUM($B$59:R59)+SUM($B$61:R64))+SUM($B$81:R81))&lt;0,((SUM($B$59:R59)+SUM($B$61:R64))+SUM($B$81:R81))*0.18-SUM($A$79:Q79),IF(SUM($B$79:Q79)&lt;0,0-SUM($B$79:Q79),0))</f>
        <v>#REF!</v>
      </c>
      <c r="S79" s="243" t="e">
        <f ca="1">IF(((SUM($B$59:S59)+SUM($B$61:S64))+SUM($B$81:S81))&lt;0,((SUM($B$59:S59)+SUM($B$61:S64))+SUM($B$81:S81))*0.18-SUM($A$79:R79),IF(SUM($B$79:R79)&lt;0,0-SUM($B$79:R79),0))</f>
        <v>#REF!</v>
      </c>
      <c r="T79" s="243" t="e">
        <f ca="1">IF(((SUM($B$59:T59)+SUM($B$61:T64))+SUM($B$81:T81))&lt;0,((SUM($B$59:T59)+SUM($B$61:T64))+SUM($B$81:T81))*0.18-SUM($A$79:S79),IF(SUM($B$79:S79)&lt;0,0-SUM($B$79:S79),0))</f>
        <v>#REF!</v>
      </c>
      <c r="U79" s="243" t="e">
        <f ca="1">IF(((SUM($B$59:U59)+SUM($B$61:U64))+SUM($B$81:U81))&lt;0,((SUM($B$59:U59)+SUM($B$61:U64))+SUM($B$81:U81))*0.18-SUM($A$79:T79),IF(SUM($B$79:T79)&lt;0,0-SUM($B$79:T79),0))</f>
        <v>#REF!</v>
      </c>
      <c r="V79" s="243" t="e">
        <f ca="1">IF(((SUM($B$59:V59)+SUM($B$61:V64))+SUM($B$81:V81))&lt;0,((SUM($B$59:V59)+SUM($B$61:V64))+SUM($B$81:V81))*0.18-SUM($A$79:U79),IF(SUM($B$79:U79)&lt;0,0-SUM($B$79:U79),0))</f>
        <v>#REF!</v>
      </c>
      <c r="W79" s="243" t="e">
        <f ca="1">IF(((SUM($B$59:W59)+SUM($B$61:W64))+SUM($B$81:W81))&lt;0,((SUM($B$59:W59)+SUM($B$61:W64))+SUM($B$81:W81))*0.18-SUM($A$79:V79),IF(SUM($B$79:V79)&lt;0,0-SUM($B$79:V79),0))</f>
        <v>#REF!</v>
      </c>
      <c r="X79" s="243" t="e">
        <f ca="1">IF(((SUM($B$59:X59)+SUM($B$61:X64))+SUM($B$81:X81))&lt;0,((SUM($B$59:X59)+SUM($B$61:X64))+SUM($B$81:X81))*0.18-SUM($A$79:W79),IF(SUM($B$79:W79)&lt;0,0-SUM($B$79:W79),0))</f>
        <v>#REF!</v>
      </c>
      <c r="Y79" s="243" t="e">
        <f ca="1">IF(((SUM($B$59:Y59)+SUM($B$61:Y64))+SUM($B$81:Y81))&lt;0,((SUM($B$59:Y59)+SUM($B$61:Y64))+SUM($B$81:Y81))*0.18-SUM($A$79:X79),IF(SUM($B$79:X79)&lt;0,0-SUM($B$79:X79),0))</f>
        <v>#REF!</v>
      </c>
      <c r="Z79" s="243" t="e">
        <f ca="1">IF(((SUM($B$59:Z59)+SUM($B$61:Z64))+SUM($B$81:Z81))&lt;0,((SUM($B$59:Z59)+SUM($B$61:Z64))+SUM($B$81:Z81))*0.18-SUM($A$79:Y79),IF(SUM($B$79:Y79)&lt;0,0-SUM($B$79:Y79),0))</f>
        <v>#REF!</v>
      </c>
      <c r="AA79" s="243" t="e">
        <f ca="1">IF(((SUM($B$59:AA59)+SUM($B$61:AA64))+SUM($B$81:AA81))&lt;0,((SUM($B$59:AA59)+SUM($B$61:AA64))+SUM($B$81:AA81))*0.18-SUM($A$79:Z79),IF(SUM($B$79:Z79)&lt;0,0-SUM($B$79:Z79),0))</f>
        <v>#REF!</v>
      </c>
      <c r="AB79" s="243" t="e">
        <f ca="1">IF(((SUM($B$59:AB59)+SUM($B$61:AB64))+SUM($B$81:AB81))&lt;0,((SUM($B$59:AB59)+SUM($B$61:AB64))+SUM($B$81:AB81))*0.18-SUM($A$79:AA79),IF(SUM($B$79:AA79)&lt;0,0-SUM($B$79:AA79),0))</f>
        <v>#REF!</v>
      </c>
      <c r="AC79" s="243" t="e">
        <f ca="1">IF(((SUM($B$59:AC59)+SUM($B$61:AC64))+SUM($B$81:AC81))&lt;0,((SUM($B$59:AC59)+SUM($B$61:AC64))+SUM($B$81:AC81))*0.18-SUM($A$79:AB79),IF(SUM($B$79:AB79)&lt;0,0-SUM($B$79:AB79),0))</f>
        <v>#REF!</v>
      </c>
      <c r="AD79" s="243" t="e">
        <f ca="1">IF(((SUM($B$59:AD59)+SUM($B$61:AD64))+SUM($B$81:AD81))&lt;0,((SUM($B$59:AD59)+SUM($B$61:AD64))+SUM($B$81:AD81))*0.18-SUM($A$79:AC79),IF(SUM($B$79:AC79)&lt;0,0-SUM($B$79:AC79),0))</f>
        <v>#REF!</v>
      </c>
      <c r="AE79" s="243" t="e">
        <f ca="1">IF(((SUM($B$59:AE59)+SUM($B$61:AE64))+SUM($B$81:AE81))&lt;0,((SUM($B$59:AE59)+SUM($B$61:AE64))+SUM($B$81:AE81))*0.18-SUM($A$79:AD79),IF(SUM($B$79:AD79)&lt;0,0-SUM($B$79:AD79),0))</f>
        <v>#REF!</v>
      </c>
      <c r="AF79" s="243" t="e">
        <f ca="1">IF(((SUM($B$59:AF59)+SUM($B$61:AF64))+SUM($B$81:AF81))&lt;0,((SUM($B$59:AF59)+SUM($B$61:AF64))+SUM($B$81:AF81))*0.18-SUM($A$79:AE79),IF(SUM($B$79:AE79)&lt;0,0-SUM($B$79:AE79),0))</f>
        <v>#REF!</v>
      </c>
      <c r="AG79" s="243" t="e">
        <f ca="1">IF(((SUM($B$59:AG59)+SUM($B$61:AG64))+SUM($B$81:AG81))&lt;0,((SUM($B$59:AG59)+SUM($B$61:AG64))+SUM($B$81:AG81))*0.18-SUM($A$79:AF79),IF(SUM($B$79:AF79)&lt;0,0-SUM($B$79:AF79),0))</f>
        <v>#REF!</v>
      </c>
      <c r="AH79" s="243" t="e">
        <f ca="1">IF(((SUM($B$59:AH59)+SUM($B$61:AH64))+SUM($B$81:AH81))&lt;0,((SUM($B$59:AH59)+SUM($B$61:AH64))+SUM($B$81:AH81))*0.18-SUM($A$79:AG79),IF(SUM($B$79:AG79)&lt;0,0-SUM($B$79:AG79),0))</f>
        <v>#REF!</v>
      </c>
      <c r="AI79" s="243" t="e">
        <f ca="1">IF(((SUM($B$59:AI59)+SUM($B$61:AI64))+SUM($B$81:AI81))&lt;0,((SUM($B$59:AI59)+SUM($B$61:AI64))+SUM($B$81:AI81))*0.18-SUM($A$79:AH79),IF(SUM($B$79:AH79)&lt;0,0-SUM($B$79:AH79),0))</f>
        <v>#REF!</v>
      </c>
      <c r="AJ79" s="243" t="e">
        <f ca="1">IF(((SUM($B$59:AJ59)+SUM($B$61:AJ64))+SUM($B$81:AJ81))&lt;0,((SUM($B$59:AJ59)+SUM($B$61:AJ64))+SUM($B$81:AJ81))*0.18-SUM($A$79:AI79),IF(SUM($B$79:AI79)&lt;0,0-SUM($B$79:AI79),0))</f>
        <v>#REF!</v>
      </c>
      <c r="AK79" s="243" t="e">
        <f ca="1">IF(((SUM($B$59:AK59)+SUM($B$61:AK64))+SUM($B$81:AK81))&lt;0,((SUM($B$59:AK59)+SUM($B$61:AK64))+SUM($B$81:AK81))*0.18-SUM($A$79:AJ79),IF(SUM($B$79:AJ79)&lt;0,0-SUM($B$79:AJ79),0))</f>
        <v>#REF!</v>
      </c>
      <c r="AL79" s="243" t="e">
        <f ca="1">IF(((SUM($B$59:AL59)+SUM($B$61:AL64))+SUM($B$81:AL81))&lt;0,((SUM($B$59:AL59)+SUM($B$61:AL64))+SUM($B$81:AL81))*0.18-SUM($A$79:AK79),IF(SUM($B$79:AK79)&lt;0,0-SUM($B$79:AK79),0))</f>
        <v>#REF!</v>
      </c>
      <c r="AM79" s="243" t="e">
        <f ca="1">IF(((SUM($B$59:AM59)+SUM($B$61:AM64))+SUM($B$81:AM81))&lt;0,((SUM($B$59:AM59)+SUM($B$61:AM64))+SUM($B$81:AM81))*0.18-SUM($A$79:AL79),IF(SUM($B$79:AL79)&lt;0,0-SUM($B$79:AL79),0))</f>
        <v>#REF!</v>
      </c>
      <c r="AN79" s="243" t="e">
        <f ca="1">IF(((SUM($B$59:AN59)+SUM($B$61:AN64))+SUM($B$81:AN81))&lt;0,((SUM($B$59:AN59)+SUM($B$61:AN64))+SUM($B$81:AN81))*0.18-SUM($A$79:AM79),IF(SUM($B$79:AM79)&lt;0,0-SUM($B$79:AM79),0))</f>
        <v>#REF!</v>
      </c>
      <c r="AO79" s="243" t="e">
        <f ca="1">IF(((SUM($B$59:AO59)+SUM($B$61:AO64))+SUM($B$81:AO81))&lt;0,((SUM($B$59:AO59)+SUM($B$61:AO64))+SUM($B$81:AO81))*0.18-SUM($A$79:AN79),IF(SUM($B$79:AN79)&lt;0,0-SUM($B$79:AN79),0))</f>
        <v>#REF!</v>
      </c>
      <c r="AP79" s="243" t="e">
        <f ca="1">IF(((SUM($B$59:AP59)+SUM($B$61:AP64))+SUM($B$81:AP81))&lt;0,((SUM($B$59:AP59)+SUM($B$61:AP64))+SUM($B$81:AP81))*0.18-SUM($A$79:AO79),IF(SUM($B$79:AO79)&lt;0,0-SUM($B$79:AO79),0))</f>
        <v>#REF!</v>
      </c>
    </row>
    <row r="80" spans="1:45" x14ac:dyDescent="0.2">
      <c r="A80" s="251" t="s">
        <v>251</v>
      </c>
      <c r="B80" s="243">
        <f>-B59*(B39)</f>
        <v>0</v>
      </c>
      <c r="C80" s="243">
        <f t="shared" ref="C80:AP80" si="27">-(C59-B59)*$B$39</f>
        <v>0</v>
      </c>
      <c r="D80" s="243">
        <f t="shared" si="27"/>
        <v>0</v>
      </c>
      <c r="E80" s="243">
        <f t="shared" si="27"/>
        <v>0</v>
      </c>
      <c r="F80" s="243">
        <f t="shared" si="27"/>
        <v>0</v>
      </c>
      <c r="G80" s="243">
        <f t="shared" si="27"/>
        <v>0</v>
      </c>
      <c r="H80" s="243">
        <f t="shared" si="27"/>
        <v>0</v>
      </c>
      <c r="I80" s="243">
        <f t="shared" si="27"/>
        <v>0</v>
      </c>
      <c r="J80" s="243">
        <f t="shared" si="27"/>
        <v>0</v>
      </c>
      <c r="K80" s="243">
        <f t="shared" si="27"/>
        <v>0</v>
      </c>
      <c r="L80" s="243">
        <f t="shared" si="27"/>
        <v>0</v>
      </c>
      <c r="M80" s="243">
        <f t="shared" si="27"/>
        <v>0</v>
      </c>
      <c r="N80" s="243">
        <f t="shared" si="27"/>
        <v>0</v>
      </c>
      <c r="O80" s="243">
        <f t="shared" si="27"/>
        <v>0</v>
      </c>
      <c r="P80" s="243">
        <f t="shared" si="27"/>
        <v>0</v>
      </c>
      <c r="Q80" s="243">
        <f t="shared" si="27"/>
        <v>0</v>
      </c>
      <c r="R80" s="243">
        <f t="shared" si="27"/>
        <v>0</v>
      </c>
      <c r="S80" s="243">
        <f t="shared" si="27"/>
        <v>0</v>
      </c>
      <c r="T80" s="243">
        <f t="shared" si="27"/>
        <v>0</v>
      </c>
      <c r="U80" s="243">
        <f t="shared" si="27"/>
        <v>0</v>
      </c>
      <c r="V80" s="243">
        <f t="shared" si="27"/>
        <v>0</v>
      </c>
      <c r="W80" s="243">
        <f t="shared" si="27"/>
        <v>0</v>
      </c>
      <c r="X80" s="243">
        <f t="shared" si="27"/>
        <v>0</v>
      </c>
      <c r="Y80" s="243">
        <f t="shared" si="27"/>
        <v>0</v>
      </c>
      <c r="Z80" s="243">
        <f t="shared" si="27"/>
        <v>0</v>
      </c>
      <c r="AA80" s="243">
        <f t="shared" si="27"/>
        <v>0</v>
      </c>
      <c r="AB80" s="243">
        <f t="shared" si="27"/>
        <v>0</v>
      </c>
      <c r="AC80" s="243">
        <f t="shared" si="27"/>
        <v>0</v>
      </c>
      <c r="AD80" s="243">
        <f t="shared" si="27"/>
        <v>0</v>
      </c>
      <c r="AE80" s="243">
        <f t="shared" si="27"/>
        <v>0</v>
      </c>
      <c r="AF80" s="243">
        <f t="shared" si="27"/>
        <v>0</v>
      </c>
      <c r="AG80" s="243">
        <f t="shared" si="27"/>
        <v>0</v>
      </c>
      <c r="AH80" s="243">
        <f t="shared" si="27"/>
        <v>0</v>
      </c>
      <c r="AI80" s="243">
        <f t="shared" si="27"/>
        <v>0</v>
      </c>
      <c r="AJ80" s="243">
        <f t="shared" si="27"/>
        <v>0</v>
      </c>
      <c r="AK80" s="243">
        <f t="shared" si="27"/>
        <v>0</v>
      </c>
      <c r="AL80" s="243">
        <f t="shared" si="27"/>
        <v>0</v>
      </c>
      <c r="AM80" s="243">
        <f t="shared" si="27"/>
        <v>0</v>
      </c>
      <c r="AN80" s="243">
        <f t="shared" si="27"/>
        <v>0</v>
      </c>
      <c r="AO80" s="243">
        <f t="shared" si="27"/>
        <v>0</v>
      </c>
      <c r="AP80" s="243">
        <f t="shared" si="27"/>
        <v>0</v>
      </c>
    </row>
    <row r="81" spans="1:44" x14ac:dyDescent="0.2">
      <c r="A81" s="251" t="s">
        <v>433</v>
      </c>
      <c r="B81" s="243">
        <v>0</v>
      </c>
      <c r="C81" s="243">
        <f>-'6.2. Паспорт фин осв ввод'!R24*1000000</f>
        <v>-73500</v>
      </c>
      <c r="D81" s="243">
        <f>-B126</f>
        <v>-73608676.105260193</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-73682176.105260193</v>
      </c>
      <c r="AR81" s="255"/>
    </row>
    <row r="82" spans="1:44" x14ac:dyDescent="0.2">
      <c r="A82" s="251" t="s">
        <v>250</v>
      </c>
      <c r="B82" s="243">
        <f t="shared" ref="B82:AO82" si="28">B54-B55</f>
        <v>0</v>
      </c>
      <c r="C82" s="243">
        <v>0</v>
      </c>
      <c r="D82" s="243">
        <v>0</v>
      </c>
      <c r="E82" s="243">
        <f t="shared" si="28"/>
        <v>0</v>
      </c>
      <c r="F82" s="243">
        <f t="shared" si="28"/>
        <v>0</v>
      </c>
      <c r="G82" s="243">
        <f t="shared" si="28"/>
        <v>0</v>
      </c>
      <c r="H82" s="243">
        <f t="shared" si="28"/>
        <v>0</v>
      </c>
      <c r="I82" s="243">
        <f t="shared" si="28"/>
        <v>0</v>
      </c>
      <c r="J82" s="243">
        <f t="shared" si="28"/>
        <v>0</v>
      </c>
      <c r="K82" s="243">
        <f t="shared" si="28"/>
        <v>0</v>
      </c>
      <c r="L82" s="243">
        <f t="shared" si="28"/>
        <v>0</v>
      </c>
      <c r="M82" s="243">
        <f t="shared" si="28"/>
        <v>0</v>
      </c>
      <c r="N82" s="243">
        <f t="shared" si="28"/>
        <v>0</v>
      </c>
      <c r="O82" s="243">
        <f t="shared" si="28"/>
        <v>0</v>
      </c>
      <c r="P82" s="243">
        <f t="shared" si="28"/>
        <v>0</v>
      </c>
      <c r="Q82" s="243">
        <f t="shared" si="28"/>
        <v>0</v>
      </c>
      <c r="R82" s="243">
        <f t="shared" si="28"/>
        <v>0</v>
      </c>
      <c r="S82" s="243">
        <f t="shared" si="28"/>
        <v>0</v>
      </c>
      <c r="T82" s="243">
        <f t="shared" si="28"/>
        <v>0</v>
      </c>
      <c r="U82" s="243">
        <f t="shared" si="28"/>
        <v>0</v>
      </c>
      <c r="V82" s="243">
        <f t="shared" si="28"/>
        <v>0</v>
      </c>
      <c r="W82" s="243">
        <f t="shared" si="28"/>
        <v>0</v>
      </c>
      <c r="X82" s="243">
        <f t="shared" si="28"/>
        <v>0</v>
      </c>
      <c r="Y82" s="243">
        <f t="shared" si="28"/>
        <v>0</v>
      </c>
      <c r="Z82" s="243">
        <f t="shared" si="28"/>
        <v>0</v>
      </c>
      <c r="AA82" s="243">
        <f t="shared" si="28"/>
        <v>0</v>
      </c>
      <c r="AB82" s="243">
        <f t="shared" si="28"/>
        <v>0</v>
      </c>
      <c r="AC82" s="243">
        <f t="shared" si="28"/>
        <v>0</v>
      </c>
      <c r="AD82" s="243">
        <f t="shared" si="28"/>
        <v>0</v>
      </c>
      <c r="AE82" s="243">
        <f t="shared" si="28"/>
        <v>0</v>
      </c>
      <c r="AF82" s="243">
        <f t="shared" si="28"/>
        <v>0</v>
      </c>
      <c r="AG82" s="243">
        <f t="shared" si="28"/>
        <v>0</v>
      </c>
      <c r="AH82" s="243">
        <f t="shared" si="28"/>
        <v>0</v>
      </c>
      <c r="AI82" s="243">
        <f t="shared" si="28"/>
        <v>0</v>
      </c>
      <c r="AJ82" s="243">
        <f t="shared" si="28"/>
        <v>0</v>
      </c>
      <c r="AK82" s="243">
        <f t="shared" si="28"/>
        <v>0</v>
      </c>
      <c r="AL82" s="243">
        <f t="shared" si="28"/>
        <v>0</v>
      </c>
      <c r="AM82" s="243">
        <f t="shared" si="28"/>
        <v>0</v>
      </c>
      <c r="AN82" s="243">
        <f t="shared" si="28"/>
        <v>0</v>
      </c>
      <c r="AO82" s="243">
        <f t="shared" si="28"/>
        <v>0</v>
      </c>
      <c r="AP82" s="243">
        <f>AP54-AP55</f>
        <v>0</v>
      </c>
    </row>
    <row r="83" spans="1:44" ht="14.25" x14ac:dyDescent="0.2">
      <c r="A83" s="252" t="s">
        <v>249</v>
      </c>
      <c r="B83" s="250">
        <f t="shared" ref="B83:L83" ca="1" si="29">SUM(B75:B82)</f>
        <v>0</v>
      </c>
      <c r="C83" s="250">
        <f t="shared" ca="1" si="29"/>
        <v>0</v>
      </c>
      <c r="D83" s="250">
        <f t="shared" ca="1" si="29"/>
        <v>0</v>
      </c>
      <c r="E83" s="250">
        <f t="shared" ca="1" si="29"/>
        <v>0</v>
      </c>
      <c r="F83" s="250">
        <f t="shared" ca="1" si="29"/>
        <v>0</v>
      </c>
      <c r="G83" s="250">
        <f t="shared" ca="1" si="29"/>
        <v>0</v>
      </c>
      <c r="H83" s="250">
        <f t="shared" ca="1" si="29"/>
        <v>0</v>
      </c>
      <c r="I83" s="250">
        <f t="shared" ca="1" si="29"/>
        <v>0</v>
      </c>
      <c r="J83" s="250">
        <f t="shared" ca="1" si="29"/>
        <v>0</v>
      </c>
      <c r="K83" s="250">
        <f t="shared" ca="1" si="29"/>
        <v>0</v>
      </c>
      <c r="L83" s="250">
        <f t="shared" ca="1" si="29"/>
        <v>0</v>
      </c>
      <c r="M83" s="250" t="e">
        <f t="shared" ref="M83:V83" ca="1" si="30">SUM(M75:M82)</f>
        <v>#REF!</v>
      </c>
      <c r="N83" s="250" t="e">
        <f t="shared" ca="1" si="30"/>
        <v>#REF!</v>
      </c>
      <c r="O83" s="250" t="e">
        <f t="shared" ca="1" si="30"/>
        <v>#REF!</v>
      </c>
      <c r="P83" s="250" t="e">
        <f t="shared" ca="1" si="30"/>
        <v>#REF!</v>
      </c>
      <c r="Q83" s="250" t="e">
        <f t="shared" ca="1" si="30"/>
        <v>#REF!</v>
      </c>
      <c r="R83" s="250" t="e">
        <f t="shared" ca="1" si="30"/>
        <v>#REF!</v>
      </c>
      <c r="S83" s="250" t="e">
        <f t="shared" ca="1" si="30"/>
        <v>#REF!</v>
      </c>
      <c r="T83" s="250" t="e">
        <f t="shared" ca="1" si="30"/>
        <v>#REF!</v>
      </c>
      <c r="U83" s="250" t="e">
        <f t="shared" ca="1" si="30"/>
        <v>#REF!</v>
      </c>
      <c r="V83" s="250" t="e">
        <f t="shared" ca="1" si="30"/>
        <v>#REF!</v>
      </c>
      <c r="W83" s="250" t="e">
        <f ca="1">SUM(W75:W82)</f>
        <v>#REF!</v>
      </c>
      <c r="X83" s="250" t="e">
        <f ca="1">SUM(X75:X82)</f>
        <v>#REF!</v>
      </c>
      <c r="Y83" s="250" t="e">
        <f ca="1">SUM(Y75:Y82)</f>
        <v>#REF!</v>
      </c>
      <c r="Z83" s="250" t="e">
        <f ca="1">SUM(Z75:Z82)</f>
        <v>#REF!</v>
      </c>
      <c r="AA83" s="250" t="e">
        <f t="shared" ref="AA83:AP83" ca="1" si="31">SUM(AA75:AA82)</f>
        <v>#REF!</v>
      </c>
      <c r="AB83" s="250" t="e">
        <f t="shared" ca="1" si="31"/>
        <v>#REF!</v>
      </c>
      <c r="AC83" s="250" t="e">
        <f t="shared" ca="1" si="31"/>
        <v>#REF!</v>
      </c>
      <c r="AD83" s="250" t="e">
        <f t="shared" ca="1" si="31"/>
        <v>#REF!</v>
      </c>
      <c r="AE83" s="250" t="e">
        <f t="shared" ca="1" si="31"/>
        <v>#REF!</v>
      </c>
      <c r="AF83" s="250" t="e">
        <f t="shared" ca="1" si="31"/>
        <v>#REF!</v>
      </c>
      <c r="AG83" s="250" t="e">
        <f t="shared" ca="1" si="31"/>
        <v>#REF!</v>
      </c>
      <c r="AH83" s="250" t="e">
        <f t="shared" ca="1" si="31"/>
        <v>#REF!</v>
      </c>
      <c r="AI83" s="250" t="e">
        <f t="shared" ca="1" si="31"/>
        <v>#REF!</v>
      </c>
      <c r="AJ83" s="250" t="e">
        <f t="shared" ca="1" si="31"/>
        <v>#REF!</v>
      </c>
      <c r="AK83" s="250" t="e">
        <f t="shared" ca="1" si="31"/>
        <v>#REF!</v>
      </c>
      <c r="AL83" s="250" t="e">
        <f t="shared" ca="1" si="31"/>
        <v>#REF!</v>
      </c>
      <c r="AM83" s="250" t="e">
        <f t="shared" ca="1" si="31"/>
        <v>#REF!</v>
      </c>
      <c r="AN83" s="250" t="e">
        <f t="shared" ca="1" si="31"/>
        <v>#REF!</v>
      </c>
      <c r="AO83" s="250" t="e">
        <f t="shared" ca="1" si="31"/>
        <v>#REF!</v>
      </c>
      <c r="AP83" s="250" t="e">
        <f t="shared" ca="1" si="31"/>
        <v>#REF!</v>
      </c>
    </row>
    <row r="84" spans="1:44" ht="14.25" x14ac:dyDescent="0.2">
      <c r="A84" s="252" t="s">
        <v>551</v>
      </c>
      <c r="B84" s="250">
        <f ca="1">SUM($B$83:B83)</f>
        <v>0</v>
      </c>
      <c r="C84" s="250">
        <f ca="1">SUM($B$83:C83)</f>
        <v>0</v>
      </c>
      <c r="D84" s="250">
        <f ca="1">SUM($B$83:D83)</f>
        <v>0</v>
      </c>
      <c r="E84" s="250">
        <f ca="1">SUM($B$83:E83)</f>
        <v>0</v>
      </c>
      <c r="F84" s="250">
        <f ca="1">SUM($B$83:F83)</f>
        <v>0</v>
      </c>
      <c r="G84" s="250">
        <f ca="1">SUM($B$83:G83)</f>
        <v>0</v>
      </c>
      <c r="H84" s="250">
        <f ca="1">SUM($B$83:H83)</f>
        <v>0</v>
      </c>
      <c r="I84" s="250">
        <f ca="1">SUM($B$83:I83)</f>
        <v>0</v>
      </c>
      <c r="J84" s="250">
        <f ca="1">SUM($B$83:J83)</f>
        <v>0</v>
      </c>
      <c r="K84" s="250">
        <f ca="1">SUM($B$83:K83)</f>
        <v>0</v>
      </c>
      <c r="L84" s="250">
        <f ca="1">SUM($B$83:L83)</f>
        <v>0</v>
      </c>
      <c r="M84" s="250" t="e">
        <f ca="1">SUM($B$83:M83)</f>
        <v>#REF!</v>
      </c>
      <c r="N84" s="250" t="e">
        <f ca="1">SUM($B$83:N83)</f>
        <v>#REF!</v>
      </c>
      <c r="O84" s="250" t="e">
        <f ca="1">SUM($B$83:O83)</f>
        <v>#REF!</v>
      </c>
      <c r="P84" s="250" t="e">
        <f ca="1">SUM($B$83:P83)</f>
        <v>#REF!</v>
      </c>
      <c r="Q84" s="250" t="e">
        <f ca="1">SUM($B$83:Q83)</f>
        <v>#REF!</v>
      </c>
      <c r="R84" s="250" t="e">
        <f ca="1">SUM($B$83:R83)</f>
        <v>#REF!</v>
      </c>
      <c r="S84" s="250" t="e">
        <f ca="1">SUM($B$83:S83)</f>
        <v>#REF!</v>
      </c>
      <c r="T84" s="250" t="e">
        <f ca="1">SUM($B$83:T83)</f>
        <v>#REF!</v>
      </c>
      <c r="U84" s="250" t="e">
        <f ca="1">SUM($B$83:U83)</f>
        <v>#REF!</v>
      </c>
      <c r="V84" s="250" t="e">
        <f ca="1">SUM($B$83:V83)</f>
        <v>#REF!</v>
      </c>
      <c r="W84" s="250" t="e">
        <f ca="1">SUM($B$83:W83)</f>
        <v>#REF!</v>
      </c>
      <c r="X84" s="250" t="e">
        <f ca="1">SUM($B$83:X83)</f>
        <v>#REF!</v>
      </c>
      <c r="Y84" s="250" t="e">
        <f ca="1">SUM($B$83:Y83)</f>
        <v>#REF!</v>
      </c>
      <c r="Z84" s="250" t="e">
        <f ca="1">SUM($B$83:Z83)</f>
        <v>#REF!</v>
      </c>
      <c r="AA84" s="250" t="e">
        <f ca="1">SUM($B$83:AA83)</f>
        <v>#REF!</v>
      </c>
      <c r="AB84" s="250" t="e">
        <f ca="1">SUM($B$83:AB83)</f>
        <v>#REF!</v>
      </c>
      <c r="AC84" s="250" t="e">
        <f ca="1">SUM($B$83:AC83)</f>
        <v>#REF!</v>
      </c>
      <c r="AD84" s="250" t="e">
        <f ca="1">SUM($B$83:AD83)</f>
        <v>#REF!</v>
      </c>
      <c r="AE84" s="250" t="e">
        <f ca="1">SUM($B$83:AE83)</f>
        <v>#REF!</v>
      </c>
      <c r="AF84" s="250" t="e">
        <f ca="1">SUM($B$83:AF83)</f>
        <v>#REF!</v>
      </c>
      <c r="AG84" s="250" t="e">
        <f ca="1">SUM($B$83:AG83)</f>
        <v>#REF!</v>
      </c>
      <c r="AH84" s="250" t="e">
        <f ca="1">SUM($B$83:AH83)</f>
        <v>#REF!</v>
      </c>
      <c r="AI84" s="250" t="e">
        <f ca="1">SUM($B$83:AI83)</f>
        <v>#REF!</v>
      </c>
      <c r="AJ84" s="250" t="e">
        <f ca="1">SUM($B$83:AJ83)</f>
        <v>#REF!</v>
      </c>
      <c r="AK84" s="250" t="e">
        <f ca="1">SUM($B$83:AK83)</f>
        <v>#REF!</v>
      </c>
      <c r="AL84" s="250" t="e">
        <f ca="1">SUM($B$83:AL83)</f>
        <v>#REF!</v>
      </c>
      <c r="AM84" s="250" t="e">
        <f ca="1">SUM($B$83:AM83)</f>
        <v>#REF!</v>
      </c>
      <c r="AN84" s="250" t="e">
        <f ca="1">SUM($B$83:AN83)</f>
        <v>#REF!</v>
      </c>
      <c r="AO84" s="250" t="e">
        <f ca="1">SUM($B$83:AO83)</f>
        <v>#REF!</v>
      </c>
      <c r="AP84" s="250" t="e">
        <f ca="1">SUM($B$83:AP83)</f>
        <v>#REF!</v>
      </c>
    </row>
    <row r="85" spans="1:44" x14ac:dyDescent="0.2">
      <c r="A85" s="251" t="s">
        <v>434</v>
      </c>
      <c r="B85" s="335">
        <f>1/POWER((1+$B$44),B73)</f>
        <v>0.95402649883562884</v>
      </c>
      <c r="C85" s="335">
        <f t="shared" ref="C85:AP85" si="32">1/POWER((1+$B$44),C73)</f>
        <v>0.86832301705254278</v>
      </c>
      <c r="D85" s="335">
        <f t="shared" si="32"/>
        <v>0.79031857381682236</v>
      </c>
      <c r="E85" s="335">
        <f t="shared" si="32"/>
        <v>0.71932153801476506</v>
      </c>
      <c r="F85" s="335">
        <f t="shared" si="32"/>
        <v>0.65470241013449082</v>
      </c>
      <c r="G85" s="335">
        <f t="shared" si="32"/>
        <v>0.59588824077044755</v>
      </c>
      <c r="H85" s="335">
        <f t="shared" si="32"/>
        <v>0.54235755053285484</v>
      </c>
      <c r="I85" s="335">
        <f t="shared" si="32"/>
        <v>0.49363570631915432</v>
      </c>
      <c r="J85" s="335">
        <f t="shared" si="32"/>
        <v>0.44929071295090039</v>
      </c>
      <c r="K85" s="335">
        <f t="shared" si="32"/>
        <v>0.40892938286238317</v>
      </c>
      <c r="L85" s="335">
        <f t="shared" si="32"/>
        <v>0.37219384987929666</v>
      </c>
      <c r="M85" s="335">
        <f t="shared" si="32"/>
        <v>0.3387583961766602</v>
      </c>
      <c r="N85" s="335">
        <f t="shared" si="32"/>
        <v>0.30832656428202437</v>
      </c>
      <c r="O85" s="335">
        <f t="shared" si="32"/>
        <v>0.28062852851736092</v>
      </c>
      <c r="P85" s="335">
        <f t="shared" si="32"/>
        <v>0.25541870257336935</v>
      </c>
      <c r="Q85" s="335">
        <f t="shared" si="32"/>
        <v>0.23247356200361272</v>
      </c>
      <c r="R85" s="335">
        <f t="shared" si="32"/>
        <v>0.21158966233149432</v>
      </c>
      <c r="S85" s="335">
        <f t="shared" si="32"/>
        <v>0.19258183519750091</v>
      </c>
      <c r="T85" s="335">
        <f t="shared" si="32"/>
        <v>0.17528154655274497</v>
      </c>
      <c r="U85" s="335">
        <f t="shared" si="32"/>
        <v>0.15953540234162647</v>
      </c>
      <c r="V85" s="335">
        <f t="shared" si="32"/>
        <v>0.14520378842416171</v>
      </c>
      <c r="W85" s="335">
        <f t="shared" si="32"/>
        <v>0.13215963267876735</v>
      </c>
      <c r="X85" s="335">
        <f t="shared" si="32"/>
        <v>0.12028727830960895</v>
      </c>
      <c r="Y85" s="335">
        <f t="shared" si="32"/>
        <v>0.10948145836862559</v>
      </c>
      <c r="Z85" s="335">
        <f t="shared" si="32"/>
        <v>9.9646362399768443E-2</v>
      </c>
      <c r="AA85" s="335">
        <f t="shared" si="32"/>
        <v>9.0694786929797461E-2</v>
      </c>
      <c r="AB85" s="335">
        <f t="shared" si="32"/>
        <v>8.2547362273411681E-2</v>
      </c>
      <c r="AC85" s="335">
        <f t="shared" si="32"/>
        <v>7.5131848797134526E-2</v>
      </c>
      <c r="AD85" s="335">
        <f t="shared" si="32"/>
        <v>6.8382496402234039E-2</v>
      </c>
      <c r="AE85" s="335">
        <f t="shared" si="32"/>
        <v>6.2239461547496142E-2</v>
      </c>
      <c r="AF85" s="335">
        <f t="shared" si="32"/>
        <v>5.6648276642847148E-2</v>
      </c>
      <c r="AG85" s="335">
        <f t="shared" si="32"/>
        <v>5.1559367109171889E-2</v>
      </c>
      <c r="AH85" s="335">
        <f t="shared" si="32"/>
        <v>4.6927611822309881E-2</v>
      </c>
      <c r="AI85" s="335">
        <f t="shared" si="32"/>
        <v>4.2711943043879028E-2</v>
      </c>
      <c r="AJ85" s="335">
        <f t="shared" si="32"/>
        <v>3.88749822916893E-2</v>
      </c>
      <c r="AK85" s="335">
        <f t="shared" si="32"/>
        <v>3.5382708921169827E-2</v>
      </c>
      <c r="AL85" s="335">
        <f t="shared" si="32"/>
        <v>3.2204158479266255E-2</v>
      </c>
      <c r="AM85" s="335">
        <f t="shared" si="32"/>
        <v>2.9311148156244884E-2</v>
      </c>
      <c r="AN85" s="335">
        <f t="shared" si="32"/>
        <v>2.6678026901105743E-2</v>
      </c>
      <c r="AO85" s="335">
        <f t="shared" si="32"/>
        <v>2.4281447984987482E-2</v>
      </c>
      <c r="AP85" s="335">
        <f t="shared" si="32"/>
        <v>2.2100161995983875E-2</v>
      </c>
    </row>
    <row r="86" spans="1:44" ht="28.5" x14ac:dyDescent="0.2">
      <c r="A86" s="249" t="s">
        <v>552</v>
      </c>
      <c r="B86" s="250">
        <f t="shared" ref="B86:L86" ca="1" si="33">B83*B85</f>
        <v>0</v>
      </c>
      <c r="C86" s="250">
        <f t="shared" ca="1" si="33"/>
        <v>0</v>
      </c>
      <c r="D86" s="250">
        <f t="shared" ca="1" si="33"/>
        <v>0</v>
      </c>
      <c r="E86" s="250">
        <f t="shared" ca="1" si="33"/>
        <v>0</v>
      </c>
      <c r="F86" s="250">
        <f t="shared" ca="1" si="33"/>
        <v>0</v>
      </c>
      <c r="G86" s="250">
        <f t="shared" ca="1" si="33"/>
        <v>0</v>
      </c>
      <c r="H86" s="250">
        <f t="shared" ca="1" si="33"/>
        <v>0</v>
      </c>
      <c r="I86" s="250">
        <f t="shared" ca="1" si="33"/>
        <v>0</v>
      </c>
      <c r="J86" s="250">
        <f t="shared" ca="1" si="33"/>
        <v>0</v>
      </c>
      <c r="K86" s="250">
        <f t="shared" ca="1" si="33"/>
        <v>0</v>
      </c>
      <c r="L86" s="250">
        <f t="shared" ca="1" si="33"/>
        <v>0</v>
      </c>
      <c r="M86" s="250" t="e">
        <f t="shared" ref="M86:AO86" ca="1" si="34">M83*M85</f>
        <v>#REF!</v>
      </c>
      <c r="N86" s="250" t="e">
        <f t="shared" ca="1" si="34"/>
        <v>#REF!</v>
      </c>
      <c r="O86" s="250" t="e">
        <f t="shared" ca="1" si="34"/>
        <v>#REF!</v>
      </c>
      <c r="P86" s="250" t="e">
        <f t="shared" ca="1" si="34"/>
        <v>#REF!</v>
      </c>
      <c r="Q86" s="250" t="e">
        <f t="shared" ca="1" si="34"/>
        <v>#REF!</v>
      </c>
      <c r="R86" s="250" t="e">
        <f t="shared" ca="1" si="34"/>
        <v>#REF!</v>
      </c>
      <c r="S86" s="250" t="e">
        <f t="shared" ca="1" si="34"/>
        <v>#REF!</v>
      </c>
      <c r="T86" s="250" t="e">
        <f t="shared" ca="1" si="34"/>
        <v>#REF!</v>
      </c>
      <c r="U86" s="250" t="e">
        <f t="shared" ca="1" si="34"/>
        <v>#REF!</v>
      </c>
      <c r="V86" s="250" t="e">
        <f t="shared" ca="1" si="34"/>
        <v>#REF!</v>
      </c>
      <c r="W86" s="250" t="e">
        <f t="shared" ca="1" si="34"/>
        <v>#REF!</v>
      </c>
      <c r="X86" s="250" t="e">
        <f t="shared" ca="1" si="34"/>
        <v>#REF!</v>
      </c>
      <c r="Y86" s="250" t="e">
        <f t="shared" ca="1" si="34"/>
        <v>#REF!</v>
      </c>
      <c r="Z86" s="250" t="e">
        <f t="shared" ca="1" si="34"/>
        <v>#REF!</v>
      </c>
      <c r="AA86" s="250" t="e">
        <f t="shared" ca="1" si="34"/>
        <v>#REF!</v>
      </c>
      <c r="AB86" s="250" t="e">
        <f t="shared" ca="1" si="34"/>
        <v>#REF!</v>
      </c>
      <c r="AC86" s="250" t="e">
        <f t="shared" ca="1" si="34"/>
        <v>#REF!</v>
      </c>
      <c r="AD86" s="250" t="e">
        <f t="shared" ca="1" si="34"/>
        <v>#REF!</v>
      </c>
      <c r="AE86" s="250" t="e">
        <f t="shared" ca="1" si="34"/>
        <v>#REF!</v>
      </c>
      <c r="AF86" s="250" t="e">
        <f t="shared" ca="1" si="34"/>
        <v>#REF!</v>
      </c>
      <c r="AG86" s="250" t="e">
        <f t="shared" ca="1" si="34"/>
        <v>#REF!</v>
      </c>
      <c r="AH86" s="250" t="e">
        <f t="shared" ca="1" si="34"/>
        <v>#REF!</v>
      </c>
      <c r="AI86" s="250" t="e">
        <f t="shared" ca="1" si="34"/>
        <v>#REF!</v>
      </c>
      <c r="AJ86" s="250" t="e">
        <f t="shared" ca="1" si="34"/>
        <v>#REF!</v>
      </c>
      <c r="AK86" s="250" t="e">
        <f t="shared" ca="1" si="34"/>
        <v>#REF!</v>
      </c>
      <c r="AL86" s="250" t="e">
        <f t="shared" ca="1" si="34"/>
        <v>#REF!</v>
      </c>
      <c r="AM86" s="250" t="e">
        <f t="shared" ca="1" si="34"/>
        <v>#REF!</v>
      </c>
      <c r="AN86" s="250" t="e">
        <f t="shared" ca="1" si="34"/>
        <v>#REF!</v>
      </c>
      <c r="AO86" s="250" t="e">
        <f t="shared" ca="1" si="34"/>
        <v>#REF!</v>
      </c>
      <c r="AP86" s="250" t="e">
        <f ca="1">AP83*AP85</f>
        <v>#REF!</v>
      </c>
    </row>
    <row r="87" spans="1:44" ht="14.25" x14ac:dyDescent="0.2">
      <c r="A87" s="249" t="s">
        <v>553</v>
      </c>
      <c r="B87" s="250">
        <f ca="1">SUM($B$86:B86)</f>
        <v>0</v>
      </c>
      <c r="C87" s="250">
        <f ca="1">SUM($B$86:C86)</f>
        <v>0</v>
      </c>
      <c r="D87" s="250">
        <f ca="1">SUM($B$86:D86)</f>
        <v>0</v>
      </c>
      <c r="E87" s="250">
        <f ca="1">SUM($B$86:E86)</f>
        <v>0</v>
      </c>
      <c r="F87" s="250">
        <f ca="1">SUM($B$86:F86)</f>
        <v>0</v>
      </c>
      <c r="G87" s="250">
        <f ca="1">SUM($B$86:G86)</f>
        <v>0</v>
      </c>
      <c r="H87" s="250">
        <f ca="1">SUM($B$86:H86)</f>
        <v>0</v>
      </c>
      <c r="I87" s="250">
        <f ca="1">SUM($B$86:I86)</f>
        <v>0</v>
      </c>
      <c r="J87" s="250">
        <f ca="1">SUM($B$86:J86)</f>
        <v>0</v>
      </c>
      <c r="K87" s="250">
        <f ca="1">SUM($B$86:K86)</f>
        <v>0</v>
      </c>
      <c r="L87" s="250">
        <f ca="1">SUM($B$86:L86)</f>
        <v>0</v>
      </c>
      <c r="M87" s="250" t="e">
        <f ca="1">SUM($B$86:M86)</f>
        <v>#REF!</v>
      </c>
      <c r="N87" s="250" t="e">
        <f ca="1">SUM($B$86:N86)</f>
        <v>#REF!</v>
      </c>
      <c r="O87" s="250" t="e">
        <f ca="1">SUM($B$86:O86)</f>
        <v>#REF!</v>
      </c>
      <c r="P87" s="250" t="e">
        <f ca="1">SUM($B$86:P86)</f>
        <v>#REF!</v>
      </c>
      <c r="Q87" s="250" t="e">
        <f ca="1">SUM($B$86:Q86)</f>
        <v>#REF!</v>
      </c>
      <c r="R87" s="250" t="e">
        <f ca="1">SUM($B$86:R86)</f>
        <v>#REF!</v>
      </c>
      <c r="S87" s="250" t="e">
        <f ca="1">SUM($B$86:S86)</f>
        <v>#REF!</v>
      </c>
      <c r="T87" s="250" t="e">
        <f ca="1">SUM($B$86:T86)</f>
        <v>#REF!</v>
      </c>
      <c r="U87" s="250" t="e">
        <f ca="1">SUM($B$86:U86)</f>
        <v>#REF!</v>
      </c>
      <c r="V87" s="250" t="e">
        <f ca="1">SUM($B$86:V86)</f>
        <v>#REF!</v>
      </c>
      <c r="W87" s="250" t="e">
        <f ca="1">SUM($B$86:W86)</f>
        <v>#REF!</v>
      </c>
      <c r="X87" s="250" t="e">
        <f ca="1">SUM($B$86:X86)</f>
        <v>#REF!</v>
      </c>
      <c r="Y87" s="250" t="e">
        <f ca="1">SUM($B$86:Y86)</f>
        <v>#REF!</v>
      </c>
      <c r="Z87" s="250" t="e">
        <f ca="1">SUM($B$86:Z86)</f>
        <v>#REF!</v>
      </c>
      <c r="AA87" s="250" t="e">
        <f ca="1">SUM($B$86:AA86)</f>
        <v>#REF!</v>
      </c>
      <c r="AB87" s="250" t="e">
        <f ca="1">SUM($B$86:AB86)</f>
        <v>#REF!</v>
      </c>
      <c r="AC87" s="250" t="e">
        <f ca="1">SUM($B$86:AC86)</f>
        <v>#REF!</v>
      </c>
      <c r="AD87" s="250" t="e">
        <f ca="1">SUM($B$86:AD86)</f>
        <v>#REF!</v>
      </c>
      <c r="AE87" s="250" t="e">
        <f ca="1">SUM($B$86:AE86)</f>
        <v>#REF!</v>
      </c>
      <c r="AF87" s="250" t="e">
        <f ca="1">SUM($B$86:AF86)</f>
        <v>#REF!</v>
      </c>
      <c r="AG87" s="250" t="e">
        <f ca="1">SUM($B$86:AG86)</f>
        <v>#REF!</v>
      </c>
      <c r="AH87" s="250" t="e">
        <f ca="1">SUM($B$86:AH86)</f>
        <v>#REF!</v>
      </c>
      <c r="AI87" s="250" t="e">
        <f ca="1">SUM($B$86:AI86)</f>
        <v>#REF!</v>
      </c>
      <c r="AJ87" s="250" t="e">
        <f ca="1">SUM($B$86:AJ86)</f>
        <v>#REF!</v>
      </c>
      <c r="AK87" s="250" t="e">
        <f ca="1">SUM($B$86:AK86)</f>
        <v>#REF!</v>
      </c>
      <c r="AL87" s="250" t="e">
        <f ca="1">SUM($B$86:AL86)</f>
        <v>#REF!</v>
      </c>
      <c r="AM87" s="250" t="e">
        <f ca="1">SUM($B$86:AM86)</f>
        <v>#REF!</v>
      </c>
      <c r="AN87" s="250" t="e">
        <f ca="1">SUM($B$86:AN86)</f>
        <v>#REF!</v>
      </c>
      <c r="AO87" s="250" t="e">
        <f ca="1">SUM($B$86:AO86)</f>
        <v>#REF!</v>
      </c>
      <c r="AP87" s="250" t="e">
        <f ca="1">SUM($B$86:AP86)</f>
        <v>#REF!</v>
      </c>
    </row>
    <row r="88" spans="1:44" ht="14.25" x14ac:dyDescent="0.2">
      <c r="A88" s="249" t="s">
        <v>554</v>
      </c>
      <c r="B88" s="259">
        <f ca="1">IF((ISERR(IRR($B$83:B83))),0,IF(IRR($B$83:B83)&lt;0,0,IRR($B$83:B83)))</f>
        <v>0</v>
      </c>
      <c r="C88" s="259">
        <f ca="1">IF((ISERR(IRR($B$83:C83))),0,IF(IRR($B$83:C83)&lt;0,0,IRR($B$83:C83)))</f>
        <v>0</v>
      </c>
      <c r="D88" s="259">
        <f ca="1">IF((ISERR(IRR($B$83:D83))),0,IF(IRR($B$83:D83)&lt;0,0,IRR($B$83:D83)))</f>
        <v>0</v>
      </c>
      <c r="E88" s="259">
        <f ca="1">IF((ISERR(IRR($B$83:E83))),0,IF(IRR($B$83:E83)&lt;0,0,IRR($B$83:E83)))</f>
        <v>0</v>
      </c>
      <c r="F88" s="259">
        <f ca="1">IF((ISERR(IRR($B$83:F83))),0,IF(IRR($B$83:F83)&lt;0,0,IRR($B$83:F83)))</f>
        <v>0</v>
      </c>
      <c r="G88" s="259">
        <f ca="1">IF((ISERR(IRR($B$83:G83))),0,IF(IRR($B$83:G83)&lt;0,0,IRR($B$83:G83)))</f>
        <v>0</v>
      </c>
      <c r="H88" s="259">
        <f ca="1">IF((ISERR(IRR($B$83:H83))),0,IF(IRR($B$83:H83)&lt;0,0,IRR($B$83:H83)))</f>
        <v>0</v>
      </c>
      <c r="I88" s="259">
        <f ca="1">IF((ISERR(IRR($B$83:I83))),0,IF(IRR($B$83:I83)&lt;0,0,IRR($B$83:I83)))</f>
        <v>0</v>
      </c>
      <c r="J88" s="259">
        <f ca="1">IF((ISERR(IRR($B$83:J83))),0,IF(IRR($B$83:J83)&lt;0,0,IRR($B$83:J83)))</f>
        <v>0</v>
      </c>
      <c r="K88" s="259">
        <f ca="1">IF((ISERR(IRR($B$83:K83))),0,IF(IRR($B$83:K83)&lt;0,0,IRR($B$83:K83)))</f>
        <v>0</v>
      </c>
      <c r="L88" s="259">
        <f ca="1">IF((ISERR(IRR($B$83:L83))),0,IF(IRR($B$83:L83)&lt;0,0,IRR($B$83:L83)))</f>
        <v>0</v>
      </c>
      <c r="M88" s="259">
        <f ca="1">IF((ISERR(IRR($B$83:M83))),0,IF(IRR($B$83:M83)&lt;0,0,IRR($B$83:M83)))</f>
        <v>0</v>
      </c>
      <c r="N88" s="259">
        <f ca="1">IF((ISERR(IRR($B$83:N83))),0,IF(IRR($B$83:N83)&lt;0,0,IRR($B$83:N83)))</f>
        <v>0</v>
      </c>
      <c r="O88" s="259">
        <f ca="1">IF((ISERR(IRR($B$83:O83))),0,IF(IRR($B$83:O83)&lt;0,0,IRR($B$83:O83)))</f>
        <v>0</v>
      </c>
      <c r="P88" s="259">
        <f ca="1">IF((ISERR(IRR($B$83:P83))),0,IF(IRR($B$83:P83)&lt;0,0,IRR($B$83:P83)))</f>
        <v>0</v>
      </c>
      <c r="Q88" s="259">
        <f ca="1">IF((ISERR(IRR($B$83:Q83))),0,IF(IRR($B$83:Q83)&lt;0,0,IRR($B$83:Q83)))</f>
        <v>0</v>
      </c>
      <c r="R88" s="259">
        <f ca="1">IF((ISERR(IRR($B$83:R83))),0,IF(IRR($B$83:R83)&lt;0,0,IRR($B$83:R83)))</f>
        <v>0</v>
      </c>
      <c r="S88" s="259">
        <f ca="1">IF((ISERR(IRR($B$83:S83))),0,IF(IRR($B$83:S83)&lt;0,0,IRR($B$83:S83)))</f>
        <v>0</v>
      </c>
      <c r="T88" s="259">
        <f ca="1">IF((ISERR(IRR($B$83:T83))),0,IF(IRR($B$83:T83)&lt;0,0,IRR($B$83:T83)))</f>
        <v>0</v>
      </c>
      <c r="U88" s="259">
        <f ca="1">IF((ISERR(IRR($B$83:U83))),0,IF(IRR($B$83:U83)&lt;0,0,IRR($B$83:U83)))</f>
        <v>0</v>
      </c>
      <c r="V88" s="259">
        <f ca="1">IF((ISERR(IRR($B$83:V83))),0,IF(IRR($B$83:V83)&lt;0,0,IRR($B$83:V83)))</f>
        <v>0</v>
      </c>
      <c r="W88" s="259">
        <f ca="1">IF((ISERR(IRR($B$83:W83))),0,IF(IRR($B$83:W83)&lt;0,0,IRR($B$83:W83)))</f>
        <v>0</v>
      </c>
      <c r="X88" s="259">
        <f ca="1">IF((ISERR(IRR($B$83:X83))),0,IF(IRR($B$83:X83)&lt;0,0,IRR($B$83:X83)))</f>
        <v>0</v>
      </c>
      <c r="Y88" s="259">
        <f ca="1">IF((ISERR(IRR($B$83:Y83))),0,IF(IRR($B$83:Y83)&lt;0,0,IRR($B$83:Y83)))</f>
        <v>0</v>
      </c>
      <c r="Z88" s="259">
        <f ca="1">IF((ISERR(IRR($B$83:Z83))),0,IF(IRR($B$83:Z83)&lt;0,0,IRR($B$83:Z83)))</f>
        <v>0</v>
      </c>
      <c r="AA88" s="259">
        <f ca="1">IF((ISERR(IRR($B$83:AA83))),0,IF(IRR($B$83:AA83)&lt;0,0,IRR($B$83:AA83)))</f>
        <v>0</v>
      </c>
      <c r="AB88" s="259">
        <f ca="1">IF((ISERR(IRR($B$83:AB83))),0,IF(IRR($B$83:AB83)&lt;0,0,IRR($B$83:AB83)))</f>
        <v>0</v>
      </c>
      <c r="AC88" s="259">
        <f ca="1">IF((ISERR(IRR($B$83:AC83))),0,IF(IRR($B$83:AC83)&lt;0,0,IRR($B$83:AC83)))</f>
        <v>0</v>
      </c>
      <c r="AD88" s="259">
        <f ca="1">IF((ISERR(IRR($B$83:AD83))),0,IF(IRR($B$83:AD83)&lt;0,0,IRR($B$83:AD83)))</f>
        <v>0</v>
      </c>
      <c r="AE88" s="259">
        <f ca="1">IF((ISERR(IRR($B$83:AE83))),0,IF(IRR($B$83:AE83)&lt;0,0,IRR($B$83:AE83)))</f>
        <v>0</v>
      </c>
      <c r="AF88" s="259">
        <f ca="1">IF((ISERR(IRR($B$83:AF83))),0,IF(IRR($B$83:AF83)&lt;0,0,IRR($B$83:AF83)))</f>
        <v>0</v>
      </c>
      <c r="AG88" s="259">
        <f ca="1">IF((ISERR(IRR($B$83:AG83))),0,IF(IRR($B$83:AG83)&lt;0,0,IRR($B$83:AG83)))</f>
        <v>0</v>
      </c>
      <c r="AH88" s="259">
        <f ca="1">IF((ISERR(IRR($B$83:AH83))),0,IF(IRR($B$83:AH83)&lt;0,0,IRR($B$83:AH83)))</f>
        <v>0</v>
      </c>
      <c r="AI88" s="259">
        <f ca="1">IF((ISERR(IRR($B$83:AI83))),0,IF(IRR($B$83:AI83)&lt;0,0,IRR($B$83:AI83)))</f>
        <v>0</v>
      </c>
      <c r="AJ88" s="259">
        <f ca="1">IF((ISERR(IRR($B$83:AJ83))),0,IF(IRR($B$83:AJ83)&lt;0,0,IRR($B$83:AJ83)))</f>
        <v>0</v>
      </c>
      <c r="AK88" s="259">
        <f ca="1">IF((ISERR(IRR($B$83:AK83))),0,IF(IRR($B$83:AK83)&lt;0,0,IRR($B$83:AK83)))</f>
        <v>0</v>
      </c>
      <c r="AL88" s="259">
        <f ca="1">IF((ISERR(IRR($B$83:AL83))),0,IF(IRR($B$83:AL83)&lt;0,0,IRR($B$83:AL83)))</f>
        <v>0</v>
      </c>
      <c r="AM88" s="259">
        <f ca="1">IF((ISERR(IRR($B$83:AM83))),0,IF(IRR($B$83:AM83)&lt;0,0,IRR($B$83:AM83)))</f>
        <v>0</v>
      </c>
      <c r="AN88" s="259">
        <f ca="1">IF((ISERR(IRR($B$83:AN83))),0,IF(IRR($B$83:AN83)&lt;0,0,IRR($B$83:AN83)))</f>
        <v>0</v>
      </c>
      <c r="AO88" s="259">
        <f ca="1">IF((ISERR(IRR($B$83:AO83))),0,IF(IRR($B$83:AO83)&lt;0,0,IRR($B$83:AO83)))</f>
        <v>0</v>
      </c>
      <c r="AP88" s="259">
        <f ca="1">IF((ISERR(IRR($B$83:AP83))),0,IF(IRR($B$83:AP83)&lt;0,0,IRR($B$83:AP83)))</f>
        <v>0</v>
      </c>
    </row>
    <row r="89" spans="1:44" ht="14.25" x14ac:dyDescent="0.2">
      <c r="A89" s="249" t="s">
        <v>555</v>
      </c>
      <c r="B89" s="260">
        <f t="shared" ref="B89:L89" ca="1" si="35">IF(AND(B84&gt;0,A84&lt;0),(B74-(B84/(B84-A84))),0)</f>
        <v>0</v>
      </c>
      <c r="C89" s="260">
        <f t="shared" ca="1" si="35"/>
        <v>0</v>
      </c>
      <c r="D89" s="260">
        <f t="shared" ca="1" si="35"/>
        <v>0</v>
      </c>
      <c r="E89" s="260">
        <f t="shared" ca="1" si="35"/>
        <v>0</v>
      </c>
      <c r="F89" s="260">
        <f t="shared" ca="1" si="35"/>
        <v>0</v>
      </c>
      <c r="G89" s="260">
        <f t="shared" ca="1" si="35"/>
        <v>0</v>
      </c>
      <c r="H89" s="260">
        <f t="shared" ca="1" si="35"/>
        <v>0</v>
      </c>
      <c r="I89" s="260">
        <f t="shared" ca="1" si="35"/>
        <v>0</v>
      </c>
      <c r="J89" s="260">
        <f t="shared" ca="1" si="35"/>
        <v>0</v>
      </c>
      <c r="K89" s="260">
        <f t="shared" ca="1" si="35"/>
        <v>0</v>
      </c>
      <c r="L89" s="260">
        <f t="shared" ca="1" si="35"/>
        <v>0</v>
      </c>
      <c r="M89" s="260" t="e">
        <f t="shared" ref="M89:AP89" ca="1" si="36">IF(AND(M84&gt;0,L84&lt;0),(M74-(M84/(M84-L84))),0)</f>
        <v>#REF!</v>
      </c>
      <c r="N89" s="260" t="e">
        <f t="shared" ca="1" si="36"/>
        <v>#REF!</v>
      </c>
      <c r="O89" s="260" t="e">
        <f t="shared" ca="1" si="36"/>
        <v>#REF!</v>
      </c>
      <c r="P89" s="260" t="e">
        <f t="shared" ca="1" si="36"/>
        <v>#REF!</v>
      </c>
      <c r="Q89" s="260" t="e">
        <f t="shared" ca="1" si="36"/>
        <v>#REF!</v>
      </c>
      <c r="R89" s="260" t="e">
        <f t="shared" ca="1" si="36"/>
        <v>#REF!</v>
      </c>
      <c r="S89" s="260" t="e">
        <f t="shared" ca="1" si="36"/>
        <v>#REF!</v>
      </c>
      <c r="T89" s="260" t="e">
        <f t="shared" ca="1" si="36"/>
        <v>#REF!</v>
      </c>
      <c r="U89" s="260" t="e">
        <f t="shared" ca="1" si="36"/>
        <v>#REF!</v>
      </c>
      <c r="V89" s="260" t="e">
        <f t="shared" ca="1" si="36"/>
        <v>#REF!</v>
      </c>
      <c r="W89" s="260" t="e">
        <f t="shared" ca="1" si="36"/>
        <v>#REF!</v>
      </c>
      <c r="X89" s="260" t="e">
        <f t="shared" ca="1" si="36"/>
        <v>#REF!</v>
      </c>
      <c r="Y89" s="260" t="e">
        <f t="shared" ca="1" si="36"/>
        <v>#REF!</v>
      </c>
      <c r="Z89" s="260" t="e">
        <f t="shared" ca="1" si="36"/>
        <v>#REF!</v>
      </c>
      <c r="AA89" s="260" t="e">
        <f t="shared" ca="1" si="36"/>
        <v>#REF!</v>
      </c>
      <c r="AB89" s="260" t="e">
        <f t="shared" ca="1" si="36"/>
        <v>#REF!</v>
      </c>
      <c r="AC89" s="260" t="e">
        <f t="shared" ca="1" si="36"/>
        <v>#REF!</v>
      </c>
      <c r="AD89" s="260" t="e">
        <f t="shared" ca="1" si="36"/>
        <v>#REF!</v>
      </c>
      <c r="AE89" s="260" t="e">
        <f t="shared" ca="1" si="36"/>
        <v>#REF!</v>
      </c>
      <c r="AF89" s="260" t="e">
        <f t="shared" ca="1" si="36"/>
        <v>#REF!</v>
      </c>
      <c r="AG89" s="260" t="e">
        <f t="shared" ca="1" si="36"/>
        <v>#REF!</v>
      </c>
      <c r="AH89" s="260" t="e">
        <f t="shared" ca="1" si="36"/>
        <v>#REF!</v>
      </c>
      <c r="AI89" s="260" t="e">
        <f t="shared" ca="1" si="36"/>
        <v>#REF!</v>
      </c>
      <c r="AJ89" s="260" t="e">
        <f t="shared" ca="1" si="36"/>
        <v>#REF!</v>
      </c>
      <c r="AK89" s="260" t="e">
        <f t="shared" ca="1" si="36"/>
        <v>#REF!</v>
      </c>
      <c r="AL89" s="260" t="e">
        <f t="shared" ca="1" si="36"/>
        <v>#REF!</v>
      </c>
      <c r="AM89" s="260" t="e">
        <f t="shared" ca="1" si="36"/>
        <v>#REF!</v>
      </c>
      <c r="AN89" s="260" t="e">
        <f t="shared" ca="1" si="36"/>
        <v>#REF!</v>
      </c>
      <c r="AO89" s="260" t="e">
        <f t="shared" ca="1" si="36"/>
        <v>#REF!</v>
      </c>
      <c r="AP89" s="260" t="e">
        <f t="shared" ca="1" si="36"/>
        <v>#REF!</v>
      </c>
    </row>
    <row r="90" spans="1:44" ht="15" thickBot="1" x14ac:dyDescent="0.25">
      <c r="A90" s="261" t="s">
        <v>556</v>
      </c>
      <c r="B90" s="262">
        <f t="shared" ref="B90:L90" ca="1" si="37">IF(AND(B87&gt;0,A87&lt;0),(B74-(B87/(B87-A87))),0)</f>
        <v>0</v>
      </c>
      <c r="C90" s="262">
        <f t="shared" ca="1" si="37"/>
        <v>0</v>
      </c>
      <c r="D90" s="262">
        <f t="shared" ca="1" si="37"/>
        <v>0</v>
      </c>
      <c r="E90" s="262">
        <f t="shared" ca="1" si="37"/>
        <v>0</v>
      </c>
      <c r="F90" s="262">
        <f t="shared" ca="1" si="37"/>
        <v>0</v>
      </c>
      <c r="G90" s="262">
        <f t="shared" ca="1" si="37"/>
        <v>0</v>
      </c>
      <c r="H90" s="262">
        <f t="shared" ca="1" si="37"/>
        <v>0</v>
      </c>
      <c r="I90" s="262">
        <f t="shared" ca="1" si="37"/>
        <v>0</v>
      </c>
      <c r="J90" s="262">
        <f t="shared" ca="1" si="37"/>
        <v>0</v>
      </c>
      <c r="K90" s="262">
        <f t="shared" ca="1" si="37"/>
        <v>0</v>
      </c>
      <c r="L90" s="262">
        <f t="shared" ca="1" si="37"/>
        <v>0</v>
      </c>
      <c r="M90" s="262" t="e">
        <f t="shared" ref="M90:AP90" ca="1" si="38">IF(AND(M87&gt;0,L87&lt;0),(M74-(M87/(M87-L87))),0)</f>
        <v>#REF!</v>
      </c>
      <c r="N90" s="262" t="e">
        <f t="shared" ca="1" si="38"/>
        <v>#REF!</v>
      </c>
      <c r="O90" s="262" t="e">
        <f t="shared" ca="1" si="38"/>
        <v>#REF!</v>
      </c>
      <c r="P90" s="262" t="e">
        <f t="shared" ca="1" si="38"/>
        <v>#REF!</v>
      </c>
      <c r="Q90" s="262" t="e">
        <f t="shared" ca="1" si="38"/>
        <v>#REF!</v>
      </c>
      <c r="R90" s="262" t="e">
        <f t="shared" ca="1" si="38"/>
        <v>#REF!</v>
      </c>
      <c r="S90" s="262" t="e">
        <f t="shared" ca="1" si="38"/>
        <v>#REF!</v>
      </c>
      <c r="T90" s="262" t="e">
        <f t="shared" ca="1" si="38"/>
        <v>#REF!</v>
      </c>
      <c r="U90" s="262" t="e">
        <f t="shared" ca="1" si="38"/>
        <v>#REF!</v>
      </c>
      <c r="V90" s="262" t="e">
        <f t="shared" ca="1" si="38"/>
        <v>#REF!</v>
      </c>
      <c r="W90" s="262" t="e">
        <f t="shared" ca="1" si="38"/>
        <v>#REF!</v>
      </c>
      <c r="X90" s="262" t="e">
        <f t="shared" ca="1" si="38"/>
        <v>#REF!</v>
      </c>
      <c r="Y90" s="262" t="e">
        <f t="shared" ca="1" si="38"/>
        <v>#REF!</v>
      </c>
      <c r="Z90" s="262" t="e">
        <f t="shared" ca="1" si="38"/>
        <v>#REF!</v>
      </c>
      <c r="AA90" s="262" t="e">
        <f t="shared" ca="1" si="38"/>
        <v>#REF!</v>
      </c>
      <c r="AB90" s="262" t="e">
        <f t="shared" ca="1" si="38"/>
        <v>#REF!</v>
      </c>
      <c r="AC90" s="262" t="e">
        <f t="shared" ca="1" si="38"/>
        <v>#REF!</v>
      </c>
      <c r="AD90" s="262" t="e">
        <f t="shared" ca="1" si="38"/>
        <v>#REF!</v>
      </c>
      <c r="AE90" s="262" t="e">
        <f t="shared" ca="1" si="38"/>
        <v>#REF!</v>
      </c>
      <c r="AF90" s="262" t="e">
        <f t="shared" ca="1" si="38"/>
        <v>#REF!</v>
      </c>
      <c r="AG90" s="262" t="e">
        <f t="shared" ca="1" si="38"/>
        <v>#REF!</v>
      </c>
      <c r="AH90" s="262" t="e">
        <f t="shared" ca="1" si="38"/>
        <v>#REF!</v>
      </c>
      <c r="AI90" s="262" t="e">
        <f t="shared" ca="1" si="38"/>
        <v>#REF!</v>
      </c>
      <c r="AJ90" s="262" t="e">
        <f t="shared" ca="1" si="38"/>
        <v>#REF!</v>
      </c>
      <c r="AK90" s="262" t="e">
        <f t="shared" ca="1" si="38"/>
        <v>#REF!</v>
      </c>
      <c r="AL90" s="262" t="e">
        <f t="shared" ca="1" si="38"/>
        <v>#REF!</v>
      </c>
      <c r="AM90" s="262" t="e">
        <f t="shared" ca="1" si="38"/>
        <v>#REF!</v>
      </c>
      <c r="AN90" s="262" t="e">
        <f t="shared" ca="1" si="38"/>
        <v>#REF!</v>
      </c>
      <c r="AO90" s="262" t="e">
        <f t="shared" ca="1" si="38"/>
        <v>#REF!</v>
      </c>
      <c r="AP90" s="262" t="e">
        <f t="shared" ca="1" si="38"/>
        <v>#REF!</v>
      </c>
    </row>
    <row r="91" spans="1:44" x14ac:dyDescent="0.2">
      <c r="B91" s="263">
        <v>2021</v>
      </c>
      <c r="C91" s="263">
        <f>B91+1</f>
        <v>2022</v>
      </c>
      <c r="D91" s="189">
        <f t="shared" ref="D91:AP92" si="39">C91+1</f>
        <v>2023</v>
      </c>
      <c r="E91" s="189">
        <f t="shared" si="39"/>
        <v>2024</v>
      </c>
      <c r="F91" s="189">
        <f t="shared" si="39"/>
        <v>2025</v>
      </c>
      <c r="G91" s="189">
        <f t="shared" si="39"/>
        <v>2026</v>
      </c>
      <c r="H91" s="189">
        <f t="shared" si="39"/>
        <v>2027</v>
      </c>
      <c r="I91" s="189">
        <f t="shared" si="39"/>
        <v>2028</v>
      </c>
      <c r="J91" s="189">
        <f t="shared" si="39"/>
        <v>2029</v>
      </c>
      <c r="K91" s="189">
        <f t="shared" si="39"/>
        <v>2030</v>
      </c>
      <c r="L91" s="189">
        <f t="shared" si="39"/>
        <v>2031</v>
      </c>
      <c r="M91" s="189">
        <f t="shared" si="39"/>
        <v>2032</v>
      </c>
      <c r="N91" s="189">
        <f t="shared" si="39"/>
        <v>2033</v>
      </c>
      <c r="O91" s="189">
        <f t="shared" si="39"/>
        <v>2034</v>
      </c>
      <c r="P91" s="189">
        <f t="shared" si="39"/>
        <v>2035</v>
      </c>
      <c r="Q91" s="189">
        <f t="shared" si="39"/>
        <v>2036</v>
      </c>
      <c r="R91" s="189">
        <f t="shared" si="39"/>
        <v>2037</v>
      </c>
      <c r="S91" s="189">
        <f t="shared" si="39"/>
        <v>2038</v>
      </c>
      <c r="T91" s="189">
        <f t="shared" si="39"/>
        <v>2039</v>
      </c>
      <c r="U91" s="189">
        <f t="shared" si="39"/>
        <v>2040</v>
      </c>
      <c r="V91" s="189">
        <f t="shared" si="39"/>
        <v>2041</v>
      </c>
      <c r="W91" s="189">
        <f t="shared" si="39"/>
        <v>2042</v>
      </c>
      <c r="X91" s="189">
        <f t="shared" si="39"/>
        <v>2043</v>
      </c>
      <c r="Y91" s="189">
        <f t="shared" si="39"/>
        <v>2044</v>
      </c>
      <c r="Z91" s="189">
        <f t="shared" si="39"/>
        <v>2045</v>
      </c>
      <c r="AA91" s="189">
        <f t="shared" si="39"/>
        <v>2046</v>
      </c>
      <c r="AB91" s="189">
        <f t="shared" si="39"/>
        <v>2047</v>
      </c>
      <c r="AC91" s="189">
        <f t="shared" si="39"/>
        <v>2048</v>
      </c>
      <c r="AD91" s="189">
        <f t="shared" si="39"/>
        <v>2049</v>
      </c>
      <c r="AE91" s="189">
        <f t="shared" si="39"/>
        <v>2050</v>
      </c>
      <c r="AF91" s="189">
        <f t="shared" si="39"/>
        <v>2051</v>
      </c>
      <c r="AG91" s="189">
        <f t="shared" si="39"/>
        <v>2052</v>
      </c>
      <c r="AH91" s="189">
        <f t="shared" si="39"/>
        <v>2053</v>
      </c>
      <c r="AI91" s="189">
        <f t="shared" si="39"/>
        <v>2054</v>
      </c>
      <c r="AJ91" s="189">
        <f t="shared" si="39"/>
        <v>2055</v>
      </c>
      <c r="AK91" s="189">
        <f t="shared" si="39"/>
        <v>2056</v>
      </c>
      <c r="AL91" s="189">
        <f t="shared" si="39"/>
        <v>2057</v>
      </c>
      <c r="AM91" s="189">
        <f t="shared" si="39"/>
        <v>2058</v>
      </c>
      <c r="AN91" s="189">
        <f t="shared" si="39"/>
        <v>2059</v>
      </c>
      <c r="AO91" s="189">
        <f t="shared" si="39"/>
        <v>2060</v>
      </c>
      <c r="AP91" s="189">
        <f t="shared" si="39"/>
        <v>2061</v>
      </c>
    </row>
    <row r="92" spans="1:44" ht="12.75" x14ac:dyDescent="0.2">
      <c r="A92" s="264" t="s">
        <v>557</v>
      </c>
      <c r="B92" s="265">
        <v>1</v>
      </c>
      <c r="C92" s="265">
        <f>B92+1</f>
        <v>2</v>
      </c>
      <c r="D92" s="265">
        <f t="shared" si="39"/>
        <v>3</v>
      </c>
      <c r="E92" s="265">
        <f t="shared" si="39"/>
        <v>4</v>
      </c>
      <c r="F92" s="265">
        <f t="shared" si="39"/>
        <v>5</v>
      </c>
      <c r="G92" s="265">
        <f t="shared" si="39"/>
        <v>6</v>
      </c>
      <c r="H92" s="265">
        <f t="shared" si="39"/>
        <v>7</v>
      </c>
      <c r="I92" s="265">
        <f t="shared" si="39"/>
        <v>8</v>
      </c>
      <c r="J92" s="265">
        <f t="shared" si="39"/>
        <v>9</v>
      </c>
      <c r="K92" s="265">
        <f t="shared" si="39"/>
        <v>10</v>
      </c>
      <c r="L92" s="265">
        <f t="shared" si="39"/>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561</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customHeight="1" x14ac:dyDescent="0.2">
      <c r="A97" s="404" t="s">
        <v>562</v>
      </c>
      <c r="B97" s="404"/>
      <c r="C97" s="404"/>
      <c r="D97" s="404"/>
      <c r="E97" s="404"/>
      <c r="F97" s="404"/>
      <c r="G97" s="404"/>
      <c r="H97" s="404"/>
      <c r="I97" s="404"/>
      <c r="J97" s="404"/>
      <c r="K97" s="404"/>
      <c r="L97" s="404"/>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x14ac:dyDescent="0.2">
      <c r="C98" s="267"/>
    </row>
    <row r="99" spans="1:71" s="273" customFormat="1" ht="16.5" hidden="1" thickTop="1" x14ac:dyDescent="0.2">
      <c r="A99" s="268" t="s">
        <v>563</v>
      </c>
      <c r="B99" s="269">
        <f>B81*B85</f>
        <v>0</v>
      </c>
      <c r="C99" s="270">
        <f>C81*C85</f>
        <v>-63821.741753361894</v>
      </c>
      <c r="D99" s="270">
        <f>D81*D85</f>
        <v>-58174303.920053646</v>
      </c>
      <c r="E99" s="270">
        <f t="shared" ref="E99:AP99" si="40">E81*E85</f>
        <v>0</v>
      </c>
      <c r="F99" s="270">
        <f t="shared" si="40"/>
        <v>0</v>
      </c>
      <c r="G99" s="270">
        <f t="shared" si="40"/>
        <v>0</v>
      </c>
      <c r="H99" s="270">
        <f t="shared" si="40"/>
        <v>0</v>
      </c>
      <c r="I99" s="270">
        <f t="shared" si="40"/>
        <v>0</v>
      </c>
      <c r="J99" s="270">
        <f>J81*J85</f>
        <v>0</v>
      </c>
      <c r="K99" s="270">
        <f t="shared" si="40"/>
        <v>0</v>
      </c>
      <c r="L99" s="270">
        <f>L81*L85</f>
        <v>0</v>
      </c>
      <c r="M99" s="270">
        <f t="shared" si="40"/>
        <v>0</v>
      </c>
      <c r="N99" s="270">
        <f t="shared" si="40"/>
        <v>0</v>
      </c>
      <c r="O99" s="270">
        <f t="shared" si="40"/>
        <v>0</v>
      </c>
      <c r="P99" s="270">
        <f t="shared" si="40"/>
        <v>0</v>
      </c>
      <c r="Q99" s="270">
        <f t="shared" si="40"/>
        <v>0</v>
      </c>
      <c r="R99" s="270">
        <f t="shared" si="40"/>
        <v>0</v>
      </c>
      <c r="S99" s="270">
        <f t="shared" si="40"/>
        <v>0</v>
      </c>
      <c r="T99" s="270">
        <f t="shared" si="40"/>
        <v>0</v>
      </c>
      <c r="U99" s="270">
        <f t="shared" si="40"/>
        <v>0</v>
      </c>
      <c r="V99" s="270">
        <f t="shared" si="40"/>
        <v>0</v>
      </c>
      <c r="W99" s="270">
        <f t="shared" si="40"/>
        <v>0</v>
      </c>
      <c r="X99" s="270">
        <f t="shared" si="40"/>
        <v>0</v>
      </c>
      <c r="Y99" s="270">
        <f t="shared" si="40"/>
        <v>0</v>
      </c>
      <c r="Z99" s="270">
        <f t="shared" si="40"/>
        <v>0</v>
      </c>
      <c r="AA99" s="270">
        <f t="shared" si="40"/>
        <v>0</v>
      </c>
      <c r="AB99" s="270">
        <f t="shared" si="40"/>
        <v>0</v>
      </c>
      <c r="AC99" s="270">
        <f t="shared" si="40"/>
        <v>0</v>
      </c>
      <c r="AD99" s="270">
        <f t="shared" si="40"/>
        <v>0</v>
      </c>
      <c r="AE99" s="270">
        <f t="shared" si="40"/>
        <v>0</v>
      </c>
      <c r="AF99" s="270">
        <f t="shared" si="40"/>
        <v>0</v>
      </c>
      <c r="AG99" s="270">
        <f t="shared" si="40"/>
        <v>0</v>
      </c>
      <c r="AH99" s="270">
        <f t="shared" si="40"/>
        <v>0</v>
      </c>
      <c r="AI99" s="270">
        <f t="shared" si="40"/>
        <v>0</v>
      </c>
      <c r="AJ99" s="270">
        <f t="shared" si="40"/>
        <v>0</v>
      </c>
      <c r="AK99" s="270">
        <f t="shared" si="40"/>
        <v>0</v>
      </c>
      <c r="AL99" s="270">
        <f t="shared" si="40"/>
        <v>0</v>
      </c>
      <c r="AM99" s="270">
        <f t="shared" si="40"/>
        <v>0</v>
      </c>
      <c r="AN99" s="270">
        <f t="shared" si="40"/>
        <v>0</v>
      </c>
      <c r="AO99" s="270">
        <f t="shared" si="40"/>
        <v>0</v>
      </c>
      <c r="AP99" s="270">
        <f t="shared" si="40"/>
        <v>0</v>
      </c>
      <c r="AQ99" s="271">
        <f>SUM(B99:AP99)</f>
        <v>-58238125.661807008</v>
      </c>
      <c r="AR99" s="272"/>
      <c r="AS99" s="272"/>
    </row>
    <row r="100" spans="1:71" s="276" customFormat="1" hidden="1" x14ac:dyDescent="0.2">
      <c r="A100" s="274">
        <f>AQ99</f>
        <v>-58238125.661807008</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hidden="1" x14ac:dyDescent="0.2">
      <c r="A101" s="274">
        <f ca="1">AP87</f>
        <v>0</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hidden="1" x14ac:dyDescent="0.2">
      <c r="A102" s="277" t="s">
        <v>564</v>
      </c>
      <c r="B102" s="278">
        <f ca="1">(A101+-A100)/-A100</f>
        <v>0</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hidden="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80" t="s">
        <v>565</v>
      </c>
      <c r="B104" s="280" t="s">
        <v>566</v>
      </c>
      <c r="C104" s="280" t="s">
        <v>567</v>
      </c>
      <c r="D104" s="280" t="s">
        <v>568</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 ca="1">G30/1000/1000</f>
        <v>0</v>
      </c>
      <c r="B105" s="283">
        <f ca="1">L88</f>
        <v>0</v>
      </c>
      <c r="C105" s="284">
        <f ca="1">G28</f>
        <v>0</v>
      </c>
      <c r="D105" s="284">
        <f ca="1">G29</f>
        <v>0</v>
      </c>
      <c r="E105" s="191" t="s">
        <v>569</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41">C107+1</f>
        <v>2018</v>
      </c>
      <c r="E107" s="288">
        <f t="shared" si="41"/>
        <v>2019</v>
      </c>
      <c r="F107" s="288">
        <f t="shared" si="41"/>
        <v>2020</v>
      </c>
      <c r="G107" s="288">
        <f t="shared" si="41"/>
        <v>2021</v>
      </c>
      <c r="H107" s="288">
        <f t="shared" si="41"/>
        <v>2022</v>
      </c>
      <c r="I107" s="288">
        <f t="shared" si="41"/>
        <v>2023</v>
      </c>
      <c r="J107" s="288">
        <f t="shared" si="41"/>
        <v>2024</v>
      </c>
      <c r="K107" s="288">
        <f t="shared" si="41"/>
        <v>2025</v>
      </c>
      <c r="L107" s="288">
        <f t="shared" si="41"/>
        <v>2026</v>
      </c>
      <c r="M107" s="288">
        <f t="shared" si="41"/>
        <v>2027</v>
      </c>
      <c r="N107" s="288">
        <f t="shared" si="41"/>
        <v>2028</v>
      </c>
      <c r="O107" s="288">
        <f t="shared" si="41"/>
        <v>2029</v>
      </c>
      <c r="P107" s="288">
        <f t="shared" si="41"/>
        <v>2030</v>
      </c>
      <c r="Q107" s="288">
        <f t="shared" si="41"/>
        <v>2031</v>
      </c>
      <c r="R107" s="288">
        <f t="shared" si="41"/>
        <v>2032</v>
      </c>
      <c r="S107" s="288">
        <f t="shared" si="41"/>
        <v>2033</v>
      </c>
      <c r="T107" s="288">
        <f t="shared" si="41"/>
        <v>2034</v>
      </c>
      <c r="U107" s="288">
        <f t="shared" si="41"/>
        <v>2035</v>
      </c>
      <c r="V107" s="288">
        <f t="shared" si="41"/>
        <v>2036</v>
      </c>
      <c r="W107" s="288">
        <f t="shared" si="41"/>
        <v>2037</v>
      </c>
      <c r="X107" s="288">
        <f t="shared" si="41"/>
        <v>2038</v>
      </c>
      <c r="Y107" s="288">
        <f t="shared" si="41"/>
        <v>2039</v>
      </c>
      <c r="Z107" s="288">
        <f t="shared" si="41"/>
        <v>2040</v>
      </c>
      <c r="AA107" s="288">
        <f t="shared" si="41"/>
        <v>2041</v>
      </c>
      <c r="AB107" s="288">
        <f t="shared" si="41"/>
        <v>2042</v>
      </c>
      <c r="AC107" s="288">
        <f t="shared" si="41"/>
        <v>2043</v>
      </c>
      <c r="AD107" s="288">
        <f t="shared" si="41"/>
        <v>2044</v>
      </c>
      <c r="AE107" s="288">
        <f t="shared" si="41"/>
        <v>2045</v>
      </c>
      <c r="AF107" s="288">
        <f t="shared" si="41"/>
        <v>2046</v>
      </c>
      <c r="AG107" s="288">
        <f t="shared" si="41"/>
        <v>2047</v>
      </c>
      <c r="AH107" s="288">
        <f t="shared" si="41"/>
        <v>2048</v>
      </c>
      <c r="AI107" s="288">
        <f t="shared" si="41"/>
        <v>2049</v>
      </c>
      <c r="AJ107" s="288">
        <f t="shared" si="41"/>
        <v>2050</v>
      </c>
      <c r="AK107" s="288">
        <f t="shared" si="41"/>
        <v>2051</v>
      </c>
      <c r="AL107" s="288">
        <f t="shared" si="41"/>
        <v>2052</v>
      </c>
      <c r="AM107" s="288">
        <f t="shared" si="41"/>
        <v>2053</v>
      </c>
      <c r="AN107" s="288">
        <f t="shared" si="41"/>
        <v>2054</v>
      </c>
      <c r="AO107" s="288">
        <f t="shared" si="41"/>
        <v>2055</v>
      </c>
      <c r="AP107" s="288">
        <f t="shared" si="41"/>
        <v>2056</v>
      </c>
      <c r="AT107" s="276"/>
      <c r="AU107" s="276"/>
      <c r="AV107" s="276"/>
      <c r="AW107" s="276"/>
      <c r="AX107" s="276"/>
      <c r="AY107" s="276"/>
      <c r="AZ107" s="276"/>
      <c r="BA107" s="276"/>
      <c r="BB107" s="276"/>
      <c r="BC107" s="276"/>
      <c r="BD107" s="276"/>
      <c r="BE107" s="276"/>
      <c r="BF107" s="276"/>
      <c r="BG107" s="276"/>
    </row>
    <row r="108" spans="1:71" ht="12.75" hidden="1" x14ac:dyDescent="0.2">
      <c r="A108" s="289" t="s">
        <v>570</v>
      </c>
      <c r="B108" s="290"/>
      <c r="C108" s="290">
        <f>C109*$B$111*$B$112*1000</f>
        <v>0</v>
      </c>
      <c r="D108" s="290">
        <f>D109*$B$111*$B$112*1000</f>
        <v>0</v>
      </c>
      <c r="E108" s="290">
        <f>E109*$B$111*$B$112*1000</f>
        <v>0</v>
      </c>
      <c r="F108" s="290">
        <f t="shared" ref="F108:AP108" si="42">F109*$B$111*$B$112*1000</f>
        <v>0</v>
      </c>
      <c r="G108" s="290">
        <f>G109*$B$111*$B$112*1000</f>
        <v>0</v>
      </c>
      <c r="H108" s="290">
        <f>H109*$B$111*$B$112*1000</f>
        <v>190997.69333400001</v>
      </c>
      <c r="I108" s="290">
        <f t="shared" si="42"/>
        <v>381995.38666800002</v>
      </c>
      <c r="J108" s="290">
        <f t="shared" si="42"/>
        <v>572993.08000200009</v>
      </c>
      <c r="K108" s="290">
        <f t="shared" si="42"/>
        <v>763990.77333600004</v>
      </c>
      <c r="L108" s="290">
        <f t="shared" si="42"/>
        <v>954988.46667000011</v>
      </c>
      <c r="M108" s="290">
        <f t="shared" si="42"/>
        <v>1336983.8533380001</v>
      </c>
      <c r="N108" s="290">
        <f t="shared" si="42"/>
        <v>1336983.8533380001</v>
      </c>
      <c r="O108" s="290">
        <f t="shared" si="42"/>
        <v>1336983.8533380001</v>
      </c>
      <c r="P108" s="290">
        <f t="shared" si="42"/>
        <v>1336983.8533380001</v>
      </c>
      <c r="Q108" s="290">
        <f t="shared" si="42"/>
        <v>1336983.8533380001</v>
      </c>
      <c r="R108" s="290">
        <f t="shared" si="42"/>
        <v>1336983.8533380001</v>
      </c>
      <c r="S108" s="290">
        <f t="shared" si="42"/>
        <v>1336983.8533380001</v>
      </c>
      <c r="T108" s="290">
        <f t="shared" si="42"/>
        <v>1336983.8533380001</v>
      </c>
      <c r="U108" s="290">
        <f t="shared" si="42"/>
        <v>1336983.8533380001</v>
      </c>
      <c r="V108" s="290">
        <f t="shared" si="42"/>
        <v>1336983.8533380001</v>
      </c>
      <c r="W108" s="290">
        <f t="shared" si="42"/>
        <v>1336983.8533380001</v>
      </c>
      <c r="X108" s="290">
        <f t="shared" si="42"/>
        <v>1336983.8533380001</v>
      </c>
      <c r="Y108" s="290">
        <f t="shared" si="42"/>
        <v>1336983.8533380001</v>
      </c>
      <c r="Z108" s="290">
        <f t="shared" si="42"/>
        <v>1336983.8533380001</v>
      </c>
      <c r="AA108" s="290">
        <f t="shared" si="42"/>
        <v>1336983.8533380001</v>
      </c>
      <c r="AB108" s="290">
        <f t="shared" si="42"/>
        <v>1336983.8533380001</v>
      </c>
      <c r="AC108" s="290">
        <f t="shared" si="42"/>
        <v>1336983.8533380001</v>
      </c>
      <c r="AD108" s="290">
        <f t="shared" si="42"/>
        <v>1336983.8533380001</v>
      </c>
      <c r="AE108" s="290">
        <f t="shared" si="42"/>
        <v>1336983.8533380001</v>
      </c>
      <c r="AF108" s="290">
        <f t="shared" si="42"/>
        <v>1336983.8533380001</v>
      </c>
      <c r="AG108" s="290">
        <f t="shared" si="42"/>
        <v>1336983.8533380001</v>
      </c>
      <c r="AH108" s="290">
        <f t="shared" si="42"/>
        <v>1336983.8533380001</v>
      </c>
      <c r="AI108" s="290">
        <f t="shared" si="42"/>
        <v>1336983.8533380001</v>
      </c>
      <c r="AJ108" s="290">
        <f t="shared" si="42"/>
        <v>1336983.8533380001</v>
      </c>
      <c r="AK108" s="290">
        <f t="shared" si="42"/>
        <v>1336983.8533380001</v>
      </c>
      <c r="AL108" s="290">
        <f t="shared" si="42"/>
        <v>1336983.8533380001</v>
      </c>
      <c r="AM108" s="290">
        <f t="shared" si="42"/>
        <v>1336983.8533380001</v>
      </c>
      <c r="AN108" s="290">
        <f t="shared" si="42"/>
        <v>1336983.8533380001</v>
      </c>
      <c r="AO108" s="290">
        <f t="shared" si="42"/>
        <v>1336983.8533380001</v>
      </c>
      <c r="AP108" s="290">
        <f t="shared" si="42"/>
        <v>1336983.8533380001</v>
      </c>
      <c r="AT108" s="276"/>
      <c r="AU108" s="276"/>
      <c r="AV108" s="276"/>
      <c r="AW108" s="276"/>
      <c r="AX108" s="276"/>
      <c r="AY108" s="276"/>
      <c r="AZ108" s="276"/>
      <c r="BA108" s="276"/>
      <c r="BB108" s="276"/>
      <c r="BC108" s="276"/>
      <c r="BD108" s="276"/>
      <c r="BE108" s="276"/>
      <c r="BF108" s="276"/>
      <c r="BG108" s="276"/>
    </row>
    <row r="109" spans="1:71" ht="12.75" hidden="1" x14ac:dyDescent="0.2">
      <c r="A109" s="289" t="s">
        <v>571</v>
      </c>
      <c r="B109" s="288"/>
      <c r="C109" s="288">
        <f>B109+$I$120*C113</f>
        <v>0</v>
      </c>
      <c r="D109" s="288">
        <f>C109+$I$120*D113</f>
        <v>0</v>
      </c>
      <c r="E109" s="288">
        <f>D109+$I$120*E113</f>
        <v>0</v>
      </c>
      <c r="F109" s="288">
        <f t="shared" ref="F109:AP109" si="43">E109+$I$120*F113</f>
        <v>0</v>
      </c>
      <c r="G109" s="288">
        <f>F109+$I$120*G113</f>
        <v>0</v>
      </c>
      <c r="H109" s="288">
        <f>G109+$I$120*H113</f>
        <v>5.859000000000001E-2</v>
      </c>
      <c r="I109" s="288">
        <f t="shared" si="43"/>
        <v>0.11718000000000002</v>
      </c>
      <c r="J109" s="288">
        <f t="shared" si="43"/>
        <v>0.17577000000000004</v>
      </c>
      <c r="K109" s="288">
        <f t="shared" si="43"/>
        <v>0.23436000000000004</v>
      </c>
      <c r="L109" s="288">
        <f t="shared" si="43"/>
        <v>0.29295000000000004</v>
      </c>
      <c r="M109" s="288">
        <f t="shared" si="43"/>
        <v>0.41013000000000005</v>
      </c>
      <c r="N109" s="288">
        <f t="shared" si="43"/>
        <v>0.41013000000000005</v>
      </c>
      <c r="O109" s="288">
        <f t="shared" si="43"/>
        <v>0.41013000000000005</v>
      </c>
      <c r="P109" s="288">
        <f t="shared" si="43"/>
        <v>0.41013000000000005</v>
      </c>
      <c r="Q109" s="288">
        <f t="shared" si="43"/>
        <v>0.41013000000000005</v>
      </c>
      <c r="R109" s="288">
        <f t="shared" si="43"/>
        <v>0.41013000000000005</v>
      </c>
      <c r="S109" s="288">
        <f t="shared" si="43"/>
        <v>0.41013000000000005</v>
      </c>
      <c r="T109" s="288">
        <f t="shared" si="43"/>
        <v>0.41013000000000005</v>
      </c>
      <c r="U109" s="288">
        <f t="shared" si="43"/>
        <v>0.41013000000000005</v>
      </c>
      <c r="V109" s="288">
        <f t="shared" si="43"/>
        <v>0.41013000000000005</v>
      </c>
      <c r="W109" s="288">
        <f t="shared" si="43"/>
        <v>0.41013000000000005</v>
      </c>
      <c r="X109" s="288">
        <f t="shared" si="43"/>
        <v>0.41013000000000005</v>
      </c>
      <c r="Y109" s="288">
        <f t="shared" si="43"/>
        <v>0.41013000000000005</v>
      </c>
      <c r="Z109" s="288">
        <f t="shared" si="43"/>
        <v>0.41013000000000005</v>
      </c>
      <c r="AA109" s="288">
        <f t="shared" si="43"/>
        <v>0.41013000000000005</v>
      </c>
      <c r="AB109" s="288">
        <f t="shared" si="43"/>
        <v>0.41013000000000005</v>
      </c>
      <c r="AC109" s="288">
        <f t="shared" si="43"/>
        <v>0.41013000000000005</v>
      </c>
      <c r="AD109" s="288">
        <f t="shared" si="43"/>
        <v>0.41013000000000005</v>
      </c>
      <c r="AE109" s="288">
        <f t="shared" si="43"/>
        <v>0.41013000000000005</v>
      </c>
      <c r="AF109" s="288">
        <f t="shared" si="43"/>
        <v>0.41013000000000005</v>
      </c>
      <c r="AG109" s="288">
        <f t="shared" si="43"/>
        <v>0.41013000000000005</v>
      </c>
      <c r="AH109" s="288">
        <f t="shared" si="43"/>
        <v>0.41013000000000005</v>
      </c>
      <c r="AI109" s="288">
        <f t="shared" si="43"/>
        <v>0.41013000000000005</v>
      </c>
      <c r="AJ109" s="288">
        <f t="shared" si="43"/>
        <v>0.41013000000000005</v>
      </c>
      <c r="AK109" s="288">
        <f t="shared" si="43"/>
        <v>0.41013000000000005</v>
      </c>
      <c r="AL109" s="288">
        <f t="shared" si="43"/>
        <v>0.41013000000000005</v>
      </c>
      <c r="AM109" s="288">
        <f t="shared" si="43"/>
        <v>0.41013000000000005</v>
      </c>
      <c r="AN109" s="288">
        <f t="shared" si="43"/>
        <v>0.41013000000000005</v>
      </c>
      <c r="AO109" s="288">
        <f t="shared" si="43"/>
        <v>0.41013000000000005</v>
      </c>
      <c r="AP109" s="288">
        <f t="shared" si="43"/>
        <v>0.41013000000000005</v>
      </c>
      <c r="AT109" s="276"/>
      <c r="AU109" s="276"/>
      <c r="AV109" s="276"/>
      <c r="AW109" s="276"/>
      <c r="AX109" s="276"/>
      <c r="AY109" s="276"/>
      <c r="AZ109" s="276"/>
      <c r="BA109" s="276"/>
      <c r="BB109" s="276"/>
      <c r="BC109" s="276"/>
      <c r="BD109" s="276"/>
      <c r="BE109" s="276"/>
      <c r="BF109" s="276"/>
      <c r="BG109" s="276"/>
    </row>
    <row r="110" spans="1:71" ht="12.75" hidden="1" x14ac:dyDescent="0.2">
      <c r="A110" s="289" t="s">
        <v>572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574</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575</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05" t="s">
        <v>576</v>
      </c>
      <c r="C116" s="406"/>
      <c r="D116" s="405" t="s">
        <v>577</v>
      </c>
      <c r="E116" s="406"/>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578</v>
      </c>
      <c r="B117" s="295">
        <v>0</v>
      </c>
      <c r="C117" s="286" t="s">
        <v>579</v>
      </c>
      <c r="D117" s="295">
        <v>4</v>
      </c>
      <c r="E117" s="286" t="s">
        <v>579</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578</v>
      </c>
      <c r="B118" s="286">
        <f>$B$110*B117</f>
        <v>0</v>
      </c>
      <c r="C118" s="286" t="s">
        <v>126</v>
      </c>
      <c r="D118" s="286">
        <f>$B$110*D117</f>
        <v>3.72</v>
      </c>
      <c r="E118" s="286" t="s">
        <v>126</v>
      </c>
      <c r="F118" s="289" t="s">
        <v>580</v>
      </c>
      <c r="G118" s="286">
        <v>1.26</v>
      </c>
      <c r="H118" s="286" t="s">
        <v>579</v>
      </c>
      <c r="I118" s="286">
        <f>$B$110*G118</f>
        <v>1.1718000000000002</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581</v>
      </c>
      <c r="G119" s="323">
        <f>I119/$B$110</f>
        <v>0</v>
      </c>
      <c r="H119" s="286" t="s">
        <v>579</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582</v>
      </c>
      <c r="G120" s="286">
        <f>G118</f>
        <v>1.26</v>
      </c>
      <c r="H120" s="286" t="s">
        <v>579</v>
      </c>
      <c r="I120" s="291">
        <f>I118</f>
        <v>1.1718000000000002</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583</v>
      </c>
      <c r="B122" s="332">
        <f>'6.2. Паспорт фин осв ввод'!F27</f>
        <v>0</v>
      </c>
      <c r="C122" s="191"/>
      <c r="D122" s="394" t="s">
        <v>284</v>
      </c>
      <c r="E122" s="301" t="s">
        <v>584</v>
      </c>
      <c r="F122" s="302">
        <v>35</v>
      </c>
      <c r="G122" s="395"/>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300" t="s">
        <v>284</v>
      </c>
      <c r="B123" s="303">
        <v>30</v>
      </c>
      <c r="C123" s="191"/>
      <c r="D123" s="394"/>
      <c r="E123" s="301" t="s">
        <v>585</v>
      </c>
      <c r="F123" s="302">
        <v>30</v>
      </c>
      <c r="G123" s="395"/>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300" t="s">
        <v>586</v>
      </c>
      <c r="B124" s="303" t="s">
        <v>542</v>
      </c>
      <c r="C124" s="304" t="s">
        <v>587</v>
      </c>
      <c r="D124" s="394"/>
      <c r="E124" s="301" t="s">
        <v>588</v>
      </c>
      <c r="F124" s="302">
        <v>30</v>
      </c>
      <c r="G124" s="395"/>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5"/>
      <c r="B125" s="306"/>
      <c r="C125" s="304"/>
      <c r="D125" s="394"/>
      <c r="E125" s="301" t="s">
        <v>589</v>
      </c>
      <c r="F125" s="302">
        <v>30</v>
      </c>
      <c r="G125" s="395"/>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300" t="s">
        <v>590</v>
      </c>
      <c r="B126" s="307">
        <f>C126+D126</f>
        <v>73608676.105260193</v>
      </c>
      <c r="C126" s="307">
        <f>'6.2. Паспорт фин осв ввод'!D24*1000000</f>
        <v>73608676.105260193</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300" t="s">
        <v>591</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300" t="s">
        <v>592</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2" t="s">
        <v>622</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300" t="s">
        <v>593</v>
      </c>
      <c r="C134" s="191" t="s">
        <v>623</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300"/>
      <c r="B135" s="314">
        <v>2016</v>
      </c>
      <c r="C135" s="314">
        <f>B135+1</f>
        <v>2017</v>
      </c>
      <c r="D135" s="314">
        <f t="shared" ref="D135:AY135" si="44">C135+1</f>
        <v>2018</v>
      </c>
      <c r="E135" s="314">
        <f t="shared" si="44"/>
        <v>2019</v>
      </c>
      <c r="F135" s="314">
        <f t="shared" si="44"/>
        <v>2020</v>
      </c>
      <c r="G135" s="314">
        <f t="shared" si="44"/>
        <v>2021</v>
      </c>
      <c r="H135" s="314">
        <f t="shared" si="44"/>
        <v>2022</v>
      </c>
      <c r="I135" s="314">
        <f t="shared" si="44"/>
        <v>2023</v>
      </c>
      <c r="J135" s="314">
        <f t="shared" si="44"/>
        <v>2024</v>
      </c>
      <c r="K135" s="314">
        <f t="shared" si="44"/>
        <v>2025</v>
      </c>
      <c r="L135" s="314">
        <f t="shared" si="44"/>
        <v>2026</v>
      </c>
      <c r="M135" s="314">
        <f t="shared" si="44"/>
        <v>2027</v>
      </c>
      <c r="N135" s="314">
        <f t="shared" si="44"/>
        <v>2028</v>
      </c>
      <c r="O135" s="314">
        <f t="shared" si="44"/>
        <v>2029</v>
      </c>
      <c r="P135" s="314">
        <f t="shared" si="44"/>
        <v>2030</v>
      </c>
      <c r="Q135" s="314">
        <f t="shared" si="44"/>
        <v>2031</v>
      </c>
      <c r="R135" s="314">
        <f t="shared" si="44"/>
        <v>2032</v>
      </c>
      <c r="S135" s="314">
        <f t="shared" si="44"/>
        <v>2033</v>
      </c>
      <c r="T135" s="314">
        <f t="shared" si="44"/>
        <v>2034</v>
      </c>
      <c r="U135" s="314">
        <f t="shared" si="44"/>
        <v>2035</v>
      </c>
      <c r="V135" s="314">
        <f t="shared" si="44"/>
        <v>2036</v>
      </c>
      <c r="W135" s="314">
        <f t="shared" si="44"/>
        <v>2037</v>
      </c>
      <c r="X135" s="314">
        <f t="shared" si="44"/>
        <v>2038</v>
      </c>
      <c r="Y135" s="314">
        <f t="shared" si="44"/>
        <v>2039</v>
      </c>
      <c r="Z135" s="314">
        <f t="shared" si="44"/>
        <v>2040</v>
      </c>
      <c r="AA135" s="314">
        <f t="shared" si="44"/>
        <v>2041</v>
      </c>
      <c r="AB135" s="314">
        <f t="shared" si="44"/>
        <v>2042</v>
      </c>
      <c r="AC135" s="314">
        <f t="shared" si="44"/>
        <v>2043</v>
      </c>
      <c r="AD135" s="314">
        <f t="shared" si="44"/>
        <v>2044</v>
      </c>
      <c r="AE135" s="314">
        <f t="shared" si="44"/>
        <v>2045</v>
      </c>
      <c r="AF135" s="314">
        <f t="shared" si="44"/>
        <v>2046</v>
      </c>
      <c r="AG135" s="314">
        <f t="shared" si="44"/>
        <v>2047</v>
      </c>
      <c r="AH135" s="314">
        <f t="shared" si="44"/>
        <v>2048</v>
      </c>
      <c r="AI135" s="314">
        <f t="shared" si="44"/>
        <v>2049</v>
      </c>
      <c r="AJ135" s="314">
        <f t="shared" si="44"/>
        <v>2050</v>
      </c>
      <c r="AK135" s="314">
        <f t="shared" si="44"/>
        <v>2051</v>
      </c>
      <c r="AL135" s="314">
        <f t="shared" si="44"/>
        <v>2052</v>
      </c>
      <c r="AM135" s="314">
        <f t="shared" si="44"/>
        <v>2053</v>
      </c>
      <c r="AN135" s="314">
        <f t="shared" si="44"/>
        <v>2054</v>
      </c>
      <c r="AO135" s="314">
        <f t="shared" si="44"/>
        <v>2055</v>
      </c>
      <c r="AP135" s="314">
        <f t="shared" si="44"/>
        <v>2056</v>
      </c>
      <c r="AQ135" s="314">
        <f t="shared" si="44"/>
        <v>2057</v>
      </c>
      <c r="AR135" s="314">
        <f t="shared" si="44"/>
        <v>2058</v>
      </c>
      <c r="AS135" s="314">
        <f t="shared" si="44"/>
        <v>2059</v>
      </c>
      <c r="AT135" s="314">
        <f t="shared" si="44"/>
        <v>2060</v>
      </c>
      <c r="AU135" s="314">
        <f t="shared" si="44"/>
        <v>2061</v>
      </c>
      <c r="AV135" s="314">
        <f t="shared" si="44"/>
        <v>2062</v>
      </c>
      <c r="AW135" s="314">
        <f t="shared" si="44"/>
        <v>2063</v>
      </c>
      <c r="AX135" s="314">
        <f t="shared" si="44"/>
        <v>2064</v>
      </c>
      <c r="AY135" s="314">
        <f t="shared" si="44"/>
        <v>2065</v>
      </c>
    </row>
    <row r="136" spans="1:51" ht="12.75" hidden="1" x14ac:dyDescent="0.2">
      <c r="A136" s="300" t="s">
        <v>594</v>
      </c>
      <c r="B136" s="315"/>
      <c r="C136" s="316"/>
      <c r="D136" s="316">
        <v>4.5999999999999999E-2</v>
      </c>
      <c r="E136" s="316">
        <v>4.3999999999999997E-2</v>
      </c>
      <c r="F136" s="316">
        <v>5.6000000000000001E-2</v>
      </c>
      <c r="G136" s="316">
        <v>5.3999999999999999E-2</v>
      </c>
      <c r="H136" s="316">
        <v>5.0999999999999997E-2</v>
      </c>
      <c r="I136" s="316">
        <v>4.9000000000000002E-2</v>
      </c>
      <c r="J136" s="316">
        <v>4.7E-2</v>
      </c>
      <c r="K136" s="316">
        <v>4.7E-2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5">AI136</f>
        <v>4.7E-2</v>
      </c>
      <c r="AK136" s="316">
        <f t="shared" si="45"/>
        <v>4.7E-2</v>
      </c>
      <c r="AL136" s="316">
        <f t="shared" si="45"/>
        <v>4.7E-2</v>
      </c>
      <c r="AM136" s="316">
        <f t="shared" si="45"/>
        <v>4.7E-2</v>
      </c>
      <c r="AN136" s="316">
        <f t="shared" si="45"/>
        <v>4.7E-2</v>
      </c>
      <c r="AO136" s="316">
        <f t="shared" si="45"/>
        <v>4.7E-2</v>
      </c>
      <c r="AP136" s="316">
        <f t="shared" si="45"/>
        <v>4.7E-2</v>
      </c>
      <c r="AQ136" s="316">
        <f t="shared" si="45"/>
        <v>4.7E-2</v>
      </c>
      <c r="AR136" s="316">
        <f t="shared" si="45"/>
        <v>4.7E-2</v>
      </c>
      <c r="AS136" s="316">
        <f t="shared" si="45"/>
        <v>4.7E-2</v>
      </c>
      <c r="AT136" s="316">
        <f t="shared" si="45"/>
        <v>4.7E-2</v>
      </c>
      <c r="AU136" s="316">
        <f t="shared" si="45"/>
        <v>4.7E-2</v>
      </c>
      <c r="AV136" s="316">
        <f t="shared" si="45"/>
        <v>4.7E-2</v>
      </c>
      <c r="AW136" s="316">
        <f t="shared" si="45"/>
        <v>4.7E-2</v>
      </c>
      <c r="AX136" s="316">
        <f t="shared" si="45"/>
        <v>4.7E-2</v>
      </c>
      <c r="AY136" s="316">
        <f t="shared" si="45"/>
        <v>4.7E-2</v>
      </c>
    </row>
    <row r="137" spans="1:51" ht="15" hidden="1" x14ac:dyDescent="0.2">
      <c r="A137" s="300" t="s">
        <v>595</v>
      </c>
      <c r="B137" s="317"/>
      <c r="C137" s="318">
        <f>(1+B137)*(1+C136)-1</f>
        <v>0</v>
      </c>
      <c r="D137" s="318">
        <f>(1+C137)*(1+D136)-1</f>
        <v>4.6000000000000041E-2</v>
      </c>
      <c r="E137" s="318">
        <f>(1+D137)*(1+E136)-1</f>
        <v>9.2024000000000106E-2</v>
      </c>
      <c r="F137" s="318">
        <f t="shared" ref="F137:AY137" si="46">(1+E137)*(1+F136)-1</f>
        <v>0.15317734400000016</v>
      </c>
      <c r="G137" s="318">
        <f>(1+F137)*(1+G136)-1</f>
        <v>0.21544892057600018</v>
      </c>
      <c r="H137" s="318">
        <f t="shared" si="46"/>
        <v>0.27743681552537613</v>
      </c>
      <c r="I137" s="318">
        <f t="shared" si="46"/>
        <v>0.34003121948611947</v>
      </c>
      <c r="J137" s="318">
        <f t="shared" si="46"/>
        <v>0.403012686801967</v>
      </c>
      <c r="K137" s="318">
        <f t="shared" si="46"/>
        <v>0.46895428308165932</v>
      </c>
      <c r="L137" s="318">
        <f t="shared" si="46"/>
        <v>0.53799513438649726</v>
      </c>
      <c r="M137" s="318">
        <f t="shared" si="46"/>
        <v>0.61028090570266258</v>
      </c>
      <c r="N137" s="318">
        <f t="shared" si="46"/>
        <v>0.68596410827068754</v>
      </c>
      <c r="O137" s="318">
        <f t="shared" si="46"/>
        <v>0.7652044213594098</v>
      </c>
      <c r="P137" s="318">
        <f t="shared" si="46"/>
        <v>0.84816902916330195</v>
      </c>
      <c r="Q137" s="318">
        <f t="shared" si="46"/>
        <v>0.93503297353397707</v>
      </c>
      <c r="R137" s="318">
        <f t="shared" si="46"/>
        <v>1.0259795232900739</v>
      </c>
      <c r="S137" s="318">
        <f t="shared" si="46"/>
        <v>1.1212005608847071</v>
      </c>
      <c r="T137" s="318">
        <f t="shared" si="46"/>
        <v>1.220896987246288</v>
      </c>
      <c r="U137" s="318">
        <f t="shared" si="46"/>
        <v>1.3252791456468636</v>
      </c>
      <c r="V137" s="318">
        <f t="shared" si="46"/>
        <v>1.4345672654922659</v>
      </c>
      <c r="W137" s="318">
        <f t="shared" si="46"/>
        <v>1.5489919269704022</v>
      </c>
      <c r="X137" s="318">
        <f t="shared" si="46"/>
        <v>1.668794547538011</v>
      </c>
      <c r="Y137" s="318">
        <f t="shared" si="46"/>
        <v>1.7942278912722975</v>
      </c>
      <c r="Z137" s="318">
        <f t="shared" si="46"/>
        <v>1.9255566021620951</v>
      </c>
      <c r="AA137" s="318">
        <f t="shared" si="46"/>
        <v>2.0630577624637132</v>
      </c>
      <c r="AB137" s="318">
        <f t="shared" si="46"/>
        <v>2.2070214772995076</v>
      </c>
      <c r="AC137" s="318">
        <f t="shared" si="46"/>
        <v>2.3577514867325844</v>
      </c>
      <c r="AD137" s="318">
        <f t="shared" si="46"/>
        <v>2.5155658066090156</v>
      </c>
      <c r="AE137" s="318">
        <f t="shared" si="46"/>
        <v>2.6807973995196392</v>
      </c>
      <c r="AF137" s="318">
        <f t="shared" si="46"/>
        <v>2.8537948772970618</v>
      </c>
      <c r="AG137" s="318">
        <f t="shared" si="46"/>
        <v>3.0349232365300232</v>
      </c>
      <c r="AH137" s="318">
        <f t="shared" si="46"/>
        <v>3.2245646286469336</v>
      </c>
      <c r="AI137" s="318">
        <f t="shared" si="46"/>
        <v>3.4231191661933389</v>
      </c>
      <c r="AJ137" s="318">
        <f t="shared" si="46"/>
        <v>3.6310057670044253</v>
      </c>
      <c r="AK137" s="318">
        <f t="shared" si="46"/>
        <v>3.8486630380536333</v>
      </c>
      <c r="AL137" s="318">
        <f t="shared" si="46"/>
        <v>4.0765502008421537</v>
      </c>
      <c r="AM137" s="318">
        <f t="shared" si="46"/>
        <v>4.3151480602817349</v>
      </c>
      <c r="AN137" s="318">
        <f t="shared" si="46"/>
        <v>4.5649600191149764</v>
      </c>
      <c r="AO137" s="318">
        <f t="shared" si="46"/>
        <v>4.8265131400133798</v>
      </c>
      <c r="AP137" s="318">
        <f t="shared" si="46"/>
        <v>5.1003592575940084</v>
      </c>
      <c r="AQ137" s="318">
        <f t="shared" si="46"/>
        <v>5.3870761427009262</v>
      </c>
      <c r="AR137" s="318">
        <f t="shared" si="46"/>
        <v>5.687268721407869</v>
      </c>
      <c r="AS137" s="318">
        <f t="shared" si="46"/>
        <v>6.0015703513140384</v>
      </c>
      <c r="AT137" s="318">
        <f t="shared" si="46"/>
        <v>6.3306441578257973</v>
      </c>
      <c r="AU137" s="318">
        <f t="shared" si="46"/>
        <v>6.6751844332436097</v>
      </c>
      <c r="AV137" s="318">
        <f t="shared" si="46"/>
        <v>7.0359181016060592</v>
      </c>
      <c r="AW137" s="318">
        <f>(1+AV137)*(1+AW136)-1</f>
        <v>7.4136062523815429</v>
      </c>
      <c r="AX137" s="318">
        <f t="shared" si="46"/>
        <v>7.8090457462434753</v>
      </c>
      <c r="AY137" s="318">
        <f t="shared" si="46"/>
        <v>8.2230708963169175</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hidden="1" x14ac:dyDescent="0.2">
      <c r="A139" s="299"/>
      <c r="B139" s="315">
        <v>2016</v>
      </c>
      <c r="C139" s="315">
        <f>B139+1</f>
        <v>2017</v>
      </c>
      <c r="D139" s="315">
        <f t="shared" ref="D139:S140" si="47">C139+1</f>
        <v>2018</v>
      </c>
      <c r="E139" s="315">
        <f t="shared" si="47"/>
        <v>2019</v>
      </c>
      <c r="F139" s="315">
        <f t="shared" si="47"/>
        <v>2020</v>
      </c>
      <c r="G139" s="315">
        <f t="shared" si="47"/>
        <v>2021</v>
      </c>
      <c r="H139" s="315">
        <f t="shared" si="47"/>
        <v>2022</v>
      </c>
      <c r="I139" s="315">
        <f t="shared" si="47"/>
        <v>2023</v>
      </c>
      <c r="J139" s="315">
        <f t="shared" si="47"/>
        <v>2024</v>
      </c>
      <c r="K139" s="315">
        <f t="shared" si="47"/>
        <v>2025</v>
      </c>
      <c r="L139" s="315">
        <f t="shared" si="47"/>
        <v>2026</v>
      </c>
      <c r="M139" s="315">
        <f t="shared" si="47"/>
        <v>2027</v>
      </c>
      <c r="N139" s="315">
        <f t="shared" si="47"/>
        <v>2028</v>
      </c>
      <c r="O139" s="315">
        <f t="shared" si="47"/>
        <v>2029</v>
      </c>
      <c r="P139" s="315">
        <f t="shared" si="47"/>
        <v>2030</v>
      </c>
      <c r="Q139" s="315">
        <f t="shared" si="47"/>
        <v>2031</v>
      </c>
      <c r="R139" s="315">
        <f t="shared" si="47"/>
        <v>2032</v>
      </c>
      <c r="S139" s="315">
        <f t="shared" si="47"/>
        <v>2033</v>
      </c>
      <c r="T139" s="315">
        <f t="shared" ref="T139:AI140" si="48">S139+1</f>
        <v>2034</v>
      </c>
      <c r="U139" s="315">
        <f t="shared" si="48"/>
        <v>2035</v>
      </c>
      <c r="V139" s="315">
        <f t="shared" si="48"/>
        <v>2036</v>
      </c>
      <c r="W139" s="315">
        <f t="shared" si="48"/>
        <v>2037</v>
      </c>
      <c r="X139" s="315">
        <f t="shared" si="48"/>
        <v>2038</v>
      </c>
      <c r="Y139" s="315">
        <f t="shared" si="48"/>
        <v>2039</v>
      </c>
      <c r="Z139" s="315">
        <f t="shared" si="48"/>
        <v>2040</v>
      </c>
      <c r="AA139" s="315">
        <f t="shared" si="48"/>
        <v>2041</v>
      </c>
      <c r="AB139" s="315">
        <f t="shared" si="48"/>
        <v>2042</v>
      </c>
      <c r="AC139" s="315">
        <f t="shared" si="48"/>
        <v>2043</v>
      </c>
      <c r="AD139" s="315">
        <f t="shared" si="48"/>
        <v>2044</v>
      </c>
      <c r="AE139" s="315">
        <f t="shared" si="48"/>
        <v>2045</v>
      </c>
      <c r="AF139" s="315">
        <f t="shared" si="48"/>
        <v>2046</v>
      </c>
      <c r="AG139" s="315">
        <f t="shared" si="48"/>
        <v>2047</v>
      </c>
      <c r="AH139" s="315">
        <f t="shared" si="48"/>
        <v>2048</v>
      </c>
      <c r="AI139" s="315">
        <f t="shared" si="48"/>
        <v>2049</v>
      </c>
      <c r="AJ139" s="315">
        <f t="shared" ref="AJ139:AY140" si="49">AI139+1</f>
        <v>2050</v>
      </c>
      <c r="AK139" s="315">
        <f t="shared" si="49"/>
        <v>2051</v>
      </c>
      <c r="AL139" s="315">
        <f t="shared" si="49"/>
        <v>2052</v>
      </c>
      <c r="AM139" s="315">
        <f t="shared" si="49"/>
        <v>2053</v>
      </c>
      <c r="AN139" s="315">
        <f t="shared" si="49"/>
        <v>2054</v>
      </c>
      <c r="AO139" s="315">
        <f t="shared" si="49"/>
        <v>2055</v>
      </c>
      <c r="AP139" s="315">
        <f t="shared" si="49"/>
        <v>2056</v>
      </c>
      <c r="AQ139" s="315">
        <f t="shared" si="49"/>
        <v>2057</v>
      </c>
      <c r="AR139" s="315">
        <f t="shared" si="49"/>
        <v>2058</v>
      </c>
      <c r="AS139" s="315">
        <f t="shared" si="49"/>
        <v>2059</v>
      </c>
      <c r="AT139" s="315">
        <f t="shared" si="49"/>
        <v>2060</v>
      </c>
      <c r="AU139" s="315">
        <f t="shared" si="49"/>
        <v>2061</v>
      </c>
      <c r="AV139" s="315">
        <f t="shared" si="49"/>
        <v>2062</v>
      </c>
      <c r="AW139" s="315">
        <f t="shared" si="49"/>
        <v>2063</v>
      </c>
      <c r="AX139" s="315">
        <f t="shared" si="49"/>
        <v>2064</v>
      </c>
      <c r="AY139" s="315">
        <f t="shared" si="49"/>
        <v>2065</v>
      </c>
    </row>
    <row r="140" spans="1:51" hidden="1" x14ac:dyDescent="0.2">
      <c r="A140" s="299"/>
      <c r="B140" s="321">
        <v>0</v>
      </c>
      <c r="C140" s="321">
        <v>0</v>
      </c>
      <c r="D140" s="321">
        <v>0</v>
      </c>
      <c r="E140" s="321">
        <v>0</v>
      </c>
      <c r="F140" s="321">
        <v>0</v>
      </c>
      <c r="G140" s="321">
        <v>1</v>
      </c>
      <c r="H140" s="321">
        <f>G140+1</f>
        <v>2</v>
      </c>
      <c r="I140" s="321">
        <f t="shared" si="47"/>
        <v>3</v>
      </c>
      <c r="J140" s="321">
        <f t="shared" si="47"/>
        <v>4</v>
      </c>
      <c r="K140" s="321">
        <f t="shared" si="47"/>
        <v>5</v>
      </c>
      <c r="L140" s="321">
        <f t="shared" si="47"/>
        <v>6</v>
      </c>
      <c r="M140" s="321">
        <f t="shared" si="47"/>
        <v>7</v>
      </c>
      <c r="N140" s="321">
        <f t="shared" si="47"/>
        <v>8</v>
      </c>
      <c r="O140" s="321">
        <f t="shared" si="47"/>
        <v>9</v>
      </c>
      <c r="P140" s="321">
        <f t="shared" si="47"/>
        <v>10</v>
      </c>
      <c r="Q140" s="321">
        <f t="shared" si="47"/>
        <v>11</v>
      </c>
      <c r="R140" s="321">
        <f t="shared" si="47"/>
        <v>12</v>
      </c>
      <c r="S140" s="321">
        <f t="shared" si="47"/>
        <v>13</v>
      </c>
      <c r="T140" s="321">
        <f t="shared" si="48"/>
        <v>14</v>
      </c>
      <c r="U140" s="321">
        <f t="shared" si="48"/>
        <v>15</v>
      </c>
      <c r="V140" s="321">
        <f t="shared" si="48"/>
        <v>16</v>
      </c>
      <c r="W140" s="321">
        <f t="shared" si="48"/>
        <v>17</v>
      </c>
      <c r="X140" s="321">
        <f t="shared" si="48"/>
        <v>18</v>
      </c>
      <c r="Y140" s="321">
        <f t="shared" si="48"/>
        <v>19</v>
      </c>
      <c r="Z140" s="321">
        <f t="shared" si="48"/>
        <v>20</v>
      </c>
      <c r="AA140" s="321">
        <f t="shared" si="48"/>
        <v>21</v>
      </c>
      <c r="AB140" s="321">
        <f t="shared" si="48"/>
        <v>22</v>
      </c>
      <c r="AC140" s="321">
        <f t="shared" si="48"/>
        <v>23</v>
      </c>
      <c r="AD140" s="321">
        <f t="shared" si="48"/>
        <v>24</v>
      </c>
      <c r="AE140" s="321">
        <f t="shared" si="48"/>
        <v>25</v>
      </c>
      <c r="AF140" s="321">
        <f t="shared" si="48"/>
        <v>26</v>
      </c>
      <c r="AG140" s="321">
        <f t="shared" si="48"/>
        <v>27</v>
      </c>
      <c r="AH140" s="321">
        <f t="shared" si="48"/>
        <v>28</v>
      </c>
      <c r="AI140" s="321">
        <f t="shared" si="48"/>
        <v>29</v>
      </c>
      <c r="AJ140" s="321">
        <f t="shared" si="49"/>
        <v>30</v>
      </c>
      <c r="AK140" s="321">
        <f t="shared" si="49"/>
        <v>31</v>
      </c>
      <c r="AL140" s="321">
        <f t="shared" si="49"/>
        <v>32</v>
      </c>
      <c r="AM140" s="321">
        <f t="shared" si="49"/>
        <v>33</v>
      </c>
      <c r="AN140" s="321">
        <f t="shared" si="49"/>
        <v>34</v>
      </c>
      <c r="AO140" s="321">
        <f t="shared" si="49"/>
        <v>35</v>
      </c>
      <c r="AP140" s="321">
        <f>AO140+1</f>
        <v>36</v>
      </c>
      <c r="AQ140" s="321">
        <f t="shared" si="49"/>
        <v>37</v>
      </c>
      <c r="AR140" s="321">
        <f t="shared" si="49"/>
        <v>38</v>
      </c>
      <c r="AS140" s="321">
        <f t="shared" si="49"/>
        <v>39</v>
      </c>
      <c r="AT140" s="321">
        <f t="shared" si="49"/>
        <v>40</v>
      </c>
      <c r="AU140" s="321">
        <f t="shared" si="49"/>
        <v>41</v>
      </c>
      <c r="AV140" s="321">
        <f t="shared" si="49"/>
        <v>42</v>
      </c>
      <c r="AW140" s="321">
        <f t="shared" si="49"/>
        <v>43</v>
      </c>
      <c r="AX140" s="321">
        <f t="shared" si="49"/>
        <v>44</v>
      </c>
      <c r="AY140" s="321">
        <f t="shared" si="49"/>
        <v>45</v>
      </c>
    </row>
    <row r="141" spans="1:51" ht="15" hidden="1" x14ac:dyDescent="0.2">
      <c r="A141" s="299"/>
      <c r="B141" s="322">
        <f>AVERAGE(A140:B140)</f>
        <v>0</v>
      </c>
      <c r="C141" s="322">
        <f>AVERAGE(B140:C140)</f>
        <v>0</v>
      </c>
      <c r="D141" s="322">
        <f>AVERAGE(C140:D140)</f>
        <v>0</v>
      </c>
      <c r="E141" s="322">
        <f>AVERAGE(D140:E140)</f>
        <v>0</v>
      </c>
      <c r="F141" s="322">
        <f t="shared" ref="F141:AO141" si="50">AVERAGE(E140:F140)</f>
        <v>0</v>
      </c>
      <c r="G141" s="322">
        <f t="shared" si="50"/>
        <v>0.5</v>
      </c>
      <c r="H141" s="322">
        <f>AVERAGE(G140:H140)</f>
        <v>1.5</v>
      </c>
      <c r="I141" s="322">
        <f t="shared" si="50"/>
        <v>2.5</v>
      </c>
      <c r="J141" s="322">
        <f t="shared" si="50"/>
        <v>3.5</v>
      </c>
      <c r="K141" s="322">
        <f t="shared" si="50"/>
        <v>4.5</v>
      </c>
      <c r="L141" s="322">
        <f t="shared" si="50"/>
        <v>5.5</v>
      </c>
      <c r="M141" s="322">
        <f t="shared" si="50"/>
        <v>6.5</v>
      </c>
      <c r="N141" s="322">
        <f t="shared" si="50"/>
        <v>7.5</v>
      </c>
      <c r="O141" s="322">
        <f t="shared" si="50"/>
        <v>8.5</v>
      </c>
      <c r="P141" s="322">
        <f t="shared" si="50"/>
        <v>9.5</v>
      </c>
      <c r="Q141" s="322">
        <f t="shared" si="50"/>
        <v>10.5</v>
      </c>
      <c r="R141" s="322">
        <f t="shared" si="50"/>
        <v>11.5</v>
      </c>
      <c r="S141" s="322">
        <f t="shared" si="50"/>
        <v>12.5</v>
      </c>
      <c r="T141" s="322">
        <f t="shared" si="50"/>
        <v>13.5</v>
      </c>
      <c r="U141" s="322">
        <f t="shared" si="50"/>
        <v>14.5</v>
      </c>
      <c r="V141" s="322">
        <f t="shared" si="50"/>
        <v>15.5</v>
      </c>
      <c r="W141" s="322">
        <f t="shared" si="50"/>
        <v>16.5</v>
      </c>
      <c r="X141" s="322">
        <f t="shared" si="50"/>
        <v>17.5</v>
      </c>
      <c r="Y141" s="322">
        <f t="shared" si="50"/>
        <v>18.5</v>
      </c>
      <c r="Z141" s="322">
        <f t="shared" si="50"/>
        <v>19.5</v>
      </c>
      <c r="AA141" s="322">
        <f t="shared" si="50"/>
        <v>20.5</v>
      </c>
      <c r="AB141" s="322">
        <f t="shared" si="50"/>
        <v>21.5</v>
      </c>
      <c r="AC141" s="322">
        <f t="shared" si="50"/>
        <v>22.5</v>
      </c>
      <c r="AD141" s="322">
        <f t="shared" si="50"/>
        <v>23.5</v>
      </c>
      <c r="AE141" s="322">
        <f t="shared" si="50"/>
        <v>24.5</v>
      </c>
      <c r="AF141" s="322">
        <f t="shared" si="50"/>
        <v>25.5</v>
      </c>
      <c r="AG141" s="322">
        <f t="shared" si="50"/>
        <v>26.5</v>
      </c>
      <c r="AH141" s="322">
        <f t="shared" si="50"/>
        <v>27.5</v>
      </c>
      <c r="AI141" s="322">
        <f t="shared" si="50"/>
        <v>28.5</v>
      </c>
      <c r="AJ141" s="322">
        <f t="shared" si="50"/>
        <v>29.5</v>
      </c>
      <c r="AK141" s="322">
        <f t="shared" si="50"/>
        <v>30.5</v>
      </c>
      <c r="AL141" s="322">
        <f t="shared" si="50"/>
        <v>31.5</v>
      </c>
      <c r="AM141" s="322">
        <f t="shared" si="50"/>
        <v>32.5</v>
      </c>
      <c r="AN141" s="322">
        <f t="shared" si="50"/>
        <v>33.5</v>
      </c>
      <c r="AO141" s="322">
        <f t="shared" si="50"/>
        <v>34.5</v>
      </c>
      <c r="AP141" s="322">
        <f>AVERAGE(AO140:AP140)</f>
        <v>35.5</v>
      </c>
      <c r="AQ141" s="322">
        <f t="shared" ref="AQ141:AY141" si="51">AVERAGE(AP140:AQ140)</f>
        <v>36.5</v>
      </c>
      <c r="AR141" s="322">
        <f t="shared" si="51"/>
        <v>37.5</v>
      </c>
      <c r="AS141" s="322">
        <f t="shared" si="51"/>
        <v>38.5</v>
      </c>
      <c r="AT141" s="322">
        <f t="shared" si="51"/>
        <v>39.5</v>
      </c>
      <c r="AU141" s="322">
        <f t="shared" si="51"/>
        <v>40.5</v>
      </c>
      <c r="AV141" s="322">
        <f t="shared" si="51"/>
        <v>41.5</v>
      </c>
      <c r="AW141" s="322">
        <f t="shared" si="51"/>
        <v>42.5</v>
      </c>
      <c r="AX141" s="322">
        <f t="shared" si="51"/>
        <v>43.5</v>
      </c>
      <c r="AY141" s="322">
        <f t="shared" si="51"/>
        <v>44.5</v>
      </c>
    </row>
    <row r="142" spans="1:51" ht="12.75" hidden="1"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K52" sqref="K52"/>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0" t="str">
        <f>'1. паспорт местоположение'!A5:C5</f>
        <v>Год раскрытия информации: 2023 год</v>
      </c>
      <c r="B5" s="350"/>
      <c r="C5" s="350"/>
      <c r="D5" s="350"/>
      <c r="E5" s="350"/>
      <c r="F5" s="350"/>
      <c r="G5" s="350"/>
      <c r="H5" s="350"/>
      <c r="I5" s="350"/>
      <c r="J5" s="350"/>
      <c r="K5" s="350"/>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7" t="s">
        <v>7</v>
      </c>
      <c r="B7" s="357"/>
      <c r="C7" s="357"/>
      <c r="D7" s="357"/>
      <c r="E7" s="357"/>
      <c r="F7" s="357"/>
      <c r="G7" s="357"/>
      <c r="H7" s="357"/>
      <c r="I7" s="357"/>
      <c r="J7" s="357"/>
      <c r="K7" s="357"/>
    </row>
    <row r="8" spans="1:43" ht="18.75" x14ac:dyDescent="0.25">
      <c r="A8" s="357"/>
      <c r="B8" s="357"/>
      <c r="C8" s="357"/>
      <c r="D8" s="357"/>
      <c r="E8" s="357"/>
      <c r="F8" s="357"/>
      <c r="G8" s="357"/>
      <c r="H8" s="357"/>
      <c r="I8" s="357"/>
      <c r="J8" s="357"/>
      <c r="K8" s="357"/>
    </row>
    <row r="9" spans="1:43" x14ac:dyDescent="0.25">
      <c r="A9" s="355" t="str">
        <f>'1. паспорт местоположение'!A9:C9</f>
        <v xml:space="preserve">Акционерное общество "Западная энергетическая компания" </v>
      </c>
      <c r="B9" s="355"/>
      <c r="C9" s="355"/>
      <c r="D9" s="355"/>
      <c r="E9" s="355"/>
      <c r="F9" s="355"/>
      <c r="G9" s="355"/>
      <c r="H9" s="355"/>
      <c r="I9" s="355"/>
      <c r="J9" s="355"/>
      <c r="K9" s="355"/>
    </row>
    <row r="10" spans="1:43" x14ac:dyDescent="0.25">
      <c r="A10" s="361" t="s">
        <v>6</v>
      </c>
      <c r="B10" s="361"/>
      <c r="C10" s="361"/>
      <c r="D10" s="361"/>
      <c r="E10" s="361"/>
      <c r="F10" s="361"/>
      <c r="G10" s="361"/>
      <c r="H10" s="361"/>
      <c r="I10" s="361"/>
      <c r="J10" s="361"/>
      <c r="K10" s="361"/>
    </row>
    <row r="11" spans="1:43" ht="18.75" x14ac:dyDescent="0.25">
      <c r="A11" s="357"/>
      <c r="B11" s="357"/>
      <c r="C11" s="357"/>
      <c r="D11" s="357"/>
      <c r="E11" s="357"/>
      <c r="F11" s="357"/>
      <c r="G11" s="357"/>
      <c r="H11" s="357"/>
      <c r="I11" s="357"/>
      <c r="J11" s="357"/>
      <c r="K11" s="357"/>
    </row>
    <row r="12" spans="1:43" x14ac:dyDescent="0.25">
      <c r="A12" s="362" t="str">
        <f>'1. паспорт местоположение'!A12:C12</f>
        <v>M_22-21</v>
      </c>
      <c r="B12" s="362"/>
      <c r="C12" s="362"/>
      <c r="D12" s="362"/>
      <c r="E12" s="362"/>
      <c r="F12" s="362"/>
      <c r="G12" s="362"/>
      <c r="H12" s="362"/>
      <c r="I12" s="362"/>
      <c r="J12" s="362"/>
      <c r="K12" s="362"/>
    </row>
    <row r="13" spans="1:43" x14ac:dyDescent="0.25">
      <c r="A13" s="361" t="s">
        <v>5</v>
      </c>
      <c r="B13" s="361"/>
      <c r="C13" s="361"/>
      <c r="D13" s="361"/>
      <c r="E13" s="361"/>
      <c r="F13" s="361"/>
      <c r="G13" s="361"/>
      <c r="H13" s="361"/>
      <c r="I13" s="361"/>
      <c r="J13" s="361"/>
      <c r="K13" s="361"/>
    </row>
    <row r="14" spans="1:43" ht="18.75" x14ac:dyDescent="0.25">
      <c r="A14" s="363"/>
      <c r="B14" s="363"/>
      <c r="C14" s="363"/>
      <c r="D14" s="363"/>
      <c r="E14" s="363"/>
      <c r="F14" s="363"/>
      <c r="G14" s="363"/>
      <c r="H14" s="363"/>
      <c r="I14" s="363"/>
      <c r="J14" s="363"/>
      <c r="K14" s="363"/>
    </row>
    <row r="15" spans="1:43" x14ac:dyDescent="0.25">
      <c r="A15" s="355" t="str">
        <f>'1. паспорт местоположение'!A15:C15</f>
        <v>Электроснабжение объекта "Кампус ФГАЩУ ВО "БФУ им. И. Канта" г.Калининград, ул.Невского 14</v>
      </c>
      <c r="B15" s="355"/>
      <c r="C15" s="355"/>
      <c r="D15" s="355"/>
      <c r="E15" s="355"/>
      <c r="F15" s="355"/>
      <c r="G15" s="355"/>
      <c r="H15" s="355"/>
      <c r="I15" s="355"/>
      <c r="J15" s="355"/>
      <c r="K15" s="355"/>
    </row>
    <row r="16" spans="1:43" x14ac:dyDescent="0.25">
      <c r="A16" s="351" t="s">
        <v>4</v>
      </c>
      <c r="B16" s="351"/>
      <c r="C16" s="351"/>
      <c r="D16" s="351"/>
      <c r="E16" s="351"/>
      <c r="F16" s="351"/>
      <c r="G16" s="351"/>
      <c r="H16" s="351"/>
      <c r="I16" s="351"/>
      <c r="J16" s="351"/>
      <c r="K16" s="351"/>
    </row>
    <row r="17" spans="1:11" ht="15.75" customHeight="1" x14ac:dyDescent="0.25"/>
    <row r="18" spans="1:11" x14ac:dyDescent="0.25">
      <c r="K18" s="24"/>
    </row>
    <row r="19" spans="1:11" ht="15.75" customHeight="1" x14ac:dyDescent="0.25">
      <c r="A19" s="419" t="s">
        <v>392</v>
      </c>
      <c r="B19" s="419"/>
      <c r="C19" s="419"/>
      <c r="D19" s="419"/>
      <c r="E19" s="419"/>
      <c r="F19" s="419"/>
      <c r="G19" s="419"/>
      <c r="H19" s="419"/>
      <c r="I19" s="419"/>
      <c r="J19" s="419"/>
      <c r="K19" s="419"/>
    </row>
    <row r="20" spans="1:11" x14ac:dyDescent="0.25">
      <c r="A20" s="35"/>
      <c r="B20" s="35"/>
    </row>
    <row r="21" spans="1:11" ht="28.5" customHeight="1" x14ac:dyDescent="0.25">
      <c r="A21" s="414" t="s">
        <v>199</v>
      </c>
      <c r="B21" s="414" t="s">
        <v>483</v>
      </c>
      <c r="C21" s="414" t="s">
        <v>351</v>
      </c>
      <c r="D21" s="414"/>
      <c r="E21" s="414"/>
      <c r="F21" s="414"/>
      <c r="G21" s="414"/>
      <c r="H21" s="414"/>
      <c r="I21" s="414" t="s">
        <v>198</v>
      </c>
      <c r="J21" s="415" t="s">
        <v>352</v>
      </c>
      <c r="K21" s="414" t="s">
        <v>197</v>
      </c>
    </row>
    <row r="22" spans="1:11" ht="58.5" customHeight="1" x14ac:dyDescent="0.25">
      <c r="A22" s="414"/>
      <c r="B22" s="414"/>
      <c r="C22" s="418" t="s">
        <v>534</v>
      </c>
      <c r="D22" s="418"/>
      <c r="E22" s="418" t="s">
        <v>9</v>
      </c>
      <c r="F22" s="418"/>
      <c r="G22" s="418" t="s">
        <v>535</v>
      </c>
      <c r="H22" s="418"/>
      <c r="I22" s="414"/>
      <c r="J22" s="416"/>
      <c r="K22" s="414"/>
    </row>
    <row r="23" spans="1:11" ht="31.5" x14ac:dyDescent="0.25">
      <c r="A23" s="414"/>
      <c r="B23" s="414"/>
      <c r="C23" s="156" t="s">
        <v>196</v>
      </c>
      <c r="D23" s="156" t="s">
        <v>195</v>
      </c>
      <c r="E23" s="156" t="s">
        <v>196</v>
      </c>
      <c r="F23" s="156" t="s">
        <v>195</v>
      </c>
      <c r="G23" s="156" t="s">
        <v>196</v>
      </c>
      <c r="H23" s="156" t="s">
        <v>195</v>
      </c>
      <c r="I23" s="414"/>
      <c r="J23" s="417"/>
      <c r="K23" s="414"/>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ht="33.75" customHeight="1" x14ac:dyDescent="0.25">
      <c r="A26" s="156" t="s">
        <v>484</v>
      </c>
      <c r="B26" s="165" t="s">
        <v>485</v>
      </c>
      <c r="C26" s="162" t="s">
        <v>537</v>
      </c>
      <c r="D26" s="162" t="s">
        <v>537</v>
      </c>
      <c r="E26" s="173">
        <v>42859</v>
      </c>
      <c r="F26" s="173">
        <v>42859</v>
      </c>
      <c r="G26" s="162"/>
      <c r="H26" s="162">
        <v>44580</v>
      </c>
      <c r="I26" s="174"/>
      <c r="J26" s="152"/>
      <c r="K26" s="153"/>
    </row>
    <row r="27" spans="1:11" ht="31.5" x14ac:dyDescent="0.25">
      <c r="A27" s="156" t="s">
        <v>486</v>
      </c>
      <c r="B27" s="165" t="s">
        <v>487</v>
      </c>
      <c r="C27" s="162" t="s">
        <v>537</v>
      </c>
      <c r="D27" s="162" t="s">
        <v>537</v>
      </c>
      <c r="E27" s="173">
        <v>42807</v>
      </c>
      <c r="F27" s="173">
        <v>42807</v>
      </c>
      <c r="G27" s="162" t="s">
        <v>435</v>
      </c>
      <c r="H27" s="162" t="s">
        <v>435</v>
      </c>
      <c r="I27" s="174"/>
      <c r="J27" s="152"/>
      <c r="K27" s="153"/>
    </row>
    <row r="28" spans="1:11" ht="63" x14ac:dyDescent="0.25">
      <c r="A28" s="156" t="s">
        <v>489</v>
      </c>
      <c r="B28" s="165" t="s">
        <v>488</v>
      </c>
      <c r="C28" s="162" t="s">
        <v>537</v>
      </c>
      <c r="D28" s="162" t="s">
        <v>537</v>
      </c>
      <c r="E28" s="173" t="s">
        <v>435</v>
      </c>
      <c r="F28" s="173" t="s">
        <v>435</v>
      </c>
      <c r="G28" s="162" t="s">
        <v>435</v>
      </c>
      <c r="H28" s="162" t="s">
        <v>435</v>
      </c>
      <c r="I28" s="174"/>
      <c r="J28" s="152"/>
      <c r="K28" s="153"/>
    </row>
    <row r="29" spans="1:11" ht="31.5" x14ac:dyDescent="0.25">
      <c r="A29" s="156" t="s">
        <v>491</v>
      </c>
      <c r="B29" s="165" t="s">
        <v>490</v>
      </c>
      <c r="C29" s="162" t="s">
        <v>537</v>
      </c>
      <c r="D29" s="162" t="s">
        <v>537</v>
      </c>
      <c r="E29" s="173" t="s">
        <v>435</v>
      </c>
      <c r="F29" s="173" t="s">
        <v>435</v>
      </c>
      <c r="G29" s="162" t="s">
        <v>435</v>
      </c>
      <c r="H29" s="162" t="s">
        <v>435</v>
      </c>
      <c r="I29" s="174"/>
      <c r="J29" s="152"/>
      <c r="K29" s="153"/>
    </row>
    <row r="30" spans="1:11" ht="31.5" x14ac:dyDescent="0.25">
      <c r="A30" s="156" t="s">
        <v>493</v>
      </c>
      <c r="B30" s="165" t="s">
        <v>492</v>
      </c>
      <c r="C30" s="162" t="s">
        <v>537</v>
      </c>
      <c r="D30" s="162" t="s">
        <v>537</v>
      </c>
      <c r="E30" s="173" t="s">
        <v>435</v>
      </c>
      <c r="F30" s="173" t="s">
        <v>435</v>
      </c>
      <c r="G30" s="162" t="s">
        <v>435</v>
      </c>
      <c r="H30" s="162" t="s">
        <v>435</v>
      </c>
      <c r="I30" s="174"/>
      <c r="J30" s="152"/>
      <c r="K30" s="153"/>
    </row>
    <row r="31" spans="1:11" ht="31.5" x14ac:dyDescent="0.25">
      <c r="A31" s="156" t="s">
        <v>495</v>
      </c>
      <c r="B31" s="165" t="s">
        <v>494</v>
      </c>
      <c r="C31" s="162" t="s">
        <v>537</v>
      </c>
      <c r="D31" s="162" t="s">
        <v>537</v>
      </c>
      <c r="E31" s="173">
        <v>41806</v>
      </c>
      <c r="F31" s="173">
        <v>41806</v>
      </c>
      <c r="G31" s="162" t="s">
        <v>435</v>
      </c>
      <c r="H31" s="162" t="s">
        <v>435</v>
      </c>
      <c r="I31" s="174"/>
      <c r="J31" s="152"/>
      <c r="K31" s="153"/>
    </row>
    <row r="32" spans="1:11" ht="31.5" x14ac:dyDescent="0.25">
      <c r="A32" s="156" t="s">
        <v>497</v>
      </c>
      <c r="B32" s="165" t="s">
        <v>496</v>
      </c>
      <c r="C32" s="162" t="s">
        <v>537</v>
      </c>
      <c r="D32" s="162" t="s">
        <v>537</v>
      </c>
      <c r="E32" s="173">
        <v>42597</v>
      </c>
      <c r="F32" s="173">
        <v>42597</v>
      </c>
      <c r="G32" s="162" t="s">
        <v>435</v>
      </c>
      <c r="H32" s="162" t="s">
        <v>435</v>
      </c>
      <c r="I32" s="174"/>
      <c r="J32" s="152"/>
      <c r="K32" s="153"/>
    </row>
    <row r="33" spans="1:11" ht="47.25" x14ac:dyDescent="0.25">
      <c r="A33" s="156" t="s">
        <v>499</v>
      </c>
      <c r="B33" s="165" t="s">
        <v>498</v>
      </c>
      <c r="C33" s="162" t="s">
        <v>537</v>
      </c>
      <c r="D33" s="162" t="s">
        <v>537</v>
      </c>
      <c r="E33" s="173">
        <v>42720</v>
      </c>
      <c r="F33" s="173">
        <v>42720</v>
      </c>
      <c r="G33" s="162" t="s">
        <v>435</v>
      </c>
      <c r="H33" s="162" t="s">
        <v>435</v>
      </c>
      <c r="I33" s="174"/>
      <c r="J33" s="152"/>
      <c r="K33" s="153"/>
    </row>
    <row r="34" spans="1:11" ht="63" x14ac:dyDescent="0.25">
      <c r="A34" s="156" t="s">
        <v>501</v>
      </c>
      <c r="B34" s="165" t="s">
        <v>500</v>
      </c>
      <c r="C34" s="162" t="s">
        <v>537</v>
      </c>
      <c r="D34" s="162" t="s">
        <v>537</v>
      </c>
      <c r="E34" s="173" t="s">
        <v>435</v>
      </c>
      <c r="F34" s="173" t="s">
        <v>435</v>
      </c>
      <c r="G34" s="162" t="s">
        <v>435</v>
      </c>
      <c r="H34" s="162" t="s">
        <v>435</v>
      </c>
      <c r="I34" s="174"/>
      <c r="J34" s="154"/>
      <c r="K34" s="154"/>
    </row>
    <row r="35" spans="1:11" ht="31.5" x14ac:dyDescent="0.25">
      <c r="A35" s="156" t="s">
        <v>502</v>
      </c>
      <c r="B35" s="165" t="s">
        <v>193</v>
      </c>
      <c r="C35" s="162" t="s">
        <v>537</v>
      </c>
      <c r="D35" s="162" t="s">
        <v>537</v>
      </c>
      <c r="E35" s="173">
        <v>42731</v>
      </c>
      <c r="F35" s="173">
        <v>42731</v>
      </c>
      <c r="G35" s="162">
        <v>44580</v>
      </c>
      <c r="H35" s="162">
        <v>44611</v>
      </c>
      <c r="I35" s="174"/>
      <c r="J35" s="154"/>
      <c r="K35" s="154"/>
    </row>
    <row r="36" spans="1:11" ht="31.5" x14ac:dyDescent="0.25">
      <c r="A36" s="156" t="s">
        <v>504</v>
      </c>
      <c r="B36" s="165" t="s">
        <v>503</v>
      </c>
      <c r="C36" s="162" t="s">
        <v>537</v>
      </c>
      <c r="D36" s="162" t="s">
        <v>537</v>
      </c>
      <c r="E36" s="173">
        <v>42993</v>
      </c>
      <c r="F36" s="173">
        <v>42993</v>
      </c>
      <c r="G36" s="162" t="s">
        <v>435</v>
      </c>
      <c r="H36" s="162" t="s">
        <v>435</v>
      </c>
      <c r="I36" s="174"/>
      <c r="J36" s="164"/>
      <c r="K36" s="153"/>
    </row>
    <row r="37" spans="1:11" x14ac:dyDescent="0.25">
      <c r="A37" s="156" t="s">
        <v>505</v>
      </c>
      <c r="B37" s="165" t="s">
        <v>192</v>
      </c>
      <c r="C37" s="162" t="s">
        <v>537</v>
      </c>
      <c r="D37" s="162" t="s">
        <v>537</v>
      </c>
      <c r="E37" s="173">
        <v>43054</v>
      </c>
      <c r="F37" s="173">
        <v>43305</v>
      </c>
      <c r="G37" s="162" t="s">
        <v>435</v>
      </c>
      <c r="H37" s="162" t="s">
        <v>435</v>
      </c>
      <c r="I37" s="174"/>
      <c r="J37" s="155"/>
      <c r="K37" s="153"/>
    </row>
    <row r="38" spans="1:11" x14ac:dyDescent="0.25">
      <c r="A38" s="163" t="s">
        <v>506</v>
      </c>
      <c r="B38" s="166" t="s">
        <v>191</v>
      </c>
      <c r="C38" s="162" t="s">
        <v>537</v>
      </c>
      <c r="D38" s="162" t="s">
        <v>537</v>
      </c>
      <c r="E38" s="173"/>
      <c r="F38" s="173"/>
      <c r="G38" s="162"/>
      <c r="H38" s="162"/>
      <c r="I38" s="174"/>
      <c r="J38" s="153"/>
      <c r="K38" s="153"/>
    </row>
    <row r="39" spans="1:11" ht="63" x14ac:dyDescent="0.25">
      <c r="A39" s="156" t="s">
        <v>508</v>
      </c>
      <c r="B39" s="165" t="s">
        <v>507</v>
      </c>
      <c r="C39" s="162" t="s">
        <v>537</v>
      </c>
      <c r="D39" s="162" t="s">
        <v>537</v>
      </c>
      <c r="E39" s="173">
        <v>42843</v>
      </c>
      <c r="F39" s="173">
        <v>42843</v>
      </c>
      <c r="G39" s="162">
        <v>44611</v>
      </c>
      <c r="H39" s="162">
        <v>44611</v>
      </c>
      <c r="I39" s="174"/>
      <c r="J39" s="153"/>
      <c r="K39" s="153"/>
    </row>
    <row r="40" spans="1:11" x14ac:dyDescent="0.25">
      <c r="A40" s="156" t="s">
        <v>510</v>
      </c>
      <c r="B40" s="165" t="s">
        <v>509</v>
      </c>
      <c r="C40" s="162" t="s">
        <v>537</v>
      </c>
      <c r="D40" s="162" t="s">
        <v>537</v>
      </c>
      <c r="E40" s="173">
        <v>43038</v>
      </c>
      <c r="F40" s="173">
        <v>43038</v>
      </c>
      <c r="G40" s="162">
        <v>44611</v>
      </c>
      <c r="H40" s="162">
        <v>44681</v>
      </c>
      <c r="I40" s="174"/>
      <c r="J40" s="153"/>
      <c r="K40" s="153"/>
    </row>
    <row r="41" spans="1:11" ht="47.25" x14ac:dyDescent="0.25">
      <c r="A41" s="156" t="s">
        <v>512</v>
      </c>
      <c r="B41" s="166" t="s">
        <v>511</v>
      </c>
      <c r="C41" s="162" t="s">
        <v>537</v>
      </c>
      <c r="D41" s="162" t="s">
        <v>537</v>
      </c>
      <c r="E41" s="173"/>
      <c r="F41" s="173"/>
      <c r="G41" s="162"/>
      <c r="H41" s="162"/>
      <c r="I41" s="174"/>
      <c r="J41" s="153"/>
      <c r="K41" s="153"/>
    </row>
    <row r="42" spans="1:11" ht="31.5" x14ac:dyDescent="0.25">
      <c r="A42" s="156" t="s">
        <v>514</v>
      </c>
      <c r="B42" s="165" t="s">
        <v>513</v>
      </c>
      <c r="C42" s="162" t="s">
        <v>537</v>
      </c>
      <c r="D42" s="162" t="s">
        <v>537</v>
      </c>
      <c r="E42" s="173">
        <v>43070</v>
      </c>
      <c r="F42" s="173">
        <v>43097</v>
      </c>
      <c r="G42" s="162" t="s">
        <v>435</v>
      </c>
      <c r="H42" s="162" t="s">
        <v>435</v>
      </c>
      <c r="I42" s="174"/>
      <c r="J42" s="153"/>
      <c r="K42" s="153"/>
    </row>
    <row r="43" spans="1:11" x14ac:dyDescent="0.25">
      <c r="A43" s="156" t="s">
        <v>515</v>
      </c>
      <c r="B43" s="165" t="s">
        <v>190</v>
      </c>
      <c r="C43" s="185" t="s">
        <v>537</v>
      </c>
      <c r="D43" s="185" t="s">
        <v>537</v>
      </c>
      <c r="E43" s="173">
        <v>43054</v>
      </c>
      <c r="F43" s="173">
        <v>43218</v>
      </c>
      <c r="G43" s="162">
        <v>44681</v>
      </c>
      <c r="H43" s="162">
        <v>44681</v>
      </c>
      <c r="I43" s="174"/>
      <c r="J43" s="153"/>
      <c r="K43" s="153"/>
    </row>
    <row r="44" spans="1:11" x14ac:dyDescent="0.25">
      <c r="A44" s="156" t="s">
        <v>516</v>
      </c>
      <c r="B44" s="165" t="s">
        <v>189</v>
      </c>
      <c r="C44" s="185" t="s">
        <v>537</v>
      </c>
      <c r="D44" s="185" t="s">
        <v>537</v>
      </c>
      <c r="E44" s="173">
        <v>43084</v>
      </c>
      <c r="F44" s="173">
        <v>43266</v>
      </c>
      <c r="G44" s="162">
        <v>44681</v>
      </c>
      <c r="H44" s="162">
        <v>44985</v>
      </c>
      <c r="I44" s="174"/>
      <c r="J44" s="153"/>
      <c r="K44" s="153"/>
    </row>
    <row r="45" spans="1:11" ht="78.75" x14ac:dyDescent="0.25">
      <c r="A45" s="156" t="s">
        <v>518</v>
      </c>
      <c r="B45" s="165" t="s">
        <v>517</v>
      </c>
      <c r="C45" s="185" t="s">
        <v>537</v>
      </c>
      <c r="D45" s="185" t="s">
        <v>537</v>
      </c>
      <c r="E45" s="173"/>
      <c r="F45" s="173"/>
      <c r="G45" s="185" t="s">
        <v>435</v>
      </c>
      <c r="H45" s="185" t="s">
        <v>435</v>
      </c>
      <c r="I45" s="174"/>
      <c r="J45" s="153"/>
      <c r="K45" s="153"/>
    </row>
    <row r="46" spans="1:11" ht="157.5" x14ac:dyDescent="0.25">
      <c r="A46" s="156" t="s">
        <v>520</v>
      </c>
      <c r="B46" s="165" t="s">
        <v>519</v>
      </c>
      <c r="C46" s="185" t="s">
        <v>537</v>
      </c>
      <c r="D46" s="185" t="s">
        <v>537</v>
      </c>
      <c r="E46" s="173">
        <v>43319</v>
      </c>
      <c r="F46" s="173">
        <v>43319</v>
      </c>
      <c r="G46" s="185" t="s">
        <v>435</v>
      </c>
      <c r="H46" s="185" t="s">
        <v>435</v>
      </c>
      <c r="I46" s="174"/>
      <c r="J46" s="153"/>
      <c r="K46" s="153"/>
    </row>
    <row r="47" spans="1:11" x14ac:dyDescent="0.25">
      <c r="A47" s="156" t="s">
        <v>530</v>
      </c>
      <c r="B47" s="165" t="s">
        <v>188</v>
      </c>
      <c r="C47" s="186" t="s">
        <v>537</v>
      </c>
      <c r="D47" s="185" t="s">
        <v>537</v>
      </c>
      <c r="E47" s="173">
        <v>43220</v>
      </c>
      <c r="F47" s="173">
        <v>43318</v>
      </c>
      <c r="G47" s="162">
        <v>44985</v>
      </c>
      <c r="H47" s="162">
        <v>45005</v>
      </c>
      <c r="I47" s="174"/>
      <c r="J47" s="153"/>
      <c r="K47" s="153"/>
    </row>
    <row r="48" spans="1:11" ht="31.5" x14ac:dyDescent="0.25">
      <c r="A48" s="156" t="s">
        <v>521</v>
      </c>
      <c r="B48" s="166" t="s">
        <v>187</v>
      </c>
      <c r="C48" s="162" t="s">
        <v>537</v>
      </c>
      <c r="D48" s="162" t="s">
        <v>537</v>
      </c>
      <c r="E48" s="173"/>
      <c r="F48" s="173"/>
      <c r="G48" s="162"/>
      <c r="H48" s="162"/>
      <c r="I48" s="174"/>
      <c r="J48" s="153"/>
      <c r="K48" s="153"/>
    </row>
    <row r="49" spans="1:11" ht="31.5" x14ac:dyDescent="0.25">
      <c r="A49" s="156" t="s">
        <v>531</v>
      </c>
      <c r="B49" s="165" t="s">
        <v>186</v>
      </c>
      <c r="C49" s="162" t="s">
        <v>537</v>
      </c>
      <c r="D49" s="162" t="s">
        <v>537</v>
      </c>
      <c r="E49" s="173">
        <v>43318</v>
      </c>
      <c r="F49" s="173">
        <v>43320</v>
      </c>
      <c r="G49" s="162">
        <v>45005</v>
      </c>
      <c r="H49" s="162">
        <v>45006</v>
      </c>
      <c r="I49" s="174"/>
      <c r="J49" s="153"/>
      <c r="K49" s="153"/>
    </row>
    <row r="50" spans="1:11" ht="78.75" x14ac:dyDescent="0.25">
      <c r="A50" s="163" t="s">
        <v>523</v>
      </c>
      <c r="B50" s="165" t="s">
        <v>522</v>
      </c>
      <c r="C50" s="162" t="s">
        <v>537</v>
      </c>
      <c r="D50" s="162" t="s">
        <v>537</v>
      </c>
      <c r="E50" s="173">
        <v>43343</v>
      </c>
      <c r="F50" s="173">
        <v>43343</v>
      </c>
      <c r="G50" s="162">
        <v>45006</v>
      </c>
      <c r="H50" s="162">
        <v>45007</v>
      </c>
      <c r="I50" s="174"/>
      <c r="J50" s="153"/>
      <c r="K50" s="153"/>
    </row>
    <row r="51" spans="1:11" ht="63" x14ac:dyDescent="0.25">
      <c r="A51" s="156" t="s">
        <v>525</v>
      </c>
      <c r="B51" s="165" t="s">
        <v>524</v>
      </c>
      <c r="C51" s="162" t="s">
        <v>537</v>
      </c>
      <c r="D51" s="162" t="s">
        <v>537</v>
      </c>
      <c r="E51" s="173">
        <v>43343</v>
      </c>
      <c r="F51" s="173">
        <v>43343</v>
      </c>
      <c r="G51" s="162">
        <v>44985</v>
      </c>
      <c r="H51" s="162">
        <v>45007</v>
      </c>
      <c r="I51" s="174"/>
      <c r="J51" s="153"/>
      <c r="K51" s="153"/>
    </row>
    <row r="52" spans="1:11" ht="63" x14ac:dyDescent="0.25">
      <c r="A52" s="156" t="s">
        <v>526</v>
      </c>
      <c r="B52" s="165" t="s">
        <v>185</v>
      </c>
      <c r="C52" s="162" t="s">
        <v>537</v>
      </c>
      <c r="D52" s="162" t="s">
        <v>537</v>
      </c>
      <c r="E52" s="173"/>
      <c r="F52" s="173"/>
      <c r="G52" s="162"/>
      <c r="H52" s="162">
        <v>45015</v>
      </c>
      <c r="I52" s="174"/>
      <c r="J52" s="153"/>
      <c r="K52" s="153"/>
    </row>
    <row r="53" spans="1:11" ht="31.5" x14ac:dyDescent="0.25">
      <c r="A53" s="156" t="s">
        <v>528</v>
      </c>
      <c r="B53" s="165" t="s">
        <v>527</v>
      </c>
      <c r="C53" s="187" t="s">
        <v>537</v>
      </c>
      <c r="D53" s="187" t="s">
        <v>537</v>
      </c>
      <c r="E53" s="173">
        <v>43343</v>
      </c>
      <c r="F53" s="173">
        <v>43343</v>
      </c>
      <c r="G53" s="162">
        <v>45007</v>
      </c>
      <c r="H53" s="162">
        <v>45015</v>
      </c>
      <c r="I53" s="174"/>
      <c r="J53" s="153"/>
      <c r="K53" s="153"/>
    </row>
    <row r="54" spans="1:11" ht="31.5" x14ac:dyDescent="0.25">
      <c r="A54" s="156" t="s">
        <v>532</v>
      </c>
      <c r="B54" s="165" t="s">
        <v>184</v>
      </c>
      <c r="C54" s="187" t="s">
        <v>537</v>
      </c>
      <c r="D54" s="187" t="s">
        <v>537</v>
      </c>
      <c r="E54" s="173">
        <v>43353</v>
      </c>
      <c r="F54" s="173">
        <v>43353</v>
      </c>
      <c r="G54" s="162">
        <v>45015</v>
      </c>
      <c r="H54" s="162">
        <v>45015</v>
      </c>
      <c r="I54" s="174"/>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2023-03-26T14:04:55Z</dcterms:modified>
</cp:coreProperties>
</file>