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обоснование ст-сти\J 19-10 иск\J 19-10 паспорт_карта\"/>
    </mc:Choice>
  </mc:AlternateContent>
  <xr:revisionPtr revIDLastSave="0" documentId="13_ncr:1_{4DBEC10E-0B91-4697-927E-BB86437EFFF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5" i="31" l="1"/>
  <c r="B81" i="3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T80" i="31" s="1"/>
  <c r="S58" i="31"/>
  <c r="R58" i="31"/>
  <c r="R80" i="31" s="1"/>
  <c r="Q58" i="31"/>
  <c r="Q80" i="31" s="1"/>
  <c r="P58" i="31"/>
  <c r="O58" i="31"/>
  <c r="N58" i="31"/>
  <c r="N80" i="31" s="1"/>
  <c r="M58" i="31"/>
  <c r="M80" i="31" s="1"/>
  <c r="L58" i="31"/>
  <c r="L80" i="31" s="1"/>
  <c r="K58" i="31"/>
  <c r="J58" i="31"/>
  <c r="J80" i="31" s="1"/>
  <c r="I58" i="31"/>
  <c r="I80" i="31" s="1"/>
  <c r="H58" i="31"/>
  <c r="H80" i="31" s="1"/>
  <c r="G58" i="31"/>
  <c r="F58" i="31"/>
  <c r="F80" i="31" s="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C76" i="31" l="1"/>
  <c r="C80" i="31"/>
  <c r="C66" i="31"/>
  <c r="C68" i="31" s="1"/>
  <c r="G80" i="31"/>
  <c r="K80" i="31"/>
  <c r="O80" i="31"/>
  <c r="S80" i="31"/>
  <c r="W80" i="31"/>
  <c r="AA80" i="31"/>
  <c r="AE80" i="31"/>
  <c r="P80" i="31"/>
  <c r="C75" i="31" l="1"/>
  <c r="C70" i="31"/>
  <c r="C71" i="31" l="1"/>
  <c r="C72" i="31" s="1"/>
  <c r="AC29" i="29" l="1"/>
  <c r="AC28" i="29"/>
  <c r="AC26" i="29"/>
  <c r="AC25" i="29"/>
  <c r="AB28" i="29"/>
  <c r="AA24" i="29"/>
  <c r="W24" i="29"/>
  <c r="D26" i="5" l="1"/>
  <c r="T30" i="29"/>
  <c r="C34" i="29"/>
  <c r="X34" i="29" s="1"/>
  <c r="AB34" i="29" s="1"/>
  <c r="C33" i="29"/>
  <c r="C32" i="29"/>
  <c r="X32" i="29" s="1"/>
  <c r="AB32" i="29" s="1"/>
  <c r="C31" i="29"/>
  <c r="T31" i="29" s="1"/>
  <c r="T33" i="29" s="1"/>
  <c r="B24" i="31" l="1"/>
  <c r="AB33" i="29"/>
  <c r="C30" i="29"/>
  <c r="P26" i="5" s="1"/>
  <c r="X33" i="29"/>
  <c r="X31" i="29"/>
  <c r="C24" i="29" l="1"/>
  <c r="D67" i="31"/>
  <c r="D65" i="31" s="1"/>
  <c r="D59" i="31" s="1"/>
  <c r="D66" i="31" s="1"/>
  <c r="B28" i="31"/>
  <c r="I60" i="31" s="1"/>
  <c r="B49" i="31"/>
  <c r="B58" i="31" s="1"/>
  <c r="B34" i="31"/>
  <c r="K61" i="31" s="1"/>
  <c r="X30" i="29"/>
  <c r="X24" i="29" l="1"/>
  <c r="AB24" i="29" s="1"/>
  <c r="AB30" i="29"/>
  <c r="B79" i="31"/>
  <c r="B80" i="31"/>
  <c r="B66" i="31"/>
  <c r="B68" i="31" s="1"/>
  <c r="S61" i="31"/>
  <c r="O60" i="31"/>
  <c r="X64" i="29"/>
  <c r="AB64" i="29" s="1"/>
  <c r="X63" i="29"/>
  <c r="X62" i="29"/>
  <c r="X61" i="29"/>
  <c r="AB61" i="29" s="1"/>
  <c r="X60" i="29"/>
  <c r="X59" i="29"/>
  <c r="X42" i="29"/>
  <c r="AB42" i="29" s="1"/>
  <c r="X37" i="29"/>
  <c r="AB37" i="29" s="1"/>
  <c r="U60" i="31" l="1"/>
  <c r="AA61" i="31"/>
  <c r="B75" i="31"/>
  <c r="B70" i="31"/>
  <c r="B71" i="31" s="1"/>
  <c r="C57" i="29"/>
  <c r="X57" i="29" s="1"/>
  <c r="AB57" i="29" s="1"/>
  <c r="C50" i="29"/>
  <c r="B25" i="26"/>
  <c r="B22" i="26"/>
  <c r="P62" i="29"/>
  <c r="P63" i="29"/>
  <c r="P58" i="29"/>
  <c r="P59" i="29"/>
  <c r="P60" i="29"/>
  <c r="C45" i="29"/>
  <c r="G26" i="5" s="1"/>
  <c r="P25" i="29"/>
  <c r="B72" i="31" l="1"/>
  <c r="B78" i="31"/>
  <c r="B83" i="31" s="1"/>
  <c r="C78" i="31"/>
  <c r="X50" i="29"/>
  <c r="AB50" i="29" s="1"/>
  <c r="L26" i="5"/>
  <c r="B24" i="26"/>
  <c r="X45" i="29"/>
  <c r="AB45" i="29" s="1"/>
  <c r="C54" i="29"/>
  <c r="C52" i="29"/>
  <c r="X52" i="29" s="1"/>
  <c r="B27" i="26"/>
  <c r="AB52" i="29" l="1"/>
  <c r="X58" i="29"/>
  <c r="B86" i="31"/>
  <c r="B84" i="31"/>
  <c r="B89" i="31" s="1"/>
  <c r="B88" i="31"/>
  <c r="P54" i="29"/>
  <c r="X54" i="29"/>
  <c r="C27" i="29"/>
  <c r="H58" i="29"/>
  <c r="H59" i="29"/>
  <c r="H60" i="29"/>
  <c r="H62" i="29"/>
  <c r="H63" i="29"/>
  <c r="AB54" i="29" l="1"/>
  <c r="B87" i="31"/>
  <c r="B90" i="31" s="1"/>
  <c r="X27" i="29"/>
  <c r="T27" i="29"/>
  <c r="AB27" i="29" l="1"/>
  <c r="H26" i="29"/>
  <c r="H25" i="29"/>
  <c r="F31" i="29"/>
  <c r="E58" i="29"/>
  <c r="E59" i="29"/>
  <c r="AC59" i="29" s="1"/>
  <c r="E60" i="29"/>
  <c r="AC60" i="29" s="1"/>
  <c r="E61" i="29"/>
  <c r="AC61" i="29" s="1"/>
  <c r="E62" i="29"/>
  <c r="AC62" i="29" s="1"/>
  <c r="E63" i="29"/>
  <c r="AC63" i="29" s="1"/>
  <c r="E64" i="29"/>
  <c r="AC64" i="29" s="1"/>
  <c r="E54" i="29"/>
  <c r="E57" i="29"/>
  <c r="E50" i="29"/>
  <c r="AC50" i="29" s="1"/>
  <c r="E42" i="29"/>
  <c r="AC42" i="29" s="1"/>
  <c r="E45" i="29"/>
  <c r="AC45" i="29" s="1"/>
  <c r="E37" i="29"/>
  <c r="AC37" i="29" s="1"/>
  <c r="E31" i="29"/>
  <c r="E32" i="29"/>
  <c r="AC32" i="29" s="1"/>
  <c r="E33" i="29"/>
  <c r="E34" i="29"/>
  <c r="AC34" i="29" s="1"/>
  <c r="E25" i="29"/>
  <c r="E26" i="29"/>
  <c r="E27" i="29"/>
  <c r="E29" i="29"/>
  <c r="I24" i="29"/>
  <c r="F54" i="29" l="1"/>
  <c r="AC54" i="29"/>
  <c r="G31" i="29"/>
  <c r="G30" i="29" s="1"/>
  <c r="F57" i="29"/>
  <c r="AC57" i="29"/>
  <c r="E30" i="29"/>
  <c r="E52" i="29"/>
  <c r="E28" i="29"/>
  <c r="E24" i="29"/>
  <c r="F24" i="29" s="1"/>
  <c r="F52" i="29" l="1"/>
  <c r="AC30" i="29"/>
  <c r="AC31" i="29"/>
  <c r="AC52" i="29" l="1"/>
  <c r="AC58" i="29"/>
  <c r="AC27" i="29"/>
  <c r="C81" i="31"/>
  <c r="AC24" i="29"/>
  <c r="AC33" i="29"/>
  <c r="B133" i="26"/>
  <c r="C79" i="31" l="1"/>
  <c r="C83" i="31" s="1"/>
  <c r="L30" i="15"/>
  <c r="C86" i="31" l="1"/>
  <c r="C88" i="31"/>
  <c r="C84" i="31"/>
  <c r="C89" i="31" s="1"/>
  <c r="D79" i="31"/>
  <c r="D76" i="31"/>
  <c r="E67" i="31"/>
  <c r="D68"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AB29" i="29" s="1"/>
  <c r="L26" i="29"/>
  <c r="AB26" i="29" s="1"/>
  <c r="L25" i="29"/>
  <c r="AB25" i="29" s="1"/>
  <c r="F64" i="29"/>
  <c r="F58" i="29"/>
  <c r="Y24" i="29"/>
  <c r="U24" i="29"/>
  <c r="Q24" i="29"/>
  <c r="M24" i="29"/>
  <c r="E65" i="31" l="1"/>
  <c r="E59" i="31" s="1"/>
  <c r="E66" i="31" s="1"/>
  <c r="E68" i="31" s="1"/>
  <c r="D70" i="31"/>
  <c r="D71" i="31" s="1"/>
  <c r="D75" i="31"/>
  <c r="E76" i="31"/>
  <c r="F67" i="31"/>
  <c r="C87" i="31"/>
  <c r="C90" i="31" s="1"/>
  <c r="E79" i="31"/>
  <c r="H35" i="29"/>
  <c r="AB35" i="29" s="1"/>
  <c r="X35" i="29"/>
  <c r="E35" i="29"/>
  <c r="X38" i="29"/>
  <c r="P38" i="29"/>
  <c r="H38" i="29"/>
  <c r="E38" i="29"/>
  <c r="X40" i="29"/>
  <c r="P40" i="29"/>
  <c r="H40" i="29"/>
  <c r="E40" i="29"/>
  <c r="X43" i="29"/>
  <c r="P43" i="29"/>
  <c r="H43" i="29"/>
  <c r="E43" i="29"/>
  <c r="AC43" i="29" s="1"/>
  <c r="X55" i="29"/>
  <c r="P55" i="29"/>
  <c r="H55" i="29"/>
  <c r="L55" i="29"/>
  <c r="E55" i="29"/>
  <c r="X36" i="29"/>
  <c r="H36" i="29"/>
  <c r="E36" i="29"/>
  <c r="X39" i="29"/>
  <c r="P39" i="29"/>
  <c r="H39" i="29"/>
  <c r="E39" i="29"/>
  <c r="X41" i="29"/>
  <c r="P41" i="29"/>
  <c r="H41" i="29"/>
  <c r="E41" i="29"/>
  <c r="AC41" i="29" s="1"/>
  <c r="X44" i="29"/>
  <c r="P44" i="29"/>
  <c r="H44" i="29"/>
  <c r="E44" i="29"/>
  <c r="AC44" i="29" s="1"/>
  <c r="X46" i="29"/>
  <c r="P46" i="29"/>
  <c r="H46" i="29"/>
  <c r="E46" i="29"/>
  <c r="X47" i="29"/>
  <c r="P47" i="29"/>
  <c r="H47" i="29"/>
  <c r="E47" i="29"/>
  <c r="X48" i="29"/>
  <c r="P48" i="29"/>
  <c r="H48" i="29"/>
  <c r="E48" i="29"/>
  <c r="X49" i="29"/>
  <c r="P49" i="29"/>
  <c r="H49" i="29"/>
  <c r="E49" i="29"/>
  <c r="X51" i="29"/>
  <c r="P51" i="29"/>
  <c r="H51" i="29"/>
  <c r="E51" i="29"/>
  <c r="X53" i="29"/>
  <c r="P53" i="29"/>
  <c r="H53" i="29"/>
  <c r="L53" i="29"/>
  <c r="E53" i="29"/>
  <c r="X56" i="29"/>
  <c r="P56" i="29"/>
  <c r="H56" i="29"/>
  <c r="L56" i="29"/>
  <c r="E56" i="29"/>
  <c r="B113" i="26"/>
  <c r="F42" i="29"/>
  <c r="F50" i="29"/>
  <c r="F32" i="29"/>
  <c r="F29" i="29"/>
  <c r="F43"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F68" i="31" s="1"/>
  <c r="F56" i="29"/>
  <c r="AC56" i="29"/>
  <c r="E70" i="31"/>
  <c r="E71" i="31" s="1"/>
  <c r="E72" i="31" s="1"/>
  <c r="E75" i="31"/>
  <c r="F53" i="29"/>
  <c r="AC53" i="29"/>
  <c r="F55" i="29"/>
  <c r="AC55" i="29"/>
  <c r="AB56" i="29"/>
  <c r="F51" i="29"/>
  <c r="AC51" i="29"/>
  <c r="F49" i="29"/>
  <c r="AC49" i="29"/>
  <c r="F48" i="29"/>
  <c r="AC48" i="29"/>
  <c r="F47" i="29"/>
  <c r="AC47" i="29"/>
  <c r="F46" i="29"/>
  <c r="AC46" i="29"/>
  <c r="F39" i="29"/>
  <c r="AC39" i="29"/>
  <c r="F36" i="29"/>
  <c r="AC36" i="29"/>
  <c r="F40" i="29"/>
  <c r="AC40" i="29"/>
  <c r="F38" i="29"/>
  <c r="AC38" i="29"/>
  <c r="F35" i="29"/>
  <c r="AC35" i="29"/>
  <c r="G67" i="31"/>
  <c r="F76" i="31"/>
  <c r="D72" i="31"/>
  <c r="D78" i="31"/>
  <c r="D83" i="31" s="1"/>
  <c r="AB53" i="29"/>
  <c r="AB51" i="29"/>
  <c r="AB49" i="29"/>
  <c r="AB48" i="29"/>
  <c r="AB47" i="29"/>
  <c r="AB46" i="29"/>
  <c r="AB44" i="29"/>
  <c r="AB41" i="29"/>
  <c r="AB39" i="29"/>
  <c r="AB36" i="29"/>
  <c r="AB55" i="29"/>
  <c r="AB43" i="29"/>
  <c r="AB40" i="29"/>
  <c r="AB38" i="29"/>
  <c r="F79" i="31"/>
  <c r="G79" i="31" s="1"/>
  <c r="H79" i="31" s="1"/>
  <c r="I79" i="31" s="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28" i="29"/>
  <c r="F33" i="29"/>
  <c r="G65" i="31" l="1"/>
  <c r="G59" i="31" s="1"/>
  <c r="G66" i="31" s="1"/>
  <c r="G68" i="31" s="1"/>
  <c r="D86" i="31"/>
  <c r="D88" i="31"/>
  <c r="D84" i="31"/>
  <c r="D89" i="31" s="1"/>
  <c r="F70" i="31"/>
  <c r="F75" i="31"/>
  <c r="E78" i="31"/>
  <c r="E83" i="31" s="1"/>
  <c r="E86" i="31" s="1"/>
  <c r="G76" i="31"/>
  <c r="H67" i="31"/>
  <c r="P57" i="15"/>
  <c r="P56" i="15"/>
  <c r="P55" i="15"/>
  <c r="P50" i="15"/>
  <c r="P49" i="15"/>
  <c r="P48" i="15"/>
  <c r="P47" i="15"/>
  <c r="P46" i="15"/>
  <c r="P44" i="15"/>
  <c r="P42" i="15"/>
  <c r="P41" i="15"/>
  <c r="P40" i="15"/>
  <c r="P39" i="15"/>
  <c r="P38" i="15"/>
  <c r="H65" i="31" l="1"/>
  <c r="H59" i="31" s="1"/>
  <c r="H66" i="31" s="1"/>
  <c r="H68" i="31" s="1"/>
  <c r="E88" i="31"/>
  <c r="H76" i="31"/>
  <c r="I67" i="31"/>
  <c r="G70" i="31"/>
  <c r="G75" i="31"/>
  <c r="F71" i="31"/>
  <c r="F72" i="31" s="1"/>
  <c r="E84" i="31"/>
  <c r="E89" i="31" s="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90" i="31" l="1"/>
  <c r="I65" i="31"/>
  <c r="I59" i="31" s="1"/>
  <c r="I66" i="31" s="1"/>
  <c r="I68" i="31" s="1"/>
  <c r="F78" i="31"/>
  <c r="F83" i="31" s="1"/>
  <c r="H70" i="31"/>
  <c r="H75" i="31"/>
  <c r="I76" i="31"/>
  <c r="J67" i="31"/>
  <c r="G71" i="31"/>
  <c r="E32" i="15"/>
  <c r="F32" i="15" s="1"/>
  <c r="E34" i="15"/>
  <c r="F34" i="15" s="1"/>
  <c r="E31" i="15"/>
  <c r="F31" i="15" s="1"/>
  <c r="L31" i="15" s="1"/>
  <c r="E33" i="15"/>
  <c r="F33" i="15" s="1"/>
  <c r="L26" i="15"/>
  <c r="AB26" i="15" s="1"/>
  <c r="N26" i="15"/>
  <c r="E45" i="15"/>
  <c r="F45" i="15" s="1"/>
  <c r="P45" i="15" s="1"/>
  <c r="F45" i="29"/>
  <c r="L27" i="15"/>
  <c r="AB27" i="15" s="1"/>
  <c r="N27" i="15"/>
  <c r="L25" i="15"/>
  <c r="L24" i="15" s="1"/>
  <c r="AB24" i="15" s="1"/>
  <c r="C48" i="7" s="1"/>
  <c r="N25" i="15"/>
  <c r="AB37" i="15"/>
  <c r="C54" i="15"/>
  <c r="F30" i="15"/>
  <c r="C30" i="15"/>
  <c r="P53" i="15"/>
  <c r="J65" i="31" l="1"/>
  <c r="J59" i="31" s="1"/>
  <c r="J66" i="31" s="1"/>
  <c r="E30" i="15"/>
  <c r="I70" i="31"/>
  <c r="I71" i="31" s="1"/>
  <c r="I72" i="31" s="1"/>
  <c r="I75" i="31"/>
  <c r="J68" i="31"/>
  <c r="K67" i="31"/>
  <c r="J76" i="31"/>
  <c r="H71" i="31"/>
  <c r="H72" i="31" s="1"/>
  <c r="G78" i="31"/>
  <c r="G83" i="31" s="1"/>
  <c r="G86" i="31" s="1"/>
  <c r="G72" i="31"/>
  <c r="F86" i="31"/>
  <c r="F88" i="31"/>
  <c r="F84" i="31"/>
  <c r="F89" i="31" s="1"/>
  <c r="AB25" i="15"/>
  <c r="F26" i="29"/>
  <c r="AC26" i="15"/>
  <c r="F34" i="29"/>
  <c r="F30" i="29" s="1"/>
  <c r="AB53" i="15"/>
  <c r="AB45" i="15"/>
  <c r="F25" i="29"/>
  <c r="AC25" i="15"/>
  <c r="N24" i="15"/>
  <c r="AC27" i="15"/>
  <c r="F27" i="29"/>
  <c r="E54" i="15"/>
  <c r="F54" i="15" s="1"/>
  <c r="P54" i="15" s="1"/>
  <c r="C52" i="15"/>
  <c r="C28" i="15"/>
  <c r="AB31" i="15"/>
  <c r="G88" i="31" l="1"/>
  <c r="K65" i="31"/>
  <c r="K59" i="31" s="1"/>
  <c r="K66" i="31" s="1"/>
  <c r="K68" i="31" s="1"/>
  <c r="G84" i="31"/>
  <c r="G89" i="31" s="1"/>
  <c r="K76" i="31"/>
  <c r="L67" i="31"/>
  <c r="J75" i="31"/>
  <c r="J70" i="31"/>
  <c r="H78" i="31"/>
  <c r="H83" i="31" s="1"/>
  <c r="F87" i="31"/>
  <c r="F90" i="31" s="1"/>
  <c r="G87" i="31"/>
  <c r="AC24" i="15"/>
  <c r="AB54" i="15"/>
  <c r="E52" i="15"/>
  <c r="F52" i="15" s="1"/>
  <c r="P52" i="15" s="1"/>
  <c r="C24" i="15"/>
  <c r="E28" i="15"/>
  <c r="G90" i="31" l="1"/>
  <c r="L65" i="31"/>
  <c r="L59" i="31" s="1"/>
  <c r="L66" i="31" s="1"/>
  <c r="I78" i="31"/>
  <c r="H86" i="31"/>
  <c r="H88" i="31"/>
  <c r="H84" i="31"/>
  <c r="H89" i="31" s="1"/>
  <c r="L76" i="31"/>
  <c r="M67" i="31"/>
  <c r="L68" i="31"/>
  <c r="J71" i="31"/>
  <c r="J72" i="31" s="1"/>
  <c r="K70" i="31"/>
  <c r="K75" i="31"/>
  <c r="I83" i="31"/>
  <c r="AB52" i="15"/>
  <c r="F28" i="15"/>
  <c r="F24" i="15" s="1"/>
  <c r="E24" i="15"/>
  <c r="AC23" i="15"/>
  <c r="M65" i="31" l="1"/>
  <c r="M59" i="31" s="1"/>
  <c r="M66" i="31" s="1"/>
  <c r="I86" i="31"/>
  <c r="I87" i="31" s="1"/>
  <c r="I88" i="31"/>
  <c r="L75" i="31"/>
  <c r="L70" i="31"/>
  <c r="H87" i="31"/>
  <c r="H90" i="31" s="1"/>
  <c r="K71" i="31"/>
  <c r="N67" i="31"/>
  <c r="M68" i="31"/>
  <c r="M76" i="31"/>
  <c r="I84" i="31"/>
  <c r="I89" i="31" s="1"/>
  <c r="J78" i="31"/>
  <c r="J83" i="31" s="1"/>
  <c r="A12" i="26"/>
  <c r="N65" i="31" l="1"/>
  <c r="N59" i="31" s="1"/>
  <c r="N66" i="31" s="1"/>
  <c r="K78" i="31"/>
  <c r="K83" i="31" s="1"/>
  <c r="K86" i="31" s="1"/>
  <c r="I90" i="31"/>
  <c r="N76" i="31"/>
  <c r="N68" i="31"/>
  <c r="O67" i="31"/>
  <c r="L71" i="31"/>
  <c r="M75" i="31"/>
  <c r="M70" i="31"/>
  <c r="J86" i="31"/>
  <c r="J87" i="31" s="1"/>
  <c r="J90" i="31" s="1"/>
  <c r="J84" i="31"/>
  <c r="J89" i="31" s="1"/>
  <c r="J88" i="31"/>
  <c r="K72" i="31"/>
  <c r="K88" i="31"/>
  <c r="K84" i="31"/>
  <c r="B119" i="26"/>
  <c r="B117" i="26"/>
  <c r="B67" i="26"/>
  <c r="B63" i="26"/>
  <c r="B59" i="26"/>
  <c r="B55" i="26"/>
  <c r="A15" i="26"/>
  <c r="B21" i="26" s="1"/>
  <c r="A9" i="26"/>
  <c r="B121" i="26" s="1"/>
  <c r="A5" i="26"/>
  <c r="K89" i="31" l="1"/>
  <c r="O65" i="31"/>
  <c r="O59" i="31" s="1"/>
  <c r="O66" i="31" s="1"/>
  <c r="L78" i="31"/>
  <c r="L83" i="31" s="1"/>
  <c r="L84" i="31" s="1"/>
  <c r="L89" i="31" s="1"/>
  <c r="L88" i="31"/>
  <c r="M71" i="31"/>
  <c r="M78" i="31" s="1"/>
  <c r="M83" i="31" s="1"/>
  <c r="O76" i="31"/>
  <c r="P67" i="31"/>
  <c r="O68" i="31"/>
  <c r="N70" i="31"/>
  <c r="N75" i="31"/>
  <c r="K87" i="31"/>
  <c r="K90" i="31" s="1"/>
  <c r="L72" i="31"/>
  <c r="B118" i="26"/>
  <c r="B116" i="26"/>
  <c r="B108" i="26"/>
  <c r="B104" i="26"/>
  <c r="B100" i="26"/>
  <c r="B115" i="26"/>
  <c r="B53" i="26"/>
  <c r="B50" i="26"/>
  <c r="B46" i="26"/>
  <c r="B42" i="26"/>
  <c r="B38" i="26"/>
  <c r="L86" i="31" l="1"/>
  <c r="L87" i="31" s="1"/>
  <c r="G29" i="31" s="1"/>
  <c r="P65" i="31"/>
  <c r="P59" i="31" s="1"/>
  <c r="P66" i="31" s="1"/>
  <c r="M84" i="31"/>
  <c r="M89" i="31" s="1"/>
  <c r="M86" i="31"/>
  <c r="M88" i="31"/>
  <c r="P76" i="31"/>
  <c r="Q67" i="31"/>
  <c r="P68" i="31"/>
  <c r="O70" i="31"/>
  <c r="O75" i="31"/>
  <c r="N71" i="31"/>
  <c r="N78" i="31" s="1"/>
  <c r="N83" i="31" s="1"/>
  <c r="N72"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M87" i="31" l="1"/>
  <c r="M90" i="31" s="1"/>
  <c r="L90" i="31"/>
  <c r="Q65" i="31"/>
  <c r="Q59" i="31" s="1"/>
  <c r="Q66" i="31" s="1"/>
  <c r="O71" i="31"/>
  <c r="O78" i="31" s="1"/>
  <c r="O83" i="31" s="1"/>
  <c r="N86" i="31"/>
  <c r="N87" i="31" s="1"/>
  <c r="N84" i="31"/>
  <c r="N89" i="31" s="1"/>
  <c r="N88" i="31"/>
  <c r="P70" i="31"/>
  <c r="P75" i="31"/>
  <c r="Q76" i="31"/>
  <c r="R67" i="31"/>
  <c r="Q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76" i="31"/>
  <c r="S67" i="31"/>
  <c r="R68" i="31"/>
  <c r="O86" i="31"/>
  <c r="O87" i="31" s="1"/>
  <c r="O90" i="31" s="1"/>
  <c r="O88" i="31"/>
  <c r="O84" i="31"/>
  <c r="O89" i="31" s="1"/>
  <c r="N90" i="31"/>
  <c r="Q75" i="31"/>
  <c r="Q70" i="31"/>
  <c r="P71" i="31"/>
  <c r="P78" i="31" s="1"/>
  <c r="P83" i="31" s="1"/>
  <c r="AB30" i="15"/>
  <c r="C49" i="7" s="1"/>
  <c r="P33" i="15"/>
  <c r="L33" i="15" s="1"/>
  <c r="AB33" i="15" s="1"/>
  <c r="P32" i="15"/>
  <c r="S65" i="31" l="1"/>
  <c r="S59" i="31" s="1"/>
  <c r="S66" i="31" s="1"/>
  <c r="S68" i="31" s="1"/>
  <c r="P86" i="31"/>
  <c r="P87" i="31" s="1"/>
  <c r="P90" i="31" s="1"/>
  <c r="P84" i="31"/>
  <c r="P89" i="31" s="1"/>
  <c r="P88" i="31"/>
  <c r="Q71" i="31"/>
  <c r="Q78" i="31" s="1"/>
  <c r="Q83" i="31" s="1"/>
  <c r="T67" i="31"/>
  <c r="S76" i="31"/>
  <c r="R75" i="31"/>
  <c r="R70" i="31"/>
  <c r="R71" i="31" s="1"/>
  <c r="P34" i="15"/>
  <c r="P72" i="31"/>
  <c r="L32" i="15"/>
  <c r="T65" i="31" l="1"/>
  <c r="T59" i="31" s="1"/>
  <c r="T66" i="31" s="1"/>
  <c r="T68" i="31" s="1"/>
  <c r="Q72" i="31"/>
  <c r="R72" i="31"/>
  <c r="R78" i="31"/>
  <c r="R83" i="31" s="1"/>
  <c r="T76" i="31"/>
  <c r="U67" i="31"/>
  <c r="S75" i="31"/>
  <c r="S70" i="31"/>
  <c r="Q86" i="31"/>
  <c r="Q87" i="31" s="1"/>
  <c r="Q90" i="31" s="1"/>
  <c r="Q84" i="31"/>
  <c r="Q89" i="31" s="1"/>
  <c r="Q88" i="31"/>
  <c r="L34" i="15"/>
  <c r="AB34" i="15" s="1"/>
  <c r="AB32" i="15"/>
  <c r="U65" i="31" l="1"/>
  <c r="U59" i="31" s="1"/>
  <c r="U66" i="31" s="1"/>
  <c r="S71" i="31"/>
  <c r="S78" i="31" s="1"/>
  <c r="S83" i="31" s="1"/>
  <c r="R86" i="31"/>
  <c r="R87" i="31" s="1"/>
  <c r="R90" i="31" s="1"/>
  <c r="R88" i="31"/>
  <c r="R84" i="31"/>
  <c r="R89" i="31" s="1"/>
  <c r="T70" i="31"/>
  <c r="T71" i="31" s="1"/>
  <c r="T75" i="31"/>
  <c r="U76" i="31"/>
  <c r="V67" i="31"/>
  <c r="U68" i="31"/>
  <c r="V65" i="31" l="1"/>
  <c r="V59" i="31" s="1"/>
  <c r="V66" i="31" s="1"/>
  <c r="T72" i="31"/>
  <c r="T78" i="31"/>
  <c r="T83" i="31" s="1"/>
  <c r="U75" i="31"/>
  <c r="U70" i="31"/>
  <c r="S86" i="31"/>
  <c r="S87" i="31" s="1"/>
  <c r="S90" i="31" s="1"/>
  <c r="S84" i="31"/>
  <c r="S89" i="31" s="1"/>
  <c r="S88" i="31"/>
  <c r="V68" i="31"/>
  <c r="W67" i="31"/>
  <c r="V76" i="31"/>
  <c r="S72" i="31"/>
  <c r="W65" i="31" l="1"/>
  <c r="W59" i="31" s="1"/>
  <c r="W66" i="31" s="1"/>
  <c r="U71" i="31"/>
  <c r="U78" i="31" s="1"/>
  <c r="U83" i="31" s="1"/>
  <c r="T86" i="31"/>
  <c r="T87" i="31" s="1"/>
  <c r="T90" i="31" s="1"/>
  <c r="T84" i="31"/>
  <c r="T89" i="31" s="1"/>
  <c r="W68" i="31"/>
  <c r="X67" i="31"/>
  <c r="W76" i="31"/>
  <c r="V75" i="31"/>
  <c r="V70" i="31"/>
  <c r="T88" i="31"/>
  <c r="X65" i="31" l="1"/>
  <c r="X59" i="31" s="1"/>
  <c r="X66" i="31" s="1"/>
  <c r="X68" i="31" s="1"/>
  <c r="U72" i="31"/>
  <c r="X76" i="31"/>
  <c r="Y67" i="31"/>
  <c r="V71" i="31"/>
  <c r="V78" i="31" s="1"/>
  <c r="V83" i="31" s="1"/>
  <c r="W75" i="31"/>
  <c r="W70" i="31"/>
  <c r="U86" i="31"/>
  <c r="U87" i="31" s="1"/>
  <c r="U90" i="31" s="1"/>
  <c r="U88" i="31"/>
  <c r="U84" i="31"/>
  <c r="U89" i="31" s="1"/>
  <c r="Y65" i="31" l="1"/>
  <c r="Y59" i="31" s="1"/>
  <c r="Y66" i="31" s="1"/>
  <c r="X75" i="31"/>
  <c r="X70" i="31"/>
  <c r="V86" i="31"/>
  <c r="V87" i="31" s="1"/>
  <c r="V90" i="31" s="1"/>
  <c r="V88" i="31"/>
  <c r="V84" i="31"/>
  <c r="V89" i="31" s="1"/>
  <c r="W71" i="31"/>
  <c r="W78" i="31" s="1"/>
  <c r="W83" i="31" s="1"/>
  <c r="Y76" i="31"/>
  <c r="Z67" i="31"/>
  <c r="Y68" i="31"/>
  <c r="V72" i="31"/>
  <c r="Z65" i="31" l="1"/>
  <c r="Z59" i="31" s="1"/>
  <c r="Z66" i="31" s="1"/>
  <c r="Z68" i="31" s="1"/>
  <c r="W72" i="31"/>
  <c r="W84" i="31"/>
  <c r="W89" i="31" s="1"/>
  <c r="W86" i="31"/>
  <c r="W87" i="31" s="1"/>
  <c r="W90" i="31" s="1"/>
  <c r="W88" i="31"/>
  <c r="X71" i="31"/>
  <c r="X78" i="31" s="1"/>
  <c r="X83" i="31" s="1"/>
  <c r="Y70" i="31"/>
  <c r="Y75" i="31"/>
  <c r="Z76" i="31"/>
  <c r="AA67" i="31"/>
  <c r="AA65" i="31" s="1"/>
  <c r="AA59" i="31" s="1"/>
  <c r="AA66" i="31" s="1"/>
  <c r="X86" i="31" l="1"/>
  <c r="X87" i="31" s="1"/>
  <c r="X90" i="31" s="1"/>
  <c r="X84" i="31"/>
  <c r="X89" i="31" s="1"/>
  <c r="X88" i="31"/>
  <c r="Y71" i="31"/>
  <c r="Y78" i="31" s="1"/>
  <c r="Y83" i="31" s="1"/>
  <c r="Z70" i="31"/>
  <c r="Z75" i="31"/>
  <c r="AB67" i="31"/>
  <c r="AB65" i="31" s="1"/>
  <c r="AB59" i="31" s="1"/>
  <c r="AB66" i="31" s="1"/>
  <c r="AA76" i="31"/>
  <c r="AA68" i="31"/>
  <c r="X72" i="31"/>
  <c r="Y86" i="31" l="1"/>
  <c r="Y87" i="31" s="1"/>
  <c r="Y90" i="31" s="1"/>
  <c r="Y84" i="31"/>
  <c r="Y89" i="31" s="1"/>
  <c r="Y88" i="31"/>
  <c r="AC67" i="31"/>
  <c r="AC65" i="31" s="1"/>
  <c r="AC59" i="31" s="1"/>
  <c r="AC66" i="31" s="1"/>
  <c r="AB68" i="31"/>
  <c r="AB76" i="31"/>
  <c r="AA75" i="31"/>
  <c r="AA70" i="31"/>
  <c r="AA71" i="31" s="1"/>
  <c r="Z71" i="31"/>
  <c r="Z78" i="31" s="1"/>
  <c r="Z83" i="31" s="1"/>
  <c r="Z72" i="31"/>
  <c r="Y72" i="31"/>
  <c r="AA72" i="31" l="1"/>
  <c r="AA78" i="31"/>
  <c r="AA83" i="31" s="1"/>
  <c r="AD67" i="31"/>
  <c r="AC68" i="31"/>
  <c r="AC76" i="31"/>
  <c r="Z86" i="31"/>
  <c r="Z87" i="31" s="1"/>
  <c r="Z90" i="31" s="1"/>
  <c r="Z88" i="31"/>
  <c r="Z84" i="31"/>
  <c r="Z89" i="31" s="1"/>
  <c r="AB70" i="31"/>
  <c r="AB75" i="31"/>
  <c r="AD65" i="31" l="1"/>
  <c r="AD59" i="31" s="1"/>
  <c r="AD66" i="31" s="1"/>
  <c r="AD68" i="31" s="1"/>
  <c r="AC70" i="31"/>
  <c r="AC75" i="31"/>
  <c r="AD76" i="31"/>
  <c r="AE67" i="31"/>
  <c r="AA86" i="31"/>
  <c r="AA87" i="31" s="1"/>
  <c r="AA90" i="31" s="1"/>
  <c r="AA88" i="31"/>
  <c r="AA84" i="31"/>
  <c r="AA89" i="31" s="1"/>
  <c r="AB71" i="31"/>
  <c r="AB78" i="31" s="1"/>
  <c r="AB83" i="31" s="1"/>
  <c r="AB72" i="31" l="1"/>
  <c r="AE65" i="31"/>
  <c r="AE59" i="31" s="1"/>
  <c r="AE66" i="31" s="1"/>
  <c r="AE68" i="31" s="1"/>
  <c r="AD75" i="31"/>
  <c r="AD70" i="31"/>
  <c r="AB86" i="31"/>
  <c r="AB87" i="31" s="1"/>
  <c r="AB90" i="31" s="1"/>
  <c r="AB84" i="31"/>
  <c r="AB89" i="31" s="1"/>
  <c r="AB88" i="31"/>
  <c r="AE76" i="31"/>
  <c r="AC71" i="31"/>
  <c r="AC78" i="31" s="1"/>
  <c r="AC83" i="31" s="1"/>
  <c r="AC72" i="31"/>
  <c r="AC86" i="31" l="1"/>
  <c r="AC87" i="31" s="1"/>
  <c r="AC90" i="31" s="1"/>
  <c r="AC84" i="31"/>
  <c r="AC89" i="31" s="1"/>
  <c r="AC88" i="31"/>
  <c r="AE75" i="31"/>
  <c r="AE70"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<sst xmlns="http://schemas.openxmlformats.org/spreadsheetml/2006/main" count="1238" uniqueCount="619">
  <si>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</si>
  <si>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</si>
  <si>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</si>
  <si>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</si>
  <si>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</si>
  <si>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</si>
  <si>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</si>
  <si>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</si>
  <si>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</si>
  <si>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</si>
  <si>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</si>
  <si>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</si>
  <si>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</si>
  <si>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</si>
  <si>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</si>
  <si>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</si>
  <si>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</si>
  <si>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</si>
  <si>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</si>
  <si>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</si>
  <si>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</si>
  <si>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</si>
  <si>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</si>
  <si>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</si>
  <si>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</si>
  <si>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</si>
  <si>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</si>
  <si>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</si>
  <si>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</si>
  <si>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</si>
  <si>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</si>
  <si>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</si>
  <si>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</si>
  <si>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</si>
  <si>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</si>
  <si>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</si>
  <si>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</si>
  <si>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</si>
  <si>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</si>
  <si>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</si>
  <si>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</si>
  <si>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</si>
  <si>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</si>
  <si>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</si>
  <si>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</si>
  <si>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</si>
  <si>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</si>
  <si>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</si>
  <si>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</si>
  <si>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</si>
  <si>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</si>
  <si>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</si>
  <si>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</si>
  <si>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</si>
  <si>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</si>
  <si>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</si>
  <si>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</si>
  <si>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</si>
  <si>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</si>
  <si>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</si>
  <si>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</si>
  <si>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</si>
  <si>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</si>
  <si>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</si>
  <si>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</si>
  <si>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</si>
  <si>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</si>
  <si>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</si>
  <si>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</si>
  <si>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</si>
  <si>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</si>
  <si>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</si>
  <si>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</si>
  <si>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</si>
  <si>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</si>
  <si>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</si>
  <si>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</si>
  <si>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</si>
  <si>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</si>
  <si>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</si>
  <si>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</si>
  <si>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</si>
  <si>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</si>
  <si>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</si>
  <si>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</si>
  <si>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</si>
  <si>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</si>
  <si>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</si>
  <si>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</si>
  <si>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</si>
  <si>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</si>
  <si>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</si>
  <si>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</si>
  <si>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</si>
  <si>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</si>
  <si>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</si>
  <si>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</si>
  <si>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</si>
  <si>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</si>
  <si>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</si>
  <si>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</si>
  <si>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</si>
  <si>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</si>
  <si>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</si>
  <si>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</si>
  <si>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</si>
  <si>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</si>
  <si>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</si>
  <si>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</si>
  <si>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</si>
  <si>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</si>
  <si>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</si>
  <si>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</si>
  <si>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</si>
  <si>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</si>
  <si>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</si>
  <si>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</si>
  <si>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</si>
  <si>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</si>
  <si>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</si>
  <si>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</si>
  <si>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</si>
  <si>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</si>
  <si>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</si>
  <si>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</si>
  <si>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</si>
  <si>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</si>
  <si>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</si>
  <si>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</si>
  <si>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</si>
  <si>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</si>
  <si>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</si>
  <si>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</si>
  <si>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</si>
  <si>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</si>
  <si>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</si>
  <si>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</si>
  <si>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</si>
  <si>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</si>
  <si>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</si>
  <si>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</si>
  <si>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</si>
  <si>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</si>
  <si>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</si>
  <si>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</si>
  <si>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</si>
  <si>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</si>
  <si>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</si>
  <si>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</si>
  <si>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</si>
  <si>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</si>
  <si>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</si>
  <si>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</si>
  <si>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</si>
  <si>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</si>
  <si>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</si>
  <si>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</si>
  <si>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</si>
  <si>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</si>
  <si>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</si>
  <si>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</si>
  <si>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</si>
  <si>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</si>
  <si>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</si>
  <si>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</si>
  <si>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</si>
  <si>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</si>
  <si>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</si>
  <si>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</si>
  <si>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</si>
  <si>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</si>
  <si>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</si>
  <si>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</si>
  <si>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</si>
  <si>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</si>
  <si>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</si>
  <si>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</si>
  <si>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</si>
  <si>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</si>
  <si>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</si>
  <si>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</si>
  <si>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</si>
  <si>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</si>
  <si>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</si>
  <si>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</si>
  <si>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</si>
  <si>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</si>
  <si>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</si>
  <si>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</si>
  <si>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</si>
  <si>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</si>
  <si>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</si>
  <si>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</si>
  <si>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</si>
  <si>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</si>
  <si>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</si>
  <si>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</si>
  <si>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</si>
  <si>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</si>
  <si>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</si>
  <si>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</si>
  <si>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</si>
  <si>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</si>
  <si>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</si>
  <si>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</si>
  <si>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</si>
  <si>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</si>
  <si>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</si>
  <si>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</si>
  <si>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</si>
  <si>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</si>
  <si>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</si>
  <si>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</si>
  <si>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</si>
  <si>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</si>
  <si>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</si>
  <si>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</si>
  <si>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</si>
  <si>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</si>
  <si>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</si>
  <si>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</si>
  <si>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</si>
  <si>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</si>
  <si>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</si>
  <si>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</si>
  <si>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</si>
  <si>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</si>
  <si>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</si>
  <si>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</si>
  <si>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</si>
  <si>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</si>
  <si>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</si>
  <si>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</si>
  <si>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</si>
  <si>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</si>
  <si>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</si>
  <si>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</si>
  <si>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</si>
  <si>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</si>
  <si>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</si>
  <si>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</si>
  <si>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</si>
  <si>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</si>
  <si>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</si>
  <si>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</si>
  <si>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</si>
  <si>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</si>
  <si>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</si>
  <si>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</si>
  <si>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</si>
  <si>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</si>
  <si>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</si>
  <si>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</si>
  <si>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</si>
  <si>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</si>
  <si>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</si>
  <si>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</si>
  <si>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</si>
  <si>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</si>
  <si>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</si>
  <si>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</si>
  <si>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</si>
  <si>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</si>
  <si>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</si>
  <si>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</si>
  <si>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</si>
  <si>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</si>
  <si>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</si>
  <si>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</si>
  <si>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</si>
  <si>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</si>
  <si>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</si>
  <si>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</si>
  <si>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</si>
  <si>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</si>
  <si>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</si>
  <si>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</si>
  <si>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</si>
  <si>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</si>
  <si>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</si>
  <si>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</si>
  <si>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</si>
  <si>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</si>
  <si>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</si>
  <si>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</si>
  <si>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</si>
  <si>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</si>
  <si>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</si>
  <si>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</si>
  <si>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</si>
  <si>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</si>
  <si>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</si>
  <si>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</si>
  <si>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</si>
  <si>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</si>
  <si>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</si>
  <si>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</si>
  <si>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</si>
  <si>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</si>
  <si>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</si>
  <si>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</si>
  <si>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</si>
  <si>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</si>
  <si>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</si>
  <si>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</si>
  <si>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</si>
  <si>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</si>
  <si>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</si>
  <si>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</si>
  <si>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</si>
  <si>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</si>
  <si>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</si>
  <si>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</si>
  <si>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</si>
  <si>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</si>
  <si>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</si>
  <si>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</si>
  <si>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</si>
  <si>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</si>
  <si>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</si>
  <si>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</si>
  <si>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</si>
  <si>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</si>
  <si>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</si>
  <si>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</si>
  <si>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</si>
  <si>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</si>
  <si>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</si>
  <si>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</si>
  <si>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</si>
  <si>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</si>
  <si>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</si>
  <si>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</si>
  <si>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</si>
  <si>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</si>
  <si>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</si>
  <si>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</si>
  <si>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</si>
  <si>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</si>
  <si>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</si>
  <si>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</si>
  <si>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</si>
  <si>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</si>
  <si>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</si>
  <si>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</si>
  <si>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</si>
  <si>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</si>
  <si>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</si>
  <si>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</si>
  <si>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</si>
  <si>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</si>
  <si>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</si>
  <si>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</si>
  <si>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</si>
  <si>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</si>
  <si>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</si>
  <si>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</si>
  <si>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</si>
  <si>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</si>
  <si>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</si>
  <si>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</si>
  <si>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</si>
  <si>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</si>
  <si>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</si>
  <si>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</si>
  <si>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</si>
  <si>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</si>
  <si>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</si>
  <si>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</si>
  <si>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</si>
  <si>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</si>
  <si>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</si>
  <si>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</si>
  <si>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</si>
  <si>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</si>
  <si>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</si>
  <si>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</si>
  <si>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</si>
  <si>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</si>
  <si>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</si>
  <si>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</si>
  <si>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</si>
  <si>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</si>
  <si>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</si>
  <si>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</si>
  <si>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</si>
  <si>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</si>
  <si>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</si>
  <si>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</si>
  <si>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</si>
  <si>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</si>
  <si>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</si>
  <si>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</si>
  <si>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</si>
  <si>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</si>
  <si>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</si>
  <si>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</si>
  <si>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</si>
  <si>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</si>
  <si>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</si>
  <si>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</si>
  <si>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</si>
  <si>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</si>
  <si>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</si>
  <si>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</si>
  <si>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</si>
  <si>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</si>
  <si>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</si>
  <si>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</si>
  <si>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</si>
  <si>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</si>
  <si>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</si>
  <si>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</si>
  <si>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</si>
  <si>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</si>
  <si>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</si>
  <si>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</si>
  <si>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</si>
  <si>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</si>
  <si>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</si>
  <si>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</si>
  <si>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</si>
  <si>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</si>
  <si>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</si>
  <si>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</si>
  <si>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</si>
  <si>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</si>
  <si>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</si>
  <si>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</si>
  <si>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</si>
  <si>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</si>
  <si>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</si>
  <si>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</si>
  <si>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</si>
  <si>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</si>
  <si>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</si>
  <si>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</si>
  <si>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</si>
  <si>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</si>
  <si>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</si>
  <si>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</si>
  <si>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</si>
  <si>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</si>
  <si>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</si>
  <si>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</si>
  <si>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</si>
  <si>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</si>
  <si>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</si>
  <si>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</si>
  <si>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</si>
  <si>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</si>
  <si>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</si>
  <si>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</si>
  <si>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</si>
  <si>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</si>
  <si>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</si>
  <si>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</si>
  <si>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</si>
  <si>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</si>
  <si>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</si>
  <si>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</si>
  <si>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</si>
  <si>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</si>
  <si>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</si>
  <si>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</si>
  <si>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</si>
  <si>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</si>
  <si>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</si>
  <si>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</si>
  <si>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</si>
  <si>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</si>
  <si>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</si>
  <si>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</si>
  <si>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</si>
  <si>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</si>
  <si>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</si>
  <si>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</si>
  <si>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</si>
  <si>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</si>
  <si>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</si>
  <si>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</si>
  <si>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</si>
  <si>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</si>
  <si>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</si>
  <si>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</si>
  <si>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</si>
  <si>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</si>
  <si>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</si>
  <si>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</si>
  <si>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</si>
  <si>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</si>
  <si>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</si>
  <si>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</si>
  <si>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</si>
  <si>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</si>
  <si>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</si>
  <si>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</si>
  <si>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</si>
  <si>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</si>
  <si>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</si>
  <si>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</si>
  <si>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</si>
  <si>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</si>
  <si>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</si>
  <si>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</si>
  <si>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</si>
  <si>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</si>
  <si>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</si>
  <si>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</si>
  <si>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</si>
  <si>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</si>
  <si>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</si>
  <si>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</si>
  <si>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</si>
  <si>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</si>
  <si>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</si>
  <si>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</si>
  <si>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</si>
  <si>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</si>
  <si>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</si>
  <si>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</si>
  <si>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</si>
  <si>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</si>
  <si>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</si>
  <si>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</si>
  <si>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</si>
  <si>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</si>
  <si>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</si>
  <si>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</si>
  <si>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</si>
  <si>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</si>
  <si>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</si>
  <si>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</si>
  <si>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</si>
  <si>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</si>
  <si>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</si>
  <si>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</si>
  <si>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</si>
  <si>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</si>
  <si>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</si>
  <si>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</si>
  <si>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</si>
  <si>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</si>
  <si>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</si>
  <si>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</si>
  <si>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</si>
  <si>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</si>
  <si>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</si>
  <si>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</si>
  <si>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</si>
  <si>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</si>
  <si>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</si>
  <si>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</si>
  <si>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</si>
  <si>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</si>
  <si>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</si>
  <si>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</si>
  <si>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</si>
  <si>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</si>
  <si>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</si>
  <si>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</si>
  <si>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</si>
  <si>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</si>
  <si>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</si>
  <si>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</si>
  <si>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</si>
  <si>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</si>
  <si>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</si>
  <si>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</si>
  <si>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</si>
  <si>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</si>
  <si>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</si>
  <si>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</si>
  <si>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</si>
  <si>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</si>
  <si>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</si>
  <si>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</si>
  <si>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</si>
  <si>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Багратионовский  р-н, п.Южный, Нивенское сельское поселение.</t>
  </si>
  <si>
    <t>ТП-12</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</si>
  <si>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</si>
  <si>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</si>
  <si>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</si>
  <si>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</si>
  <si>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</si>
  <si>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</si>
  <si>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</si>
  <si>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</si>
  <si>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</si>
  <si>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</si>
  <si>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1978</t>
  </si>
  <si>
    <t xml:space="preserve"> РУ-15кВ с РЗА и ПА на микропроцессорной базе 5 ячеек</t>
  </si>
  <si>
    <t xml:space="preserve">  физический износ выключателей, отработавших более 40 лет (1978 года )</t>
  </si>
  <si>
    <t xml:space="preserve">показатель замены выключателей15 кВ Вз=5 шт. показатель замены силовых трансформаторов,Рз_тр 800 кВА </t>
  </si>
  <si>
    <t xml:space="preserve">Модернизация оборудования для обеспечения надежности электроснабжения.
</t>
  </si>
  <si>
    <t>J 19-10</t>
  </si>
  <si>
    <t>Реконструкция ТП-12 15/0,4кВ п.Южный, Багратионовского р-на</t>
  </si>
  <si>
    <t>Сметная стоимость проекта в прогнозных ценах  года начала строительства с НДС, млн. руб.</t>
  </si>
  <si>
    <t>ОК</t>
  </si>
  <si>
    <t>2024</t>
  </si>
  <si>
    <t>ТМГ-15/0,4кВ 400кВА</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</si>
  <si>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 в количестве 5 шт. шкафами КРУ-15кВ с РЗА и ПА на микропроцессорной базе замена 2 трансформаторов 15/0,4кВ  400кВА, выработавших нормативный срок ( более 40 лет)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</si>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</sst>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39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1" fillId="0" borderId="33" xfId="67" applyNumberFormat="1" applyFont="1" applyBorder="1" applyAlignment="1">
      <alignment vertical="center"/>
    </xf>
    <xf numFmtId="0" fontId="72"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5" xfId="2" applyFont="1" applyBorder="1" applyAlignment="1">
      <alignment horizontal="justify"/>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73" fillId="0" borderId="25" xfId="128" applyFill="1" applyBorder="1" applyAlignment="1">
      <alignment horizontal="justify"/>
    </xf>
    <xf numFmtId="0" fontId="28" fillId="0" borderId="0" xfId="0" applyFont="1"/>
    <xf numFmtId="0" fontId="74" fillId="0" borderId="0" xfId="0" applyFont="1"/>
    <xf numFmtId="0" fontId="41" fillId="0" borderId="0" xfId="0" applyFont="1" applyAlignment="1">
      <alignment horizontal="right" vertical="center"/>
    </xf>
    <xf numFmtId="0" fontId="68"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69"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0" fillId="0" borderId="0" xfId="0" applyFont="1" applyAlignment="1">
      <alignment vertical="center"/>
    </xf>
    <xf numFmtId="0" fontId="41" fillId="0" borderId="0" xfId="0" applyFont="1" applyAlignment="1">
      <alignment horizontal="center" vertical="center"/>
    </xf>
    <xf numFmtId="0" fontId="70" fillId="0" borderId="0" xfId="0" applyFont="1" applyAlignment="1">
      <alignment horizontal="center" vertical="center"/>
    </xf>
    <xf numFmtId="0" fontId="81" fillId="0" borderId="0" xfId="0" applyFont="1" applyAlignment="1">
      <alignment vertical="center" wrapText="1"/>
    </xf>
    <xf numFmtId="0" fontId="70" fillId="0" borderId="0" xfId="0" applyFont="1"/>
    <xf numFmtId="0" fontId="8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0" fillId="0" borderId="32" xfId="0" applyFont="1" applyBorder="1" applyAlignment="1">
      <alignment vertical="center"/>
    </xf>
    <xf numFmtId="0" fontId="70" fillId="0" borderId="34" xfId="0" applyFont="1" applyBorder="1" applyAlignment="1">
      <alignment vertical="center"/>
    </xf>
    <xf numFmtId="3" fontId="70" fillId="0" borderId="41" xfId="0" applyNumberFormat="1" applyFont="1" applyBorder="1" applyAlignment="1">
      <alignment vertical="center"/>
    </xf>
    <xf numFmtId="0" fontId="70" fillId="0" borderId="42" xfId="0" applyFont="1" applyBorder="1" applyAlignment="1">
      <alignment vertical="center"/>
    </xf>
    <xf numFmtId="0" fontId="70" fillId="0" borderId="43" xfId="0" applyFont="1" applyBorder="1" applyAlignment="1">
      <alignment vertical="center"/>
    </xf>
    <xf numFmtId="3" fontId="70"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0" fillId="0" borderId="48" xfId="0" applyFont="1" applyBorder="1" applyAlignment="1">
      <alignment horizontal="center" vertical="center"/>
    </xf>
    <xf numFmtId="0" fontId="82" fillId="0" borderId="5" xfId="0" applyFont="1" applyBorder="1" applyAlignment="1">
      <alignment horizontal="center" vertical="center"/>
    </xf>
    <xf numFmtId="0" fontId="70" fillId="0" borderId="49" xfId="0" applyFont="1" applyBorder="1" applyAlignment="1">
      <alignment vertical="center"/>
    </xf>
    <xf numFmtId="0" fontId="70" fillId="0" borderId="37" xfId="0" applyFont="1" applyBorder="1" applyAlignment="1">
      <alignment vertical="center"/>
    </xf>
    <xf numFmtId="10" fontId="70" fillId="0" borderId="35" xfId="0" applyNumberFormat="1" applyFont="1" applyBorder="1" applyAlignment="1">
      <alignment vertical="center"/>
    </xf>
    <xf numFmtId="3" fontId="70" fillId="0" borderId="33" xfId="0" applyNumberFormat="1" applyFont="1" applyBorder="1" applyAlignment="1">
      <alignment vertical="center"/>
    </xf>
    <xf numFmtId="9" fontId="70" fillId="0" borderId="50" xfId="0" applyNumberFormat="1" applyFont="1" applyBorder="1" applyAlignment="1">
      <alignment vertical="center"/>
    </xf>
    <xf numFmtId="0" fontId="70" fillId="0" borderId="38" xfId="0" applyFont="1" applyBorder="1" applyAlignment="1">
      <alignment vertical="center"/>
    </xf>
    <xf numFmtId="3" fontId="70" fillId="0" borderId="32" xfId="0" applyNumberFormat="1" applyFont="1" applyBorder="1" applyAlignment="1">
      <alignment vertical="center"/>
    </xf>
    <xf numFmtId="0" fontId="70" fillId="0" borderId="51" xfId="0" applyFont="1" applyBorder="1" applyAlignment="1">
      <alignment vertical="center"/>
    </xf>
    <xf numFmtId="10" fontId="70" fillId="0" borderId="36" xfId="0" applyNumberFormat="1" applyFont="1" applyBorder="1" applyAlignment="1">
      <alignment vertical="center"/>
    </xf>
    <xf numFmtId="10" fontId="70" fillId="0" borderId="42" xfId="0" applyNumberFormat="1" applyFont="1" applyBorder="1" applyAlignment="1">
      <alignment vertical="center"/>
    </xf>
    <xf numFmtId="10" fontId="70" fillId="0" borderId="42" xfId="67" applyNumberFormat="1" applyFont="1" applyBorder="1" applyAlignment="1">
      <alignment vertical="center"/>
    </xf>
    <xf numFmtId="10" fontId="41" fillId="0" borderId="42" xfId="0" applyNumberFormat="1" applyFont="1" applyBorder="1" applyAlignment="1">
      <alignment vertical="center"/>
    </xf>
    <xf numFmtId="0" fontId="70" fillId="0" borderId="52" xfId="0" applyFont="1" applyBorder="1" applyAlignment="1">
      <alignment vertical="center"/>
    </xf>
    <xf numFmtId="0" fontId="83" fillId="0" borderId="0" xfId="0" applyFont="1" applyAlignment="1">
      <alignment vertical="center"/>
    </xf>
    <xf numFmtId="0" fontId="70" fillId="0" borderId="39" xfId="0" applyFont="1" applyBorder="1" applyAlignment="1">
      <alignment horizontal="left" vertical="center"/>
    </xf>
    <xf numFmtId="1" fontId="70" fillId="0" borderId="24" xfId="0" applyNumberFormat="1" applyFont="1" applyBorder="1" applyAlignment="1">
      <alignment horizontal="center" vertical="center"/>
    </xf>
    <xf numFmtId="1" fontId="70" fillId="0" borderId="53" xfId="0" applyNumberFormat="1" applyFont="1" applyBorder="1" applyAlignment="1">
      <alignment horizontal="center" vertical="center"/>
    </xf>
    <xf numFmtId="0" fontId="70" fillId="0" borderId="54" xfId="0" applyFont="1" applyBorder="1" applyAlignment="1">
      <alignment vertical="center"/>
    </xf>
    <xf numFmtId="10" fontId="70" fillId="0" borderId="48" xfId="67" applyNumberFormat="1" applyFont="1" applyBorder="1" applyAlignment="1">
      <alignment vertical="center"/>
    </xf>
    <xf numFmtId="10" fontId="70" fillId="0" borderId="48" xfId="0" applyNumberFormat="1" applyFont="1" applyBorder="1" applyAlignment="1">
      <alignment vertical="center"/>
    </xf>
    <xf numFmtId="0" fontId="70" fillId="0" borderId="40" xfId="0" applyFont="1" applyBorder="1" applyAlignment="1">
      <alignment vertical="center"/>
    </xf>
    <xf numFmtId="3" fontId="70" fillId="0" borderId="23" xfId="67" applyNumberFormat="1" applyFont="1" applyBorder="1" applyAlignment="1">
      <alignment vertical="center"/>
    </xf>
    <xf numFmtId="0" fontId="70" fillId="0" borderId="55" xfId="0" applyFont="1" applyBorder="1" applyAlignment="1">
      <alignment vertical="center"/>
    </xf>
    <xf numFmtId="0" fontId="70" fillId="0" borderId="56" xfId="0" applyFont="1" applyBorder="1" applyAlignment="1">
      <alignment vertical="center"/>
    </xf>
    <xf numFmtId="0" fontId="69" fillId="0" borderId="39" xfId="0" applyFont="1" applyBorder="1" applyAlignment="1">
      <alignment vertical="center"/>
    </xf>
    <xf numFmtId="3" fontId="70" fillId="0" borderId="48" xfId="0" applyNumberFormat="1" applyFont="1" applyBorder="1" applyAlignment="1">
      <alignment vertical="center"/>
    </xf>
    <xf numFmtId="3" fontId="70" fillId="0" borderId="57" xfId="0" applyNumberFormat="1" applyFont="1" applyBorder="1" applyAlignment="1">
      <alignment vertical="center"/>
    </xf>
    <xf numFmtId="3" fontId="70" fillId="0" borderId="23" xfId="0" applyNumberFormat="1" applyFont="1" applyBorder="1" applyAlignment="1">
      <alignment vertical="center"/>
    </xf>
    <xf numFmtId="3" fontId="70"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0" fillId="0" borderId="54" xfId="0" applyFont="1" applyBorder="1" applyAlignment="1">
      <alignment horizontal="left" vertical="center"/>
    </xf>
    <xf numFmtId="3" fontId="70" fillId="0" borderId="48" xfId="0" applyNumberFormat="1" applyFont="1" applyBorder="1" applyAlignment="1">
      <alignment horizontal="right" vertical="center"/>
    </xf>
    <xf numFmtId="165" fontId="70" fillId="0" borderId="48" xfId="0" applyNumberFormat="1" applyFont="1" applyBorder="1" applyAlignment="1">
      <alignment vertical="center"/>
    </xf>
    <xf numFmtId="0" fontId="69" fillId="0" borderId="54" xfId="0" applyFont="1" applyBorder="1" applyAlignment="1">
      <alignment horizontal="left" vertical="center"/>
    </xf>
    <xf numFmtId="175" fontId="79"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0" fillId="0" borderId="48" xfId="0" applyNumberFormat="1" applyFont="1" applyBorder="1" applyAlignment="1">
      <alignment vertical="center"/>
    </xf>
    <xf numFmtId="0" fontId="69" fillId="0" borderId="40" xfId="0" applyFont="1" applyBorder="1" applyAlignment="1">
      <alignment horizontal="left" vertical="center"/>
    </xf>
    <xf numFmtId="175"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69" fillId="0" borderId="54" xfId="0" applyFont="1" applyBorder="1" applyAlignment="1">
      <alignment vertical="center"/>
    </xf>
    <xf numFmtId="3" fontId="41" fillId="0" borderId="48" xfId="67" applyNumberFormat="1" applyFont="1" applyBorder="1" applyAlignment="1">
      <alignment vertical="center"/>
    </xf>
    <xf numFmtId="0" fontId="70" fillId="0" borderId="54" xfId="0" applyFont="1" applyBorder="1" applyAlignment="1">
      <alignment horizontal="left" vertical="center" wrapText="1"/>
    </xf>
    <xf numFmtId="176"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69" fillId="0" borderId="40" xfId="0" applyFont="1" applyBorder="1" applyAlignment="1">
      <alignment vertical="center"/>
    </xf>
    <xf numFmtId="164" fontId="79" fillId="0" borderId="23" xfId="0" applyNumberFormat="1" applyFont="1" applyBorder="1" applyAlignment="1">
      <alignment horizontal="center" vertical="center"/>
    </xf>
    <xf numFmtId="0" fontId="70" fillId="0" borderId="59" xfId="0" applyFont="1" applyBorder="1" applyAlignment="1">
      <alignment vertical="center"/>
    </xf>
    <xf numFmtId="171" fontId="70" fillId="0" borderId="0" xfId="0" applyNumberFormat="1" applyFont="1" applyAlignment="1">
      <alignment vertical="center"/>
    </xf>
    <xf numFmtId="0" fontId="70" fillId="27" borderId="0" xfId="0" applyFont="1" applyFill="1" applyAlignment="1">
      <alignment vertical="center"/>
    </xf>
    <xf numFmtId="0" fontId="38" fillId="0" borderId="0" xfId="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0" fillId="0" borderId="45" xfId="0" applyFont="1" applyBorder="1" applyAlignment="1">
      <alignment horizontal="center" vertical="center"/>
    </xf>
    <xf numFmtId="0" fontId="70" fillId="0" borderId="46" xfId="0" applyFont="1" applyBorder="1" applyAlignment="1">
      <alignment horizontal="center" vertical="center"/>
    </xf>
    <xf numFmtId="0" fontId="70" fillId="0" borderId="47" xfId="0" applyFont="1" applyBorder="1" applyAlignment="1">
      <alignment horizontal="center" vertical="center"/>
    </xf>
    <xf numFmtId="0" fontId="70" fillId="0" borderId="0" xfId="0" applyFont="1" applyAlignment="1">
      <alignment horizontal="left" vertical="center" wrapText="1"/>
    </xf>
    <xf numFmtId="0" fontId="80" fillId="0" borderId="0" xfId="0" applyFont="1" applyAlignment="1">
      <alignment horizontal="center" vertical="center" wrapText="1"/>
    </xf>
    <xf numFmtId="0" fontId="70"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0" xfId="2" applyFont="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173" fontId="10" fillId="0" borderId="1" xfId="2" applyNumberFormat="1" applyFont="1" applyBorder="1" applyAlignment="1">
      <alignment horizontal="center"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0/J%2019-10%20&#1087;&#1072;&#1089;&#1087;&#1086;&#1088;&#1090;_&#1082;&#1072;&#1088;&#1090;&#1072;/J%2019-10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efreshError="1"/>
      <sheetData sheetId="2" refreshError="1"/>
      <sheetData sheetId="3" refreshError="1">
        <row r="21">
          <cell r="D21">
            <v>1.3152447360673798</v>
          </cell>
          <cell r="E21">
            <v>0.7752482171944991</v>
          </cell>
          <cell r="F21">
            <v>4.3638802015715239</v>
          </cell>
          <cell r="G21">
            <v>1.0201104418583393E-2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0_&#1082;&#1072;&#1088;&#1090;&#1099;_&#1058;&#1055;-1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56" sqref="C5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6" t="s">
        <v>617</v>
      </c>
      <c r="B5" s="286"/>
      <c r="C5" s="286"/>
      <c r="D5" s="85"/>
      <c r="E5" s="85"/>
      <c r="F5" s="85"/>
      <c r="G5" s="85"/>
      <c r="H5" s="85"/>
      <c r="I5" s="85"/>
      <c r="J5" s="85"/>
    </row>
    <row r="6" spans="1:22" s="8" customFormat="1" ht="18.75" x14ac:dyDescent="0.3">
      <c r="A6" s="13"/>
      <c r="H6" s="12"/>
    </row>
    <row r="7" spans="1:22" s="8" customFormat="1" ht="18.75" x14ac:dyDescent="0.2">
      <c r="A7" s="290" t="s">
        <v>7</v>
      </c>
      <c r="B7" s="290"/>
      <c r="C7" s="29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2" t="s">
        <v>547</v>
      </c>
      <c r="B9" s="292"/>
      <c r="C9" s="292"/>
      <c r="D9" s="7"/>
      <c r="E9" s="7"/>
      <c r="F9" s="7"/>
      <c r="G9" s="7"/>
      <c r="H9" s="7"/>
      <c r="I9" s="10"/>
      <c r="J9" s="10"/>
      <c r="K9" s="10"/>
      <c r="L9" s="10"/>
      <c r="M9" s="10"/>
      <c r="N9" s="10"/>
      <c r="O9" s="10"/>
      <c r="P9" s="10"/>
      <c r="Q9" s="10"/>
      <c r="R9" s="10"/>
      <c r="S9" s="10"/>
      <c r="T9" s="10"/>
      <c r="U9" s="10"/>
      <c r="V9" s="10"/>
    </row>
    <row r="10" spans="1:22" s="8" customFormat="1" ht="18.75" x14ac:dyDescent="0.2">
      <c r="A10" s="287" t="s">
        <v>6</v>
      </c>
      <c r="B10" s="287"/>
      <c r="C10" s="28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1" t="s">
        <v>595</v>
      </c>
      <c r="B12" s="291"/>
      <c r="C12" s="291"/>
      <c r="D12" s="7"/>
      <c r="E12" s="7"/>
      <c r="F12" s="7"/>
      <c r="G12" s="7"/>
      <c r="H12" s="7"/>
      <c r="I12" s="10"/>
      <c r="J12" s="10"/>
      <c r="K12" s="10"/>
      <c r="L12" s="10"/>
      <c r="M12" s="10"/>
      <c r="N12" s="10"/>
      <c r="O12" s="10"/>
      <c r="P12" s="10"/>
      <c r="Q12" s="10"/>
      <c r="R12" s="10"/>
      <c r="S12" s="10"/>
      <c r="T12" s="10"/>
      <c r="U12" s="10"/>
      <c r="V12" s="10"/>
    </row>
    <row r="13" spans="1:22" s="8" customFormat="1" ht="18.75" x14ac:dyDescent="0.2">
      <c r="A13" s="287" t="s">
        <v>5</v>
      </c>
      <c r="B13" s="287"/>
      <c r="C13" s="28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88" t="s">
        <v>596</v>
      </c>
      <c r="B15" s="288"/>
      <c r="C15" s="288"/>
      <c r="D15" s="7"/>
      <c r="E15" s="7"/>
      <c r="F15" s="7"/>
      <c r="G15" s="7"/>
      <c r="H15" s="7"/>
      <c r="I15" s="7"/>
      <c r="J15" s="7"/>
      <c r="K15" s="7"/>
      <c r="L15" s="7"/>
      <c r="M15" s="7"/>
      <c r="N15" s="7"/>
      <c r="O15" s="7"/>
      <c r="P15" s="7"/>
      <c r="Q15" s="7"/>
      <c r="R15" s="7"/>
      <c r="S15" s="7"/>
      <c r="T15" s="7"/>
      <c r="U15" s="7"/>
      <c r="V15" s="7"/>
    </row>
    <row r="16" spans="1:22" s="3" customFormat="1" ht="15" customHeight="1" x14ac:dyDescent="0.2">
      <c r="A16" s="287" t="s">
        <v>4</v>
      </c>
      <c r="B16" s="287"/>
      <c r="C16" s="28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8" t="s">
        <v>408</v>
      </c>
      <c r="B18" s="289"/>
      <c r="C18" s="28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88" t="s">
        <v>564</v>
      </c>
      <c r="D22" s="5"/>
      <c r="E22" s="5"/>
      <c r="F22" s="5"/>
      <c r="G22" s="5"/>
      <c r="H22" s="5"/>
      <c r="I22" s="4"/>
      <c r="J22" s="4"/>
      <c r="K22" s="4"/>
      <c r="L22" s="4"/>
      <c r="M22" s="4"/>
      <c r="N22" s="4"/>
      <c r="O22" s="4"/>
      <c r="P22" s="4"/>
      <c r="Q22" s="4"/>
      <c r="R22" s="4"/>
      <c r="S22" s="4"/>
    </row>
    <row r="23" spans="1:22" s="3" customFormat="1" ht="47.25" x14ac:dyDescent="0.2">
      <c r="A23" s="15" t="s">
        <v>61</v>
      </c>
      <c r="B23" s="18" t="s">
        <v>534</v>
      </c>
      <c r="C23" s="188" t="s">
        <v>565</v>
      </c>
      <c r="D23" s="5"/>
      <c r="E23" s="5"/>
      <c r="F23" s="5"/>
      <c r="G23" s="5"/>
      <c r="H23" s="5"/>
      <c r="I23" s="4"/>
      <c r="J23" s="4"/>
      <c r="K23" s="4"/>
      <c r="L23" s="4"/>
      <c r="M23" s="4"/>
      <c r="N23" s="4"/>
      <c r="O23" s="4"/>
      <c r="P23" s="4"/>
      <c r="Q23" s="4"/>
      <c r="R23" s="4"/>
      <c r="S23" s="4"/>
    </row>
    <row r="24" spans="1:22" s="3" customFormat="1" ht="22.5" customHeight="1" x14ac:dyDescent="0.2">
      <c r="A24" s="283"/>
      <c r="B24" s="284"/>
      <c r="C24" s="285"/>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559</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578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560</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561</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562</v>
      </c>
      <c r="D33" s="5"/>
      <c r="E33" s="5"/>
      <c r="F33" s="5"/>
      <c r="G33" s="5"/>
      <c r="H33" s="4"/>
      <c r="I33" s="4"/>
      <c r="J33" s="4"/>
      <c r="K33" s="4"/>
      <c r="L33" s="4"/>
      <c r="M33" s="4"/>
      <c r="N33" s="4"/>
      <c r="O33" s="4"/>
      <c r="P33" s="4"/>
      <c r="Q33" s="4"/>
      <c r="R33" s="4"/>
    </row>
    <row r="34" spans="1:18" ht="111" customHeight="1" x14ac:dyDescent="0.25">
      <c r="A34" s="15" t="s">
        <v>377</v>
      </c>
      <c r="B34" s="22" t="s">
        <v>364</v>
      </c>
      <c r="C34" s="16" t="s">
        <v>544</v>
      </c>
    </row>
    <row r="35" spans="1:18" ht="58.5" customHeight="1" x14ac:dyDescent="0.25">
      <c r="A35" s="15" t="s">
        <v>367</v>
      </c>
      <c r="B35" s="22" t="s">
        <v>69</v>
      </c>
      <c r="C35" s="16" t="s">
        <v>435</v>
      </c>
    </row>
    <row r="36" spans="1:18" ht="51.75" customHeight="1" x14ac:dyDescent="0.25">
      <c r="A36" s="15" t="s">
        <v>378</v>
      </c>
      <c r="B36" s="22" t="s">
        <v>365</v>
      </c>
      <c r="C36" s="16" t="s">
        <v>563</v>
      </c>
    </row>
    <row r="37" spans="1:18" ht="43.5" customHeight="1" x14ac:dyDescent="0.25">
      <c r="A37" s="15" t="s">
        <v>368</v>
      </c>
      <c r="B37" s="22" t="s">
        <v>366</v>
      </c>
      <c r="C37" s="16" t="s">
        <v>544</v>
      </c>
    </row>
    <row r="38" spans="1:18" ht="43.5" customHeight="1" x14ac:dyDescent="0.25">
      <c r="A38" s="15" t="s">
        <v>379</v>
      </c>
      <c r="B38" s="22" t="s">
        <v>209</v>
      </c>
      <c r="C38" s="16" t="s">
        <v>563</v>
      </c>
    </row>
    <row r="39" spans="1:18" ht="23.25" customHeight="1" x14ac:dyDescent="0.25">
      <c r="A39" s="283"/>
      <c r="B39" s="284"/>
      <c r="C39" s="285"/>
    </row>
    <row r="40" spans="1:18" ht="63" x14ac:dyDescent="0.25">
      <c r="A40" s="15" t="s">
        <v>369</v>
      </c>
      <c r="B40" s="22" t="s">
        <v>420</v>
      </c>
      <c r="C40" s="16" t="s">
        <v>593</v>
      </c>
    </row>
    <row r="41" spans="1:18" ht="169.5" customHeight="1" x14ac:dyDescent="0.25">
      <c r="A41" s="15" t="s">
        <v>380</v>
      </c>
      <c r="B41" s="22" t="s">
        <v>403</v>
      </c>
      <c r="C41" s="123" t="s">
        <v>538</v>
      </c>
    </row>
    <row r="42" spans="1:18" ht="162.75" customHeight="1" x14ac:dyDescent="0.25">
      <c r="A42" s="15" t="s">
        <v>370</v>
      </c>
      <c r="B42" s="22" t="s">
        <v>417</v>
      </c>
      <c r="C42" s="22" t="s">
        <v>538</v>
      </c>
    </row>
    <row r="43" spans="1:18" ht="186" customHeight="1" x14ac:dyDescent="0.25">
      <c r="A43" s="15" t="s">
        <v>383</v>
      </c>
      <c r="B43" s="22" t="s">
        <v>384</v>
      </c>
      <c r="C43" s="87" t="s">
        <v>542</v>
      </c>
    </row>
    <row r="44" spans="1:18" ht="111" customHeight="1" x14ac:dyDescent="0.25">
      <c r="A44" s="15" t="s">
        <v>371</v>
      </c>
      <c r="B44" s="22" t="s">
        <v>409</v>
      </c>
      <c r="C44" s="2" t="s">
        <v>544</v>
      </c>
    </row>
    <row r="45" spans="1:18" ht="120" customHeight="1" x14ac:dyDescent="0.25">
      <c r="A45" s="15" t="s">
        <v>404</v>
      </c>
      <c r="B45" s="22" t="s">
        <v>410</v>
      </c>
      <c r="C45" s="96" t="s">
        <v>538</v>
      </c>
    </row>
    <row r="46" spans="1:18" ht="101.25" customHeight="1" x14ac:dyDescent="0.25">
      <c r="A46" s="15" t="s">
        <v>372</v>
      </c>
      <c r="B46" s="22" t="s">
        <v>411</v>
      </c>
      <c r="C46" s="96" t="s">
        <v>437</v>
      </c>
    </row>
    <row r="47" spans="1:18" ht="18.75" customHeight="1" x14ac:dyDescent="0.25">
      <c r="A47" s="283"/>
      <c r="B47" s="284"/>
      <c r="C47" s="285"/>
    </row>
    <row r="48" spans="1:18" ht="75.75" hidden="1" customHeight="1" x14ac:dyDescent="0.25">
      <c r="A48" s="15" t="s">
        <v>405</v>
      </c>
      <c r="B48" s="22" t="s">
        <v>418</v>
      </c>
      <c r="C48" s="170" t="str">
        <f>CONCATENATE(ROUND('6.2. Паспорт фин осв ввод факт'!AB24,2)," млн.руб.")</f>
        <v>294,53 млн.руб.</v>
      </c>
      <c r="D48" s="1" t="s">
        <v>540</v>
      </c>
    </row>
    <row r="49" spans="1:4" ht="71.25" hidden="1" customHeight="1" x14ac:dyDescent="0.25">
      <c r="A49" s="15" t="s">
        <v>373</v>
      </c>
      <c r="B49" s="22" t="s">
        <v>419</v>
      </c>
      <c r="C49" s="170" t="str">
        <f>CONCATENATE(ROUND('6.2. Паспорт фин осв ввод факт'!AB30,2)," млн.руб.")</f>
        <v>249,6 млн.руб.</v>
      </c>
      <c r="D49" s="1" t="s">
        <v>540</v>
      </c>
    </row>
    <row r="50" spans="1:4" ht="75.75" customHeight="1" x14ac:dyDescent="0.25">
      <c r="A50" s="15" t="s">
        <v>405</v>
      </c>
      <c r="B50" s="22" t="s">
        <v>418</v>
      </c>
      <c r="C50" s="170" t="s">
        <v>538</v>
      </c>
      <c r="D50" s="1" t="s">
        <v>541</v>
      </c>
    </row>
    <row r="51" spans="1:4" ht="71.25" customHeight="1" x14ac:dyDescent="0.25">
      <c r="A51" s="15" t="s">
        <v>373</v>
      </c>
      <c r="B51" s="22" t="s">
        <v>419</v>
      </c>
      <c r="C51" s="170" t="s">
        <v>538</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4" t="str">
        <f>'1. паспорт местоположение'!A5:C5</f>
        <v>Год раскрытия информации: 2023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row>
    <row r="5" spans="1:29" ht="18.75" x14ac:dyDescent="0.3">
      <c r="AC5" s="12"/>
    </row>
    <row r="6" spans="1:29" ht="18.75" x14ac:dyDescent="0.25">
      <c r="A6" s="290" t="s">
        <v>7</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5" t="str">
        <f>'1. паспорт местоположение'!A9:C9</f>
        <v xml:space="preserve">Акционерное общество "Западная энергетическая компания" </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row>
    <row r="9" spans="1:29" ht="18.75" customHeight="1" x14ac:dyDescent="0.25">
      <c r="A9" s="287" t="s">
        <v>6</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5" t="str">
        <f>'1. паспорт местоположение'!A12:C12</f>
        <v>J 19-10</v>
      </c>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row>
    <row r="12" spans="1:29" x14ac:dyDescent="0.25">
      <c r="A12" s="287" t="s">
        <v>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6" t="str">
        <f>'1. паспорт местоположение'!A15:C15</f>
        <v>Реконструкция ТП-12 15/0,4кВ п.Южный, Багратионовского р-на</v>
      </c>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row>
    <row r="15" spans="1:29" ht="15.75" customHeight="1" x14ac:dyDescent="0.25">
      <c r="A15" s="287" t="s">
        <v>4</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row>
    <row r="16" spans="1:29"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row>
    <row r="18" spans="1:32" x14ac:dyDescent="0.25">
      <c r="A18" s="359" t="s">
        <v>393</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row>
    <row r="20" spans="1:32" ht="33" customHeight="1" x14ac:dyDescent="0.25">
      <c r="A20" s="348" t="s">
        <v>183</v>
      </c>
      <c r="B20" s="348" t="s">
        <v>182</v>
      </c>
      <c r="C20" s="344" t="s">
        <v>181</v>
      </c>
      <c r="D20" s="344"/>
      <c r="E20" s="358" t="s">
        <v>180</v>
      </c>
      <c r="F20" s="358"/>
      <c r="G20" s="348" t="s">
        <v>423</v>
      </c>
      <c r="H20" s="351" t="s">
        <v>424</v>
      </c>
      <c r="I20" s="352"/>
      <c r="J20" s="352"/>
      <c r="K20" s="352"/>
      <c r="L20" s="351" t="s">
        <v>425</v>
      </c>
      <c r="M20" s="352"/>
      <c r="N20" s="352"/>
      <c r="O20" s="352"/>
      <c r="P20" s="351" t="s">
        <v>426</v>
      </c>
      <c r="Q20" s="352"/>
      <c r="R20" s="352"/>
      <c r="S20" s="352"/>
      <c r="T20" s="351" t="s">
        <v>439</v>
      </c>
      <c r="U20" s="352"/>
      <c r="V20" s="352"/>
      <c r="W20" s="352"/>
      <c r="X20" s="351" t="s">
        <v>440</v>
      </c>
      <c r="Y20" s="352"/>
      <c r="Z20" s="352"/>
      <c r="AA20" s="352"/>
      <c r="AB20" s="360" t="s">
        <v>179</v>
      </c>
      <c r="AC20" s="360"/>
      <c r="AD20" s="49"/>
      <c r="AE20" s="49"/>
      <c r="AF20" s="49"/>
    </row>
    <row r="21" spans="1:32" ht="99.75" customHeight="1" x14ac:dyDescent="0.25">
      <c r="A21" s="349"/>
      <c r="B21" s="349"/>
      <c r="C21" s="344"/>
      <c r="D21" s="344"/>
      <c r="E21" s="358"/>
      <c r="F21" s="358"/>
      <c r="G21" s="349"/>
      <c r="H21" s="344" t="s">
        <v>2</v>
      </c>
      <c r="I21" s="344"/>
      <c r="J21" s="344" t="s">
        <v>9</v>
      </c>
      <c r="K21" s="344"/>
      <c r="L21" s="344" t="s">
        <v>2</v>
      </c>
      <c r="M21" s="344"/>
      <c r="N21" s="344" t="s">
        <v>9</v>
      </c>
      <c r="O21" s="344"/>
      <c r="P21" s="344" t="s">
        <v>2</v>
      </c>
      <c r="Q21" s="344"/>
      <c r="R21" s="344" t="s">
        <v>178</v>
      </c>
      <c r="S21" s="344"/>
      <c r="T21" s="344" t="s">
        <v>2</v>
      </c>
      <c r="U21" s="344"/>
      <c r="V21" s="344" t="s">
        <v>178</v>
      </c>
      <c r="W21" s="344"/>
      <c r="X21" s="344" t="s">
        <v>2</v>
      </c>
      <c r="Y21" s="344"/>
      <c r="Z21" s="344" t="s">
        <v>178</v>
      </c>
      <c r="AA21" s="344"/>
      <c r="AB21" s="360"/>
      <c r="AC21" s="360"/>
    </row>
    <row r="22" spans="1:32" ht="89.25" customHeight="1" x14ac:dyDescent="0.25">
      <c r="A22" s="350"/>
      <c r="B22" s="350"/>
      <c r="C22" s="46" t="s">
        <v>2</v>
      </c>
      <c r="D22" s="46" t="s">
        <v>178</v>
      </c>
      <c r="E22" s="48" t="s">
        <v>438</v>
      </c>
      <c r="F22" s="48" t="s">
        <v>483</v>
      </c>
      <c r="G22" s="350"/>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356</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530</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530</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530</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47"/>
      <c r="C66" s="347"/>
      <c r="D66" s="347"/>
      <c r="E66" s="347"/>
      <c r="F66" s="347"/>
      <c r="G66" s="347"/>
      <c r="H66" s="347"/>
      <c r="I66" s="34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47"/>
      <c r="C68" s="347"/>
      <c r="D68" s="347"/>
      <c r="E68" s="347"/>
      <c r="F68" s="347"/>
      <c r="G68" s="347"/>
      <c r="H68" s="347"/>
      <c r="I68" s="347"/>
      <c r="J68" s="35"/>
      <c r="K68" s="35"/>
    </row>
    <row r="70" spans="1:28" ht="36.75" customHeight="1" x14ac:dyDescent="0.25">
      <c r="B70" s="347"/>
      <c r="C70" s="347"/>
      <c r="D70" s="347"/>
      <c r="E70" s="347"/>
      <c r="F70" s="347"/>
      <c r="G70" s="347"/>
      <c r="H70" s="347"/>
      <c r="I70" s="347"/>
      <c r="J70" s="35"/>
      <c r="K70" s="35"/>
    </row>
    <row r="71" spans="1:28" x14ac:dyDescent="0.25">
      <c r="N71" s="36"/>
      <c r="V71" s="36"/>
    </row>
    <row r="72" spans="1:28" ht="51" customHeight="1" x14ac:dyDescent="0.25">
      <c r="B72" s="347"/>
      <c r="C72" s="347"/>
      <c r="D72" s="347"/>
      <c r="E72" s="347"/>
      <c r="F72" s="347"/>
      <c r="G72" s="347"/>
      <c r="H72" s="347"/>
      <c r="I72" s="347"/>
      <c r="J72" s="35"/>
      <c r="K72" s="35"/>
      <c r="N72" s="36"/>
      <c r="V72" s="36"/>
    </row>
    <row r="73" spans="1:28" ht="32.25" customHeight="1" x14ac:dyDescent="0.25">
      <c r="B73" s="347"/>
      <c r="C73" s="347"/>
      <c r="D73" s="347"/>
      <c r="E73" s="347"/>
      <c r="F73" s="347"/>
      <c r="G73" s="347"/>
      <c r="H73" s="347"/>
      <c r="I73" s="347"/>
      <c r="J73" s="35"/>
      <c r="K73" s="35"/>
    </row>
    <row r="74" spans="1:28" ht="51.75" customHeight="1" x14ac:dyDescent="0.25">
      <c r="B74" s="347"/>
      <c r="C74" s="347"/>
      <c r="D74" s="347"/>
      <c r="E74" s="347"/>
      <c r="F74" s="347"/>
      <c r="G74" s="347"/>
      <c r="H74" s="347"/>
      <c r="I74" s="347"/>
      <c r="J74" s="35"/>
      <c r="K74" s="35"/>
    </row>
    <row r="75" spans="1:28" ht="21.75" customHeight="1" x14ac:dyDescent="0.25">
      <c r="B75" s="353"/>
      <c r="C75" s="353"/>
      <c r="D75" s="353"/>
      <c r="E75" s="353"/>
      <c r="F75" s="353"/>
      <c r="G75" s="353"/>
      <c r="H75" s="353"/>
      <c r="I75" s="353"/>
      <c r="J75" s="34"/>
      <c r="K75" s="34"/>
    </row>
    <row r="76" spans="1:28" ht="23.25" customHeight="1" x14ac:dyDescent="0.25"/>
    <row r="77" spans="1:28" ht="18.75" customHeight="1" x14ac:dyDescent="0.25">
      <c r="B77" s="346"/>
      <c r="C77" s="346"/>
      <c r="D77" s="346"/>
      <c r="E77" s="346"/>
      <c r="F77" s="346"/>
      <c r="G77" s="346"/>
      <c r="H77" s="346"/>
      <c r="I77" s="34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66" priority="26" operator="notEqual">
      <formula>0</formula>
    </cfRule>
  </conditionalFormatting>
  <conditionalFormatting sqref="AB24:AB64">
    <cfRule type="cellIs" dxfId="65" priority="25" operator="notEqual">
      <formula>0</formula>
    </cfRule>
  </conditionalFormatting>
  <conditionalFormatting sqref="I34 K25:M29 K46:K49 K55:K56 K51:M51 K58:M64 Q44:Q50 M46:M50 L45:L50 Q52:Q57 L52:M57 O52:O57 O35:Q43 O44:O50 O58:Q64 O51:Q51 O25:Q29 P31:Q34 K31:M44">
    <cfRule type="cellIs" dxfId="64" priority="24" operator="notEqual">
      <formula>0</formula>
    </cfRule>
  </conditionalFormatting>
  <conditionalFormatting sqref="G30:I30 K30:M30 O30:Y30">
    <cfRule type="cellIs" dxfId="63" priority="23" operator="notEqual">
      <formula>0</formula>
    </cfRule>
  </conditionalFormatting>
  <conditionalFormatting sqref="E45:I45">
    <cfRule type="cellIs" dxfId="62" priority="22" operator="notEqual">
      <formula>0</formula>
    </cfRule>
  </conditionalFormatting>
  <conditionalFormatting sqref="K45 M45">
    <cfRule type="cellIs" dxfId="61" priority="21" operator="notEqual">
      <formula>0</formula>
    </cfRule>
  </conditionalFormatting>
  <conditionalFormatting sqref="E52:I54">
    <cfRule type="cellIs" dxfId="60" priority="20" operator="notEqual">
      <formula>0</formula>
    </cfRule>
  </conditionalFormatting>
  <conditionalFormatting sqref="K52:K54">
    <cfRule type="cellIs" dxfId="59" priority="19" operator="notEqual">
      <formula>0</formula>
    </cfRule>
  </conditionalFormatting>
  <conditionalFormatting sqref="K50">
    <cfRule type="cellIs" dxfId="58" priority="17" operator="notEqual">
      <formula>0</formula>
    </cfRule>
  </conditionalFormatting>
  <conditionalFormatting sqref="K57">
    <cfRule type="cellIs" dxfId="57" priority="15" operator="notEqual">
      <formula>0</formula>
    </cfRule>
  </conditionalFormatting>
  <conditionalFormatting sqref="P44:P50">
    <cfRule type="cellIs" dxfId="56" priority="14" operator="notEqual">
      <formula>0</formula>
    </cfRule>
  </conditionalFormatting>
  <conditionalFormatting sqref="P52:P57">
    <cfRule type="cellIs" dxfId="55" priority="13" operator="notEqual">
      <formula>0</formula>
    </cfRule>
  </conditionalFormatting>
  <conditionalFormatting sqref="D24:D64">
    <cfRule type="cellIs" dxfId="54" priority="12" operator="notEqual">
      <formula>0</formula>
    </cfRule>
  </conditionalFormatting>
  <conditionalFormatting sqref="Z31:AA64 Z24:AA29">
    <cfRule type="cellIs" dxfId="53" priority="11" operator="notEqual">
      <formula>0</formula>
    </cfRule>
  </conditionalFormatting>
  <conditionalFormatting sqref="Z30:AA30">
    <cfRule type="cellIs" dxfId="52" priority="10" operator="notEqual">
      <formula>0</formula>
    </cfRule>
  </conditionalFormatting>
  <conditionalFormatting sqref="J55:J64 J46:J51 J31:J44 J24:J29">
    <cfRule type="cellIs" dxfId="51" priority="9" operator="notEqual">
      <formula>0</formula>
    </cfRule>
  </conditionalFormatting>
  <conditionalFormatting sqref="J30">
    <cfRule type="cellIs" dxfId="50" priority="8" operator="notEqual">
      <formula>0</formula>
    </cfRule>
  </conditionalFormatting>
  <conditionalFormatting sqref="J45">
    <cfRule type="cellIs" dxfId="49" priority="7" operator="notEqual">
      <formula>0</formula>
    </cfRule>
  </conditionalFormatting>
  <conditionalFormatting sqref="J52:J54">
    <cfRule type="cellIs" dxfId="48" priority="6" operator="notEqual">
      <formula>0</formula>
    </cfRule>
  </conditionalFormatting>
  <conditionalFormatting sqref="AC24:AC64">
    <cfRule type="cellIs" dxfId="47" priority="5" operator="notEqual">
      <formula>0</formula>
    </cfRule>
  </conditionalFormatting>
  <conditionalFormatting sqref="N24">
    <cfRule type="cellIs" dxfId="46" priority="4" operator="notEqual">
      <formula>0</formula>
    </cfRule>
  </conditionalFormatting>
  <conditionalFormatting sqref="N25:N29 N31:N64">
    <cfRule type="cellIs" dxfId="45" priority="3" operator="notEqual">
      <formula>0</formula>
    </cfRule>
  </conditionalFormatting>
  <conditionalFormatting sqref="N30">
    <cfRule type="cellIs" dxfId="44" priority="2" operator="notEqual">
      <formula>0</formula>
    </cfRule>
  </conditionalFormatting>
  <conditionalFormatting sqref="O31:O34">
    <cfRule type="cellIs" dxfId="4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15" zoomScale="70" zoomScaleNormal="70" zoomScaleSheetLayoutView="70" workbookViewId="0">
      <selection activeCell="F26" sqref="F26"/>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86" t="str">
        <f>'6.1. Паспорт сетевой график'!A5:K5</f>
        <v>Год раскрытия информации: 2023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row>
    <row r="5" spans="1:29" ht="18.75" x14ac:dyDescent="0.3">
      <c r="AC5" s="12"/>
    </row>
    <row r="6" spans="1:29"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row>
    <row r="7" spans="1:29" ht="18.75" x14ac:dyDescent="0.25">
      <c r="A7" s="108"/>
      <c r="B7" s="108"/>
      <c r="C7" s="108"/>
      <c r="D7" s="108"/>
      <c r="E7" s="108"/>
      <c r="F7" s="108"/>
      <c r="G7" s="108"/>
      <c r="H7" s="166"/>
      <c r="I7" s="166"/>
      <c r="J7" s="166"/>
      <c r="K7" s="166"/>
      <c r="L7" s="166"/>
      <c r="M7" s="166"/>
      <c r="N7" s="166"/>
      <c r="O7" s="166"/>
      <c r="P7" s="166"/>
      <c r="Q7" s="166"/>
      <c r="R7" s="166"/>
      <c r="S7" s="166"/>
      <c r="T7" s="166"/>
      <c r="U7" s="166"/>
      <c r="V7" s="166"/>
      <c r="W7" s="166"/>
      <c r="X7" s="166"/>
      <c r="Y7" s="166"/>
      <c r="Z7" s="166"/>
      <c r="AA7" s="166"/>
      <c r="AB7" s="166"/>
      <c r="AC7" s="166"/>
    </row>
    <row r="8" spans="1:29" x14ac:dyDescent="0.25">
      <c r="A8" s="292" t="str">
        <f>'6.1. Паспорт сетевой график'!A9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29" ht="18.75" customHeight="1"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row>
    <row r="10" spans="1:29" ht="18.75" x14ac:dyDescent="0.25">
      <c r="A10" s="108"/>
      <c r="B10" s="108"/>
      <c r="C10" s="108"/>
      <c r="D10" s="108"/>
      <c r="E10" s="108"/>
      <c r="F10" s="108"/>
      <c r="G10" s="108"/>
      <c r="H10" s="166"/>
      <c r="I10" s="166"/>
      <c r="J10" s="166"/>
      <c r="K10" s="166"/>
      <c r="L10" s="166"/>
      <c r="M10" s="166"/>
      <c r="N10" s="166"/>
      <c r="O10" s="166"/>
      <c r="P10" s="166"/>
      <c r="Q10" s="166"/>
      <c r="R10" s="166"/>
      <c r="S10" s="166"/>
      <c r="T10" s="166"/>
      <c r="U10" s="166"/>
      <c r="V10" s="166"/>
      <c r="W10" s="166"/>
      <c r="X10" s="166"/>
      <c r="Y10" s="166"/>
      <c r="Z10" s="166"/>
      <c r="AA10" s="166"/>
      <c r="AB10" s="166"/>
      <c r="AC10" s="166"/>
    </row>
    <row r="11" spans="1:29" x14ac:dyDescent="0.25">
      <c r="A11" s="292" t="str">
        <f>'6.1. Паспорт сетевой график'!A12</f>
        <v>J 19-10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29"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18" t="str">
        <f>'6.1. Паспорт сетевой график'!A15</f>
        <v>Реконструкция ТП-12 15/0,4кВ п.Южный, Багратионовского р-на</v>
      </c>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row>
    <row r="15" spans="1:29" ht="15.75" customHeight="1"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row>
    <row r="16" spans="1:29"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row>
    <row r="18" spans="1:32" ht="50.25" customHeight="1" x14ac:dyDescent="0.25">
      <c r="A18" s="362" t="s">
        <v>393</v>
      </c>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row>
    <row r="19" spans="1:32" ht="49.5" hidden="1" customHeight="1" x14ac:dyDescent="0.25">
      <c r="E19" s="48" t="s">
        <v>551</v>
      </c>
      <c r="F19" s="48" t="s">
        <v>552</v>
      </c>
      <c r="G19" s="48" t="s">
        <v>553</v>
      </c>
      <c r="H19" s="32" t="s">
        <v>554</v>
      </c>
      <c r="L19" s="32" t="s">
        <v>555</v>
      </c>
      <c r="P19" s="32" t="s">
        <v>556</v>
      </c>
    </row>
    <row r="20" spans="1:32" ht="33" customHeight="1" x14ac:dyDescent="0.25">
      <c r="A20" s="348" t="s">
        <v>183</v>
      </c>
      <c r="B20" s="348" t="s">
        <v>182</v>
      </c>
      <c r="C20" s="344" t="s">
        <v>181</v>
      </c>
      <c r="D20" s="344"/>
      <c r="E20" s="358" t="s">
        <v>180</v>
      </c>
      <c r="F20" s="358"/>
      <c r="G20" s="348" t="s">
        <v>602</v>
      </c>
      <c r="H20" s="351">
        <v>2020</v>
      </c>
      <c r="I20" s="352"/>
      <c r="J20" s="352"/>
      <c r="K20" s="361"/>
      <c r="L20" s="351">
        <v>2021</v>
      </c>
      <c r="M20" s="352"/>
      <c r="N20" s="352"/>
      <c r="O20" s="361"/>
      <c r="P20" s="351">
        <v>2022</v>
      </c>
      <c r="Q20" s="352"/>
      <c r="R20" s="352"/>
      <c r="S20" s="361"/>
      <c r="T20" s="351">
        <v>2023</v>
      </c>
      <c r="U20" s="352"/>
      <c r="V20" s="352"/>
      <c r="W20" s="361"/>
      <c r="X20" s="351">
        <v>2024</v>
      </c>
      <c r="Y20" s="352"/>
      <c r="Z20" s="352"/>
      <c r="AA20" s="352"/>
      <c r="AB20" s="360" t="s">
        <v>179</v>
      </c>
      <c r="AC20" s="360"/>
      <c r="AD20" s="49"/>
      <c r="AE20" s="49"/>
      <c r="AF20" s="49"/>
    </row>
    <row r="21" spans="1:32" ht="99.75" customHeight="1" x14ac:dyDescent="0.25">
      <c r="A21" s="349"/>
      <c r="B21" s="349"/>
      <c r="C21" s="344"/>
      <c r="D21" s="344"/>
      <c r="E21" s="358"/>
      <c r="F21" s="358"/>
      <c r="G21" s="349"/>
      <c r="H21" s="344" t="s">
        <v>2</v>
      </c>
      <c r="I21" s="344"/>
      <c r="J21" s="344" t="s">
        <v>9</v>
      </c>
      <c r="K21" s="344"/>
      <c r="L21" s="344" t="s">
        <v>2</v>
      </c>
      <c r="M21" s="344"/>
      <c r="N21" s="344" t="s">
        <v>9</v>
      </c>
      <c r="O21" s="344"/>
      <c r="P21" s="344" t="s">
        <v>2</v>
      </c>
      <c r="Q21" s="344"/>
      <c r="R21" s="344" t="s">
        <v>178</v>
      </c>
      <c r="S21" s="344"/>
      <c r="T21" s="344" t="s">
        <v>2</v>
      </c>
      <c r="U21" s="344"/>
      <c r="V21" s="344" t="s">
        <v>178</v>
      </c>
      <c r="W21" s="344"/>
      <c r="X21" s="344" t="s">
        <v>2</v>
      </c>
      <c r="Y21" s="344"/>
      <c r="Z21" s="344" t="s">
        <v>178</v>
      </c>
      <c r="AA21" s="344"/>
      <c r="AB21" s="360"/>
      <c r="AC21" s="360"/>
    </row>
    <row r="22" spans="1:32" ht="89.25" customHeight="1" x14ac:dyDescent="0.25">
      <c r="A22" s="350"/>
      <c r="B22" s="350"/>
      <c r="C22" s="46" t="s">
        <v>2</v>
      </c>
      <c r="D22" s="46" t="s">
        <v>178</v>
      </c>
      <c r="E22" s="48" t="s">
        <v>548</v>
      </c>
      <c r="F22" s="48" t="s">
        <v>618</v>
      </c>
      <c r="G22" s="350"/>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566</v>
      </c>
      <c r="AC22" s="46" t="s">
        <v>537</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7">
        <f>C30*1.2</f>
        <v>7.7574891111023838</v>
      </c>
      <c r="D24" s="394">
        <v>0</v>
      </c>
      <c r="E24" s="97">
        <f>C24</f>
        <v>7.7574891111023838</v>
      </c>
      <c r="F24" s="97">
        <f>E24</f>
        <v>7.7574891111023838</v>
      </c>
      <c r="G24" s="97">
        <v>0</v>
      </c>
      <c r="H24" s="97">
        <v>0</v>
      </c>
      <c r="I24" s="97">
        <f>SUM(I25:I29)</f>
        <v>0</v>
      </c>
      <c r="J24" s="97">
        <v>0</v>
      </c>
      <c r="K24" s="97">
        <v>0</v>
      </c>
      <c r="L24" s="97">
        <v>0</v>
      </c>
      <c r="M24" s="97">
        <f t="shared" ref="M24:Y24" si="0">SUM(M25:M29)</f>
        <v>0</v>
      </c>
      <c r="N24" s="97">
        <v>0</v>
      </c>
      <c r="O24" s="97">
        <v>0</v>
      </c>
      <c r="P24" s="97">
        <v>0</v>
      </c>
      <c r="Q24" s="97">
        <f t="shared" si="0"/>
        <v>0</v>
      </c>
      <c r="R24" s="97">
        <v>0</v>
      </c>
      <c r="S24" s="97">
        <v>0</v>
      </c>
      <c r="T24" s="97">
        <v>2.1240000000000001</v>
      </c>
      <c r="U24" s="97">
        <f t="shared" si="0"/>
        <v>0</v>
      </c>
      <c r="V24" s="394">
        <v>0</v>
      </c>
      <c r="W24" s="97">
        <f t="shared" ref="W24" si="1">SUM(W25:W29)</f>
        <v>0</v>
      </c>
      <c r="X24" s="97">
        <f>X30*1.2</f>
        <v>5.6334891111023833</v>
      </c>
      <c r="Y24" s="97">
        <f t="shared" si="0"/>
        <v>0</v>
      </c>
      <c r="Z24" s="394">
        <v>0</v>
      </c>
      <c r="AA24" s="97">
        <f t="shared" ref="AA24" si="2">SUM(AA25:AA29)</f>
        <v>0</v>
      </c>
      <c r="AB24" s="97">
        <f>H24+L24+P24+T24+X24</f>
        <v>7.7574891111023838</v>
      </c>
      <c r="AC24" s="97">
        <f>SUM(J24,N24,R24,V24,Z24)</f>
        <v>0</v>
      </c>
    </row>
    <row r="25" spans="1:32" ht="24" customHeight="1" x14ac:dyDescent="0.25">
      <c r="A25" s="41" t="s">
        <v>176</v>
      </c>
      <c r="B25" s="25" t="s">
        <v>175</v>
      </c>
      <c r="C25" s="97">
        <v>0</v>
      </c>
      <c r="D25" s="394">
        <v>0</v>
      </c>
      <c r="E25" s="97">
        <f t="shared" ref="E25:E29" si="3">C25</f>
        <v>0</v>
      </c>
      <c r="F25" s="97">
        <f t="shared" ref="F25:F64" si="4">E25</f>
        <v>0</v>
      </c>
      <c r="G25" s="99">
        <v>0</v>
      </c>
      <c r="H25" s="99">
        <f>C25</f>
        <v>0</v>
      </c>
      <c r="I25" s="99">
        <v>0</v>
      </c>
      <c r="J25" s="99">
        <v>0</v>
      </c>
      <c r="K25" s="99">
        <v>0</v>
      </c>
      <c r="L25" s="99">
        <f>'6.2. Паспорт фин осв ввод факт'!X25</f>
        <v>0</v>
      </c>
      <c r="M25" s="99">
        <v>0</v>
      </c>
      <c r="N25" s="99">
        <v>0</v>
      </c>
      <c r="O25" s="99">
        <v>0</v>
      </c>
      <c r="P25" s="97">
        <f t="shared" ref="P25" si="5">P31*1.2</f>
        <v>0</v>
      </c>
      <c r="Q25" s="99">
        <v>0</v>
      </c>
      <c r="R25" s="99">
        <v>0</v>
      </c>
      <c r="S25" s="99">
        <v>0</v>
      </c>
      <c r="T25" s="99">
        <v>0</v>
      </c>
      <c r="U25" s="99">
        <v>0</v>
      </c>
      <c r="V25" s="394">
        <v>0</v>
      </c>
      <c r="W25" s="99">
        <v>0</v>
      </c>
      <c r="X25" s="99">
        <v>0</v>
      </c>
      <c r="Y25" s="99">
        <v>0</v>
      </c>
      <c r="Z25" s="394">
        <v>0</v>
      </c>
      <c r="AA25" s="99">
        <v>0</v>
      </c>
      <c r="AB25" s="97">
        <f t="shared" ref="AB25:AB64" si="6">H25+L25+P25+T25+X25</f>
        <v>0</v>
      </c>
      <c r="AC25" s="97">
        <f t="shared" ref="AC25:AC64" si="7">SUM(J25,N25,R25,V25,Z25)</f>
        <v>0</v>
      </c>
    </row>
    <row r="26" spans="1:32" x14ac:dyDescent="0.25">
      <c r="A26" s="41" t="s">
        <v>174</v>
      </c>
      <c r="B26" s="25" t="s">
        <v>173</v>
      </c>
      <c r="C26" s="97">
        <v>0</v>
      </c>
      <c r="D26" s="394">
        <v>0</v>
      </c>
      <c r="E26" s="97">
        <f t="shared" si="3"/>
        <v>0</v>
      </c>
      <c r="F26" s="97">
        <f t="shared" si="4"/>
        <v>0</v>
      </c>
      <c r="G26" s="99">
        <v>0</v>
      </c>
      <c r="H26" s="99">
        <f>C26</f>
        <v>0</v>
      </c>
      <c r="I26" s="99">
        <v>0</v>
      </c>
      <c r="J26" s="99">
        <v>0</v>
      </c>
      <c r="K26" s="99">
        <v>0</v>
      </c>
      <c r="L26" s="99">
        <f>'6.2. Паспорт фин осв ввод факт'!X26</f>
        <v>0</v>
      </c>
      <c r="M26" s="99">
        <v>0</v>
      </c>
      <c r="N26" s="99">
        <v>0</v>
      </c>
      <c r="O26" s="99">
        <v>0</v>
      </c>
      <c r="P26" s="97">
        <v>0</v>
      </c>
      <c r="Q26" s="99">
        <v>0</v>
      </c>
      <c r="R26" s="99">
        <v>0</v>
      </c>
      <c r="S26" s="99">
        <v>0</v>
      </c>
      <c r="T26" s="99">
        <v>0</v>
      </c>
      <c r="U26" s="99">
        <v>0</v>
      </c>
      <c r="V26" s="394">
        <v>0</v>
      </c>
      <c r="W26" s="99">
        <v>0</v>
      </c>
      <c r="X26" s="99">
        <v>0</v>
      </c>
      <c r="Y26" s="99">
        <v>0</v>
      </c>
      <c r="Z26" s="394">
        <v>0</v>
      </c>
      <c r="AA26" s="99">
        <v>0</v>
      </c>
      <c r="AB26" s="97">
        <f t="shared" si="6"/>
        <v>0</v>
      </c>
      <c r="AC26" s="97">
        <f t="shared" si="7"/>
        <v>0</v>
      </c>
    </row>
    <row r="27" spans="1:32" ht="31.5" x14ac:dyDescent="0.25">
      <c r="A27" s="41" t="s">
        <v>172</v>
      </c>
      <c r="B27" s="25" t="s">
        <v>356</v>
      </c>
      <c r="C27" s="97">
        <f>C24</f>
        <v>7.7574891111023838</v>
      </c>
      <c r="D27" s="394">
        <v>0</v>
      </c>
      <c r="E27" s="97">
        <f t="shared" si="3"/>
        <v>7.7574891111023838</v>
      </c>
      <c r="F27" s="97">
        <f t="shared" si="4"/>
        <v>7.7574891111023838</v>
      </c>
      <c r="G27" s="99">
        <v>0</v>
      </c>
      <c r="H27" s="99">
        <v>0</v>
      </c>
      <c r="I27" s="99">
        <v>0</v>
      </c>
      <c r="J27" s="99">
        <v>0</v>
      </c>
      <c r="K27" s="99">
        <v>0</v>
      </c>
      <c r="L27" s="99">
        <v>0</v>
      </c>
      <c r="M27" s="99">
        <v>0</v>
      </c>
      <c r="N27" s="99">
        <v>0</v>
      </c>
      <c r="O27" s="99">
        <v>0</v>
      </c>
      <c r="P27" s="97">
        <v>0</v>
      </c>
      <c r="Q27" s="99">
        <v>0</v>
      </c>
      <c r="R27" s="99">
        <v>0</v>
      </c>
      <c r="S27" s="99">
        <v>0</v>
      </c>
      <c r="T27" s="99">
        <f>T24</f>
        <v>2.1240000000000001</v>
      </c>
      <c r="U27" s="99">
        <v>0</v>
      </c>
      <c r="V27" s="394">
        <v>0</v>
      </c>
      <c r="W27" s="99">
        <v>0</v>
      </c>
      <c r="X27" s="99">
        <f>X24</f>
        <v>5.6334891111023833</v>
      </c>
      <c r="Y27" s="99">
        <v>0</v>
      </c>
      <c r="Z27" s="394">
        <v>0</v>
      </c>
      <c r="AA27" s="99">
        <v>0</v>
      </c>
      <c r="AB27" s="97">
        <f t="shared" si="6"/>
        <v>7.7574891111023838</v>
      </c>
      <c r="AC27" s="97">
        <f t="shared" si="7"/>
        <v>0</v>
      </c>
    </row>
    <row r="28" spans="1:32" x14ac:dyDescent="0.25">
      <c r="A28" s="41" t="s">
        <v>171</v>
      </c>
      <c r="B28" s="25" t="s">
        <v>539</v>
      </c>
      <c r="C28" s="97">
        <v>0</v>
      </c>
      <c r="D28" s="394">
        <v>0</v>
      </c>
      <c r="E28" s="97">
        <f t="shared" si="3"/>
        <v>0</v>
      </c>
      <c r="F28" s="97">
        <f t="shared" si="4"/>
        <v>0</v>
      </c>
      <c r="G28" s="99">
        <v>0</v>
      </c>
      <c r="H28" s="99">
        <v>0</v>
      </c>
      <c r="I28" s="99">
        <v>0</v>
      </c>
      <c r="J28" s="99">
        <v>0</v>
      </c>
      <c r="K28" s="99">
        <v>0</v>
      </c>
      <c r="L28" s="99">
        <v>0</v>
      </c>
      <c r="M28" s="99">
        <v>0</v>
      </c>
      <c r="N28" s="99">
        <v>0</v>
      </c>
      <c r="O28" s="99">
        <v>0</v>
      </c>
      <c r="P28" s="97">
        <v>0</v>
      </c>
      <c r="Q28" s="99">
        <v>0</v>
      </c>
      <c r="R28" s="99">
        <v>0</v>
      </c>
      <c r="S28" s="99">
        <v>0</v>
      </c>
      <c r="T28" s="99">
        <v>0</v>
      </c>
      <c r="U28" s="99">
        <v>0</v>
      </c>
      <c r="V28" s="394">
        <v>0</v>
      </c>
      <c r="W28" s="99">
        <v>0</v>
      </c>
      <c r="X28" s="99">
        <v>0</v>
      </c>
      <c r="Y28" s="99">
        <v>0</v>
      </c>
      <c r="Z28" s="394">
        <v>0</v>
      </c>
      <c r="AA28" s="99">
        <v>0</v>
      </c>
      <c r="AB28" s="97">
        <f t="shared" si="6"/>
        <v>0</v>
      </c>
      <c r="AC28" s="97">
        <f t="shared" si="7"/>
        <v>0</v>
      </c>
    </row>
    <row r="29" spans="1:32" x14ac:dyDescent="0.25">
      <c r="A29" s="41" t="s">
        <v>169</v>
      </c>
      <c r="B29" s="45" t="s">
        <v>168</v>
      </c>
      <c r="C29" s="97">
        <v>0</v>
      </c>
      <c r="D29" s="394">
        <v>0</v>
      </c>
      <c r="E29" s="97">
        <f t="shared" si="3"/>
        <v>0</v>
      </c>
      <c r="F29" s="97">
        <f t="shared" si="4"/>
        <v>0</v>
      </c>
      <c r="G29" s="99">
        <v>0</v>
      </c>
      <c r="H29" s="99">
        <f>'6.2. Паспорт фин осв ввод факт'!T29</f>
        <v>0</v>
      </c>
      <c r="I29" s="99">
        <v>0</v>
      </c>
      <c r="J29" s="99">
        <v>0</v>
      </c>
      <c r="K29" s="99">
        <v>0</v>
      </c>
      <c r="L29" s="99">
        <f>'6.2. Паспорт фин осв ввод факт'!X29</f>
        <v>0</v>
      </c>
      <c r="M29" s="99">
        <v>0</v>
      </c>
      <c r="N29" s="99">
        <v>0</v>
      </c>
      <c r="O29" s="99">
        <v>0</v>
      </c>
      <c r="P29" s="99">
        <v>0</v>
      </c>
      <c r="Q29" s="99">
        <v>0</v>
      </c>
      <c r="R29" s="99">
        <v>0</v>
      </c>
      <c r="S29" s="99">
        <v>0</v>
      </c>
      <c r="T29" s="99">
        <v>0</v>
      </c>
      <c r="U29" s="99">
        <v>0</v>
      </c>
      <c r="V29" s="394">
        <v>0</v>
      </c>
      <c r="W29" s="99">
        <v>0</v>
      </c>
      <c r="X29" s="99">
        <v>0</v>
      </c>
      <c r="Y29" s="99">
        <v>0</v>
      </c>
      <c r="Z29" s="394">
        <v>0</v>
      </c>
      <c r="AA29" s="99">
        <v>0</v>
      </c>
      <c r="AB29" s="97">
        <f t="shared" si="6"/>
        <v>0</v>
      </c>
      <c r="AC29" s="97">
        <f t="shared" si="7"/>
        <v>0</v>
      </c>
    </row>
    <row r="30" spans="1:32" s="282" customFormat="1" ht="47.25" x14ac:dyDescent="0.25">
      <c r="A30" s="44" t="s">
        <v>61</v>
      </c>
      <c r="B30" s="43" t="s">
        <v>167</v>
      </c>
      <c r="C30" s="97">
        <f>SUM(C31:C34)</f>
        <v>6.4645742592519868</v>
      </c>
      <c r="D30" s="394">
        <v>0</v>
      </c>
      <c r="E30" s="97">
        <f t="shared" ref="E30:F30" si="8">SUM(E31:E34)</f>
        <v>6.4645742592519868</v>
      </c>
      <c r="F30" s="97">
        <f t="shared" si="8"/>
        <v>6.4645742592519868</v>
      </c>
      <c r="G30" s="97">
        <f>SUM(G31:G34)</f>
        <v>0</v>
      </c>
      <c r="H30" s="97">
        <v>0</v>
      </c>
      <c r="I30" s="97">
        <v>0</v>
      </c>
      <c r="J30" s="97">
        <v>0</v>
      </c>
      <c r="K30" s="97">
        <v>0</v>
      </c>
      <c r="L30" s="97">
        <v>0</v>
      </c>
      <c r="M30" s="97">
        <v>0</v>
      </c>
      <c r="N30" s="97">
        <v>0</v>
      </c>
      <c r="O30" s="97">
        <v>0</v>
      </c>
      <c r="P30" s="97">
        <v>0</v>
      </c>
      <c r="Q30" s="97">
        <v>0</v>
      </c>
      <c r="R30" s="97">
        <v>0</v>
      </c>
      <c r="S30" s="97">
        <v>0</v>
      </c>
      <c r="T30" s="97">
        <f>T24/1.2</f>
        <v>1.7700000000000002</v>
      </c>
      <c r="U30" s="97">
        <v>0</v>
      </c>
      <c r="V30" s="394">
        <v>0</v>
      </c>
      <c r="W30" s="97">
        <v>0</v>
      </c>
      <c r="X30" s="97">
        <f>C30-T30</f>
        <v>4.6945742592519863</v>
      </c>
      <c r="Y30" s="97">
        <v>0</v>
      </c>
      <c r="Z30" s="394">
        <v>0</v>
      </c>
      <c r="AA30" s="97">
        <v>0</v>
      </c>
      <c r="AB30" s="97">
        <f t="shared" si="6"/>
        <v>6.4645742592519868</v>
      </c>
      <c r="AC30" s="97">
        <f t="shared" si="7"/>
        <v>0</v>
      </c>
    </row>
    <row r="31" spans="1:32" x14ac:dyDescent="0.25">
      <c r="A31" s="44" t="s">
        <v>166</v>
      </c>
      <c r="B31" s="25" t="s">
        <v>165</v>
      </c>
      <c r="C31" s="97">
        <f>'[2]Сводка затрат'!$D$21</f>
        <v>1.3152447360673798</v>
      </c>
      <c r="D31" s="394">
        <v>0</v>
      </c>
      <c r="E31" s="97">
        <f t="shared" ref="E31:E34" si="9">C31</f>
        <v>1.3152447360673798</v>
      </c>
      <c r="F31" s="97">
        <f>C31</f>
        <v>1.3152447360673798</v>
      </c>
      <c r="G31" s="99">
        <f>E31*0</f>
        <v>0</v>
      </c>
      <c r="H31" s="97">
        <v>0</v>
      </c>
      <c r="I31" s="99">
        <v>0</v>
      </c>
      <c r="J31" s="97">
        <v>0</v>
      </c>
      <c r="K31" s="99">
        <v>0</v>
      </c>
      <c r="L31" s="99">
        <f>'6.2. Паспорт фин осв ввод факт'!X31</f>
        <v>0</v>
      </c>
      <c r="M31" s="99">
        <v>0</v>
      </c>
      <c r="N31" s="97">
        <v>0</v>
      </c>
      <c r="O31" s="99">
        <v>0</v>
      </c>
      <c r="P31" s="97">
        <v>0</v>
      </c>
      <c r="Q31" s="99">
        <v>0</v>
      </c>
      <c r="R31" s="97">
        <v>0</v>
      </c>
      <c r="S31" s="99">
        <v>0</v>
      </c>
      <c r="T31" s="99">
        <f>C31</f>
        <v>1.3152447360673798</v>
      </c>
      <c r="U31" s="99">
        <v>0</v>
      </c>
      <c r="V31" s="394">
        <v>0</v>
      </c>
      <c r="W31" s="99">
        <v>0</v>
      </c>
      <c r="X31" s="97">
        <f>C31-T31</f>
        <v>0</v>
      </c>
      <c r="Y31" s="99">
        <v>0</v>
      </c>
      <c r="Z31" s="394">
        <v>0</v>
      </c>
      <c r="AA31" s="99">
        <v>0</v>
      </c>
      <c r="AB31" s="97">
        <f t="shared" si="6"/>
        <v>1.3152447360673798</v>
      </c>
      <c r="AC31" s="97">
        <f t="shared" si="7"/>
        <v>0</v>
      </c>
    </row>
    <row r="32" spans="1:32" ht="31.5" x14ac:dyDescent="0.25">
      <c r="A32" s="44" t="s">
        <v>164</v>
      </c>
      <c r="B32" s="25" t="s">
        <v>163</v>
      </c>
      <c r="C32" s="97">
        <f>'[2]Сводка затрат'!$E$21</f>
        <v>0.7752482171944991</v>
      </c>
      <c r="D32" s="394">
        <v>0</v>
      </c>
      <c r="E32" s="97">
        <f t="shared" si="9"/>
        <v>0.7752482171944991</v>
      </c>
      <c r="F32" s="97">
        <f t="shared" si="4"/>
        <v>0.7752482171944991</v>
      </c>
      <c r="G32" s="99">
        <v>0</v>
      </c>
      <c r="H32" s="97">
        <v>0</v>
      </c>
      <c r="I32" s="99">
        <v>0</v>
      </c>
      <c r="J32" s="97">
        <v>0</v>
      </c>
      <c r="K32" s="99">
        <v>0</v>
      </c>
      <c r="L32" s="99">
        <v>0</v>
      </c>
      <c r="M32" s="99">
        <v>0</v>
      </c>
      <c r="N32" s="97">
        <v>0</v>
      </c>
      <c r="O32" s="99">
        <v>0</v>
      </c>
      <c r="P32" s="97">
        <v>0</v>
      </c>
      <c r="Q32" s="99">
        <v>0</v>
      </c>
      <c r="R32" s="97">
        <v>0</v>
      </c>
      <c r="S32" s="99">
        <v>0</v>
      </c>
      <c r="T32" s="99">
        <v>0</v>
      </c>
      <c r="U32" s="99">
        <v>0</v>
      </c>
      <c r="V32" s="394">
        <v>0</v>
      </c>
      <c r="W32" s="99">
        <v>0</v>
      </c>
      <c r="X32" s="97">
        <f>C32-T32</f>
        <v>0.7752482171944991</v>
      </c>
      <c r="Y32" s="99">
        <v>0</v>
      </c>
      <c r="Z32" s="394">
        <v>0</v>
      </c>
      <c r="AA32" s="99">
        <v>0</v>
      </c>
      <c r="AB32" s="97">
        <f t="shared" si="6"/>
        <v>0.7752482171944991</v>
      </c>
      <c r="AC32" s="97">
        <f t="shared" si="7"/>
        <v>0</v>
      </c>
    </row>
    <row r="33" spans="1:29" x14ac:dyDescent="0.25">
      <c r="A33" s="44" t="s">
        <v>162</v>
      </c>
      <c r="B33" s="25" t="s">
        <v>161</v>
      </c>
      <c r="C33" s="97">
        <f>'[2]Сводка затрат'!$F$21</f>
        <v>4.3638802015715239</v>
      </c>
      <c r="D33" s="394">
        <v>0</v>
      </c>
      <c r="E33" s="97">
        <f t="shared" si="9"/>
        <v>4.3638802015715239</v>
      </c>
      <c r="F33" s="97">
        <f t="shared" si="4"/>
        <v>4.3638802015715239</v>
      </c>
      <c r="G33" s="99">
        <v>0</v>
      </c>
      <c r="H33" s="97">
        <v>0</v>
      </c>
      <c r="I33" s="99">
        <v>0</v>
      </c>
      <c r="J33" s="97">
        <v>0</v>
      </c>
      <c r="K33" s="99">
        <v>0</v>
      </c>
      <c r="L33" s="99">
        <v>0</v>
      </c>
      <c r="M33" s="99">
        <v>0</v>
      </c>
      <c r="N33" s="97">
        <v>0</v>
      </c>
      <c r="O33" s="99">
        <v>0</v>
      </c>
      <c r="P33" s="97">
        <v>0</v>
      </c>
      <c r="Q33" s="99">
        <v>0</v>
      </c>
      <c r="R33" s="97">
        <v>0</v>
      </c>
      <c r="S33" s="99">
        <v>0</v>
      </c>
      <c r="T33" s="99">
        <f>T30-T31</f>
        <v>0.45475526393262045</v>
      </c>
      <c r="U33" s="99">
        <v>0</v>
      </c>
      <c r="V33" s="394">
        <v>0</v>
      </c>
      <c r="W33" s="99">
        <v>0</v>
      </c>
      <c r="X33" s="97">
        <f>C33-T33</f>
        <v>3.9091249376389037</v>
      </c>
      <c r="Y33" s="99">
        <v>0</v>
      </c>
      <c r="Z33" s="394">
        <v>0</v>
      </c>
      <c r="AA33" s="99">
        <v>0</v>
      </c>
      <c r="AB33" s="97">
        <f t="shared" si="6"/>
        <v>4.3638802015715239</v>
      </c>
      <c r="AC33" s="97">
        <f t="shared" si="7"/>
        <v>0</v>
      </c>
    </row>
    <row r="34" spans="1:29" x14ac:dyDescent="0.25">
      <c r="A34" s="44" t="s">
        <v>160</v>
      </c>
      <c r="B34" s="25" t="s">
        <v>159</v>
      </c>
      <c r="C34" s="97">
        <f>'[2]Сводка затрат'!$G$21+'[2]Сводка затрат'!$H$21</f>
        <v>1.0201104418583393E-2</v>
      </c>
      <c r="D34" s="394">
        <v>0</v>
      </c>
      <c r="E34" s="97">
        <f t="shared" si="9"/>
        <v>1.0201104418583393E-2</v>
      </c>
      <c r="F34" s="97">
        <f t="shared" si="4"/>
        <v>1.0201104418583393E-2</v>
      </c>
      <c r="G34" s="99">
        <v>0</v>
      </c>
      <c r="H34" s="97">
        <v>0</v>
      </c>
      <c r="I34" s="99">
        <v>0</v>
      </c>
      <c r="J34" s="97">
        <v>0</v>
      </c>
      <c r="K34" s="99">
        <v>0</v>
      </c>
      <c r="L34" s="99">
        <v>0</v>
      </c>
      <c r="M34" s="99">
        <v>0</v>
      </c>
      <c r="N34" s="97">
        <v>0</v>
      </c>
      <c r="O34" s="99">
        <v>0</v>
      </c>
      <c r="P34" s="97">
        <v>0</v>
      </c>
      <c r="Q34" s="99">
        <v>0</v>
      </c>
      <c r="R34" s="97">
        <v>0</v>
      </c>
      <c r="S34" s="99">
        <v>0</v>
      </c>
      <c r="T34" s="99">
        <v>0</v>
      </c>
      <c r="U34" s="99">
        <v>0</v>
      </c>
      <c r="V34" s="394">
        <v>0</v>
      </c>
      <c r="W34" s="99">
        <v>0</v>
      </c>
      <c r="X34" s="97">
        <f>C34-T34</f>
        <v>1.0201104418583393E-2</v>
      </c>
      <c r="Y34" s="99">
        <v>0</v>
      </c>
      <c r="Z34" s="394">
        <v>0</v>
      </c>
      <c r="AA34" s="99">
        <v>0</v>
      </c>
      <c r="AB34" s="97">
        <f t="shared" si="6"/>
        <v>1.0201104418583393E-2</v>
      </c>
      <c r="AC34" s="97">
        <f t="shared" si="7"/>
        <v>0</v>
      </c>
    </row>
    <row r="35" spans="1:29" s="282" customFormat="1" ht="31.5" x14ac:dyDescent="0.25">
      <c r="A35" s="44" t="s">
        <v>60</v>
      </c>
      <c r="B35" s="43" t="s">
        <v>158</v>
      </c>
      <c r="C35" s="97">
        <f>'6.2. Паспорт фин осв ввод факт'!C35</f>
        <v>0</v>
      </c>
      <c r="D35" s="394">
        <v>0</v>
      </c>
      <c r="E35" s="97">
        <f>C35</f>
        <v>0</v>
      </c>
      <c r="F35" s="97">
        <f t="shared" si="4"/>
        <v>0</v>
      </c>
      <c r="G35" s="99">
        <v>0</v>
      </c>
      <c r="H35" s="97">
        <f>C35</f>
        <v>0</v>
      </c>
      <c r="I35" s="97">
        <v>0</v>
      </c>
      <c r="J35" s="97">
        <v>0</v>
      </c>
      <c r="K35" s="97">
        <v>0</v>
      </c>
      <c r="L35" s="97">
        <v>0</v>
      </c>
      <c r="M35" s="97">
        <v>0</v>
      </c>
      <c r="N35" s="97">
        <v>0</v>
      </c>
      <c r="O35" s="97">
        <v>0</v>
      </c>
      <c r="P35" s="97">
        <v>0</v>
      </c>
      <c r="Q35" s="97">
        <v>0</v>
      </c>
      <c r="R35" s="97">
        <v>0</v>
      </c>
      <c r="S35" s="97">
        <v>0</v>
      </c>
      <c r="T35" s="97">
        <v>0</v>
      </c>
      <c r="U35" s="97">
        <v>0</v>
      </c>
      <c r="V35" s="394">
        <v>0</v>
      </c>
      <c r="W35" s="97">
        <v>0</v>
      </c>
      <c r="X35" s="97">
        <f>C35</f>
        <v>0</v>
      </c>
      <c r="Y35" s="97">
        <v>0</v>
      </c>
      <c r="Z35" s="394">
        <v>0</v>
      </c>
      <c r="AA35" s="97">
        <v>0</v>
      </c>
      <c r="AB35" s="97">
        <f t="shared" si="6"/>
        <v>0</v>
      </c>
      <c r="AC35" s="97">
        <f t="shared" si="7"/>
        <v>0</v>
      </c>
    </row>
    <row r="36" spans="1:29" ht="31.5" x14ac:dyDescent="0.25">
      <c r="A36" s="41" t="s">
        <v>157</v>
      </c>
      <c r="B36" s="167" t="s">
        <v>156</v>
      </c>
      <c r="C36" s="97">
        <f>'6.2. Паспорт фин осв ввод факт'!C36</f>
        <v>0</v>
      </c>
      <c r="D36" s="394">
        <v>0</v>
      </c>
      <c r="E36" s="97">
        <f t="shared" ref="E36:E64" si="10">C36</f>
        <v>0</v>
      </c>
      <c r="F36" s="97">
        <f t="shared" si="4"/>
        <v>0</v>
      </c>
      <c r="G36" s="99">
        <v>0</v>
      </c>
      <c r="H36" s="97">
        <f>C36</f>
        <v>0</v>
      </c>
      <c r="I36" s="99">
        <v>0</v>
      </c>
      <c r="J36" s="97">
        <v>0</v>
      </c>
      <c r="K36" s="99">
        <v>0</v>
      </c>
      <c r="L36" s="99">
        <v>0</v>
      </c>
      <c r="M36" s="99">
        <v>0</v>
      </c>
      <c r="N36" s="97">
        <v>0</v>
      </c>
      <c r="O36" s="99">
        <v>0</v>
      </c>
      <c r="P36" s="99">
        <v>0</v>
      </c>
      <c r="Q36" s="99">
        <v>0</v>
      </c>
      <c r="R36" s="97">
        <v>0</v>
      </c>
      <c r="S36" s="99">
        <v>0</v>
      </c>
      <c r="T36" s="99">
        <v>0</v>
      </c>
      <c r="U36" s="99">
        <v>0</v>
      </c>
      <c r="V36" s="394">
        <v>0</v>
      </c>
      <c r="W36" s="99">
        <v>0</v>
      </c>
      <c r="X36" s="97">
        <f t="shared" ref="X36:X64" si="11">C36-T36</f>
        <v>0</v>
      </c>
      <c r="Y36" s="99">
        <v>0</v>
      </c>
      <c r="Z36" s="394">
        <v>0</v>
      </c>
      <c r="AA36" s="99">
        <v>0</v>
      </c>
      <c r="AB36" s="97">
        <f t="shared" si="6"/>
        <v>0</v>
      </c>
      <c r="AC36" s="97">
        <f t="shared" si="7"/>
        <v>0</v>
      </c>
    </row>
    <row r="37" spans="1:29" x14ac:dyDescent="0.25">
      <c r="A37" s="41" t="s">
        <v>155</v>
      </c>
      <c r="B37" s="167" t="s">
        <v>145</v>
      </c>
      <c r="C37" s="97">
        <v>0.8</v>
      </c>
      <c r="D37" s="394">
        <v>0</v>
      </c>
      <c r="E37" s="97">
        <f t="shared" si="10"/>
        <v>0.8</v>
      </c>
      <c r="F37" s="97">
        <f t="shared" si="4"/>
        <v>0.8</v>
      </c>
      <c r="G37" s="99">
        <v>0</v>
      </c>
      <c r="H37" s="97">
        <v>0</v>
      </c>
      <c r="I37" s="99">
        <v>0</v>
      </c>
      <c r="J37" s="97">
        <v>0</v>
      </c>
      <c r="K37" s="99">
        <v>0</v>
      </c>
      <c r="L37" s="99">
        <v>0</v>
      </c>
      <c r="M37" s="99">
        <v>0</v>
      </c>
      <c r="N37" s="97">
        <v>0</v>
      </c>
      <c r="O37" s="99">
        <v>0</v>
      </c>
      <c r="P37" s="99">
        <v>0</v>
      </c>
      <c r="Q37" s="99">
        <v>0</v>
      </c>
      <c r="R37" s="97">
        <v>0</v>
      </c>
      <c r="S37" s="99">
        <v>0</v>
      </c>
      <c r="T37" s="99">
        <v>0</v>
      </c>
      <c r="U37" s="99">
        <v>0</v>
      </c>
      <c r="V37" s="394">
        <v>0</v>
      </c>
      <c r="W37" s="99">
        <v>0</v>
      </c>
      <c r="X37" s="97">
        <f t="shared" si="11"/>
        <v>0.8</v>
      </c>
      <c r="Y37" s="99">
        <v>0</v>
      </c>
      <c r="Z37" s="394">
        <v>0</v>
      </c>
      <c r="AA37" s="99">
        <v>0</v>
      </c>
      <c r="AB37" s="97">
        <f t="shared" si="6"/>
        <v>0.8</v>
      </c>
      <c r="AC37" s="97">
        <f t="shared" si="7"/>
        <v>0</v>
      </c>
    </row>
    <row r="38" spans="1:29" x14ac:dyDescent="0.25">
      <c r="A38" s="41" t="s">
        <v>154</v>
      </c>
      <c r="B38" s="167" t="s">
        <v>143</v>
      </c>
      <c r="C38" s="97">
        <f>'6.2. Паспорт фин осв ввод факт'!C38</f>
        <v>0</v>
      </c>
      <c r="D38" s="394">
        <v>0</v>
      </c>
      <c r="E38" s="97">
        <f t="shared" si="10"/>
        <v>0</v>
      </c>
      <c r="F38" s="97">
        <f t="shared" si="4"/>
        <v>0</v>
      </c>
      <c r="G38" s="99">
        <v>0</v>
      </c>
      <c r="H38" s="97">
        <f>C38</f>
        <v>0</v>
      </c>
      <c r="I38" s="99">
        <v>0</v>
      </c>
      <c r="J38" s="97">
        <v>0</v>
      </c>
      <c r="K38" s="99">
        <v>0</v>
      </c>
      <c r="L38" s="99">
        <v>0</v>
      </c>
      <c r="M38" s="99">
        <v>0</v>
      </c>
      <c r="N38" s="97">
        <v>0</v>
      </c>
      <c r="O38" s="99">
        <v>0</v>
      </c>
      <c r="P38" s="99">
        <f t="shared" ref="P38:P63" si="12">C38</f>
        <v>0</v>
      </c>
      <c r="Q38" s="99">
        <v>0</v>
      </c>
      <c r="R38" s="97">
        <v>0</v>
      </c>
      <c r="S38" s="99">
        <v>0</v>
      </c>
      <c r="T38" s="99">
        <v>0</v>
      </c>
      <c r="U38" s="99">
        <v>0</v>
      </c>
      <c r="V38" s="394">
        <v>0</v>
      </c>
      <c r="W38" s="99">
        <v>0</v>
      </c>
      <c r="X38" s="97">
        <f t="shared" si="11"/>
        <v>0</v>
      </c>
      <c r="Y38" s="99">
        <v>0</v>
      </c>
      <c r="Z38" s="394">
        <v>0</v>
      </c>
      <c r="AA38" s="99">
        <v>0</v>
      </c>
      <c r="AB38" s="97">
        <f t="shared" si="6"/>
        <v>0</v>
      </c>
      <c r="AC38" s="97">
        <f t="shared" si="7"/>
        <v>0</v>
      </c>
    </row>
    <row r="39" spans="1:29" ht="31.5" x14ac:dyDescent="0.25">
      <c r="A39" s="41" t="s">
        <v>153</v>
      </c>
      <c r="B39" s="25" t="s">
        <v>141</v>
      </c>
      <c r="C39" s="97">
        <f>'6.2. Паспорт фин осв ввод факт'!C39</f>
        <v>0</v>
      </c>
      <c r="D39" s="394">
        <v>0</v>
      </c>
      <c r="E39" s="97">
        <f t="shared" si="10"/>
        <v>0</v>
      </c>
      <c r="F39" s="97">
        <f t="shared" si="4"/>
        <v>0</v>
      </c>
      <c r="G39" s="99">
        <v>0</v>
      </c>
      <c r="H39" s="97">
        <f>C39</f>
        <v>0</v>
      </c>
      <c r="I39" s="99">
        <v>0</v>
      </c>
      <c r="J39" s="97">
        <v>0</v>
      </c>
      <c r="K39" s="99">
        <v>0</v>
      </c>
      <c r="L39" s="99">
        <v>0</v>
      </c>
      <c r="M39" s="99">
        <v>0</v>
      </c>
      <c r="N39" s="97">
        <v>0</v>
      </c>
      <c r="O39" s="99">
        <v>0</v>
      </c>
      <c r="P39" s="99">
        <f t="shared" si="12"/>
        <v>0</v>
      </c>
      <c r="Q39" s="99">
        <v>0</v>
      </c>
      <c r="R39" s="97">
        <v>0</v>
      </c>
      <c r="S39" s="99">
        <v>0</v>
      </c>
      <c r="T39" s="99">
        <v>0</v>
      </c>
      <c r="U39" s="99">
        <v>0</v>
      </c>
      <c r="V39" s="394">
        <v>0</v>
      </c>
      <c r="W39" s="99">
        <v>0</v>
      </c>
      <c r="X39" s="97">
        <f t="shared" si="11"/>
        <v>0</v>
      </c>
      <c r="Y39" s="99">
        <v>0</v>
      </c>
      <c r="Z39" s="394">
        <v>0</v>
      </c>
      <c r="AA39" s="99">
        <v>0</v>
      </c>
      <c r="AB39" s="97">
        <f t="shared" si="6"/>
        <v>0</v>
      </c>
      <c r="AC39" s="97">
        <f t="shared" si="7"/>
        <v>0</v>
      </c>
    </row>
    <row r="40" spans="1:29" ht="31.5" x14ac:dyDescent="0.25">
      <c r="A40" s="41" t="s">
        <v>152</v>
      </c>
      <c r="B40" s="25" t="s">
        <v>139</v>
      </c>
      <c r="C40" s="97">
        <f>'6.2. Паспорт фин осв ввод факт'!C40</f>
        <v>0</v>
      </c>
      <c r="D40" s="394">
        <v>0</v>
      </c>
      <c r="E40" s="97">
        <f t="shared" si="10"/>
        <v>0</v>
      </c>
      <c r="F40" s="97">
        <f t="shared" si="4"/>
        <v>0</v>
      </c>
      <c r="G40" s="99">
        <v>0</v>
      </c>
      <c r="H40" s="97">
        <f>C40</f>
        <v>0</v>
      </c>
      <c r="I40" s="99">
        <v>0</v>
      </c>
      <c r="J40" s="97">
        <v>0</v>
      </c>
      <c r="K40" s="99">
        <v>0</v>
      </c>
      <c r="L40" s="99">
        <v>0</v>
      </c>
      <c r="M40" s="99">
        <v>0</v>
      </c>
      <c r="N40" s="97">
        <v>0</v>
      </c>
      <c r="O40" s="99">
        <v>0</v>
      </c>
      <c r="P40" s="99">
        <f t="shared" si="12"/>
        <v>0</v>
      </c>
      <c r="Q40" s="99">
        <v>0</v>
      </c>
      <c r="R40" s="97">
        <v>0</v>
      </c>
      <c r="S40" s="99">
        <v>0</v>
      </c>
      <c r="T40" s="99">
        <v>0</v>
      </c>
      <c r="U40" s="99">
        <v>0</v>
      </c>
      <c r="V40" s="394">
        <v>0</v>
      </c>
      <c r="W40" s="99">
        <v>0</v>
      </c>
      <c r="X40" s="97">
        <f t="shared" si="11"/>
        <v>0</v>
      </c>
      <c r="Y40" s="99">
        <v>0</v>
      </c>
      <c r="Z40" s="394">
        <v>0</v>
      </c>
      <c r="AA40" s="99">
        <v>0</v>
      </c>
      <c r="AB40" s="97">
        <f t="shared" si="6"/>
        <v>0</v>
      </c>
      <c r="AC40" s="97">
        <f t="shared" si="7"/>
        <v>0</v>
      </c>
    </row>
    <row r="41" spans="1:29" x14ac:dyDescent="0.25">
      <c r="A41" s="41" t="s">
        <v>151</v>
      </c>
      <c r="B41" s="25" t="s">
        <v>137</v>
      </c>
      <c r="C41" s="97">
        <f>'6.2. Паспорт фин осв ввод факт'!C41</f>
        <v>0</v>
      </c>
      <c r="D41" s="394">
        <v>0</v>
      </c>
      <c r="E41" s="97">
        <f t="shared" si="10"/>
        <v>0</v>
      </c>
      <c r="F41" s="97">
        <f t="shared" si="4"/>
        <v>0</v>
      </c>
      <c r="G41" s="99">
        <v>0</v>
      </c>
      <c r="H41" s="97">
        <f>C41</f>
        <v>0</v>
      </c>
      <c r="I41" s="99">
        <v>0</v>
      </c>
      <c r="J41" s="97">
        <v>0</v>
      </c>
      <c r="K41" s="99">
        <v>0</v>
      </c>
      <c r="L41" s="99">
        <v>0</v>
      </c>
      <c r="M41" s="99">
        <v>0</v>
      </c>
      <c r="N41" s="97">
        <v>0</v>
      </c>
      <c r="O41" s="99">
        <v>0</v>
      </c>
      <c r="P41" s="99">
        <f t="shared" si="12"/>
        <v>0</v>
      </c>
      <c r="Q41" s="99">
        <v>0</v>
      </c>
      <c r="R41" s="97">
        <v>0</v>
      </c>
      <c r="S41" s="99">
        <v>0</v>
      </c>
      <c r="T41" s="99">
        <v>0</v>
      </c>
      <c r="U41" s="99">
        <v>0</v>
      </c>
      <c r="V41" s="394">
        <v>0</v>
      </c>
      <c r="W41" s="99">
        <v>0</v>
      </c>
      <c r="X41" s="97">
        <f t="shared" si="11"/>
        <v>0</v>
      </c>
      <c r="Y41" s="99">
        <v>0</v>
      </c>
      <c r="Z41" s="394">
        <v>0</v>
      </c>
      <c r="AA41" s="99">
        <v>0</v>
      </c>
      <c r="AB41" s="97">
        <f t="shared" si="6"/>
        <v>0</v>
      </c>
      <c r="AC41" s="97">
        <f t="shared" si="7"/>
        <v>0</v>
      </c>
    </row>
    <row r="42" spans="1:29" ht="18.75" x14ac:dyDescent="0.25">
      <c r="A42" s="41" t="s">
        <v>150</v>
      </c>
      <c r="B42" s="167" t="s">
        <v>546</v>
      </c>
      <c r="C42" s="97">
        <v>5</v>
      </c>
      <c r="D42" s="394">
        <v>0</v>
      </c>
      <c r="E42" s="97">
        <f t="shared" si="10"/>
        <v>5</v>
      </c>
      <c r="F42" s="97">
        <f t="shared" si="4"/>
        <v>5</v>
      </c>
      <c r="G42" s="99">
        <v>0</v>
      </c>
      <c r="H42" s="97">
        <v>0</v>
      </c>
      <c r="I42" s="99">
        <v>0</v>
      </c>
      <c r="J42" s="97">
        <v>0</v>
      </c>
      <c r="K42" s="99">
        <v>0</v>
      </c>
      <c r="L42" s="99">
        <v>0</v>
      </c>
      <c r="M42" s="99">
        <v>0</v>
      </c>
      <c r="N42" s="97">
        <v>0</v>
      </c>
      <c r="O42" s="99">
        <v>0</v>
      </c>
      <c r="P42" s="99">
        <v>0</v>
      </c>
      <c r="Q42" s="99">
        <v>0</v>
      </c>
      <c r="R42" s="97">
        <v>0</v>
      </c>
      <c r="S42" s="99">
        <v>0</v>
      </c>
      <c r="T42" s="99">
        <v>0</v>
      </c>
      <c r="U42" s="99">
        <v>0</v>
      </c>
      <c r="V42" s="394">
        <v>0</v>
      </c>
      <c r="W42" s="99">
        <v>0</v>
      </c>
      <c r="X42" s="97">
        <f t="shared" si="11"/>
        <v>5</v>
      </c>
      <c r="Y42" s="99">
        <v>0</v>
      </c>
      <c r="Z42" s="394">
        <v>0</v>
      </c>
      <c r="AA42" s="99">
        <v>0</v>
      </c>
      <c r="AB42" s="97">
        <f t="shared" si="6"/>
        <v>5</v>
      </c>
      <c r="AC42" s="97">
        <f t="shared" si="7"/>
        <v>0</v>
      </c>
    </row>
    <row r="43" spans="1:29" s="282" customFormat="1" x14ac:dyDescent="0.25">
      <c r="A43" s="44" t="s">
        <v>59</v>
      </c>
      <c r="B43" s="43" t="s">
        <v>149</v>
      </c>
      <c r="C43" s="97">
        <f>'6.2. Паспорт фин осв ввод факт'!C43</f>
        <v>0</v>
      </c>
      <c r="D43" s="394">
        <v>0</v>
      </c>
      <c r="E43" s="97">
        <f t="shared" si="10"/>
        <v>0</v>
      </c>
      <c r="F43" s="97">
        <f t="shared" si="4"/>
        <v>0</v>
      </c>
      <c r="G43" s="99">
        <v>0</v>
      </c>
      <c r="H43" s="97">
        <f>C43</f>
        <v>0</v>
      </c>
      <c r="I43" s="97">
        <v>0</v>
      </c>
      <c r="J43" s="97">
        <v>0</v>
      </c>
      <c r="K43" s="97">
        <v>0</v>
      </c>
      <c r="L43" s="97">
        <v>0</v>
      </c>
      <c r="M43" s="97">
        <v>0</v>
      </c>
      <c r="N43" s="97">
        <v>0</v>
      </c>
      <c r="O43" s="97">
        <v>0</v>
      </c>
      <c r="P43" s="99">
        <f t="shared" si="12"/>
        <v>0</v>
      </c>
      <c r="Q43" s="97">
        <v>0</v>
      </c>
      <c r="R43" s="97">
        <v>0</v>
      </c>
      <c r="S43" s="97">
        <v>0</v>
      </c>
      <c r="T43" s="97">
        <v>0</v>
      </c>
      <c r="U43" s="97">
        <v>0</v>
      </c>
      <c r="V43" s="394">
        <v>0</v>
      </c>
      <c r="W43" s="97">
        <v>0</v>
      </c>
      <c r="X43" s="97">
        <f t="shared" si="11"/>
        <v>0</v>
      </c>
      <c r="Y43" s="97">
        <v>0</v>
      </c>
      <c r="Z43" s="394">
        <v>0</v>
      </c>
      <c r="AA43" s="97">
        <v>0</v>
      </c>
      <c r="AB43" s="97">
        <f t="shared" si="6"/>
        <v>0</v>
      </c>
      <c r="AC43" s="97">
        <f t="shared" si="7"/>
        <v>0</v>
      </c>
    </row>
    <row r="44" spans="1:29" x14ac:dyDescent="0.25">
      <c r="A44" s="41" t="s">
        <v>148</v>
      </c>
      <c r="B44" s="25" t="s">
        <v>147</v>
      </c>
      <c r="C44" s="97">
        <f>'6.2. Паспорт фин осв ввод факт'!C44</f>
        <v>0</v>
      </c>
      <c r="D44" s="394">
        <v>0</v>
      </c>
      <c r="E44" s="97">
        <f t="shared" si="10"/>
        <v>0</v>
      </c>
      <c r="F44" s="97">
        <f t="shared" si="4"/>
        <v>0</v>
      </c>
      <c r="G44" s="99">
        <v>0</v>
      </c>
      <c r="H44" s="97">
        <f>C44</f>
        <v>0</v>
      </c>
      <c r="I44" s="99">
        <v>0</v>
      </c>
      <c r="J44" s="97">
        <v>0</v>
      </c>
      <c r="K44" s="99">
        <v>0</v>
      </c>
      <c r="L44" s="99">
        <f>'6.2. Паспорт фин осв ввод факт'!X44</f>
        <v>0</v>
      </c>
      <c r="M44" s="99">
        <v>0</v>
      </c>
      <c r="N44" s="97">
        <v>0</v>
      </c>
      <c r="O44" s="99">
        <v>0</v>
      </c>
      <c r="P44" s="99">
        <f>C44</f>
        <v>0</v>
      </c>
      <c r="Q44" s="99">
        <v>0</v>
      </c>
      <c r="R44" s="97">
        <v>0</v>
      </c>
      <c r="S44" s="99">
        <v>0</v>
      </c>
      <c r="T44" s="99">
        <v>0</v>
      </c>
      <c r="U44" s="99">
        <v>0</v>
      </c>
      <c r="V44" s="394">
        <v>0</v>
      </c>
      <c r="W44" s="99">
        <v>0</v>
      </c>
      <c r="X44" s="97">
        <f t="shared" si="11"/>
        <v>0</v>
      </c>
      <c r="Y44" s="99">
        <v>0</v>
      </c>
      <c r="Z44" s="394">
        <v>0</v>
      </c>
      <c r="AA44" s="99">
        <v>0</v>
      </c>
      <c r="AB44" s="97">
        <f t="shared" si="6"/>
        <v>0</v>
      </c>
      <c r="AC44" s="97">
        <f t="shared" si="7"/>
        <v>0</v>
      </c>
    </row>
    <row r="45" spans="1:29" x14ac:dyDescent="0.25">
      <c r="A45" s="41" t="s">
        <v>146</v>
      </c>
      <c r="B45" s="25" t="s">
        <v>145</v>
      </c>
      <c r="C45" s="97">
        <f>C37</f>
        <v>0.8</v>
      </c>
      <c r="D45" s="394">
        <v>0</v>
      </c>
      <c r="E45" s="97">
        <f t="shared" si="10"/>
        <v>0.8</v>
      </c>
      <c r="F45" s="97">
        <f t="shared" si="4"/>
        <v>0.8</v>
      </c>
      <c r="G45" s="99">
        <v>0</v>
      </c>
      <c r="H45" s="97">
        <v>0</v>
      </c>
      <c r="I45" s="99">
        <v>0</v>
      </c>
      <c r="J45" s="97">
        <v>0</v>
      </c>
      <c r="K45" s="99">
        <v>0</v>
      </c>
      <c r="L45" s="99">
        <v>0</v>
      </c>
      <c r="M45" s="99">
        <v>0</v>
      </c>
      <c r="N45" s="97">
        <v>0</v>
      </c>
      <c r="O45" s="99">
        <v>0</v>
      </c>
      <c r="P45" s="99">
        <v>0</v>
      </c>
      <c r="Q45" s="99">
        <v>0</v>
      </c>
      <c r="R45" s="97">
        <v>0</v>
      </c>
      <c r="S45" s="99">
        <v>0</v>
      </c>
      <c r="T45" s="99">
        <v>0</v>
      </c>
      <c r="U45" s="99">
        <v>0</v>
      </c>
      <c r="V45" s="394">
        <v>0</v>
      </c>
      <c r="W45" s="99">
        <v>0</v>
      </c>
      <c r="X45" s="97">
        <f t="shared" si="11"/>
        <v>0.8</v>
      </c>
      <c r="Y45" s="99">
        <v>0</v>
      </c>
      <c r="Z45" s="394">
        <v>0</v>
      </c>
      <c r="AA45" s="99">
        <v>0</v>
      </c>
      <c r="AB45" s="97">
        <f t="shared" si="6"/>
        <v>0.8</v>
      </c>
      <c r="AC45" s="97">
        <f t="shared" si="7"/>
        <v>0</v>
      </c>
    </row>
    <row r="46" spans="1:29" x14ac:dyDescent="0.25">
      <c r="A46" s="41" t="s">
        <v>144</v>
      </c>
      <c r="B46" s="25" t="s">
        <v>143</v>
      </c>
      <c r="C46" s="97">
        <f>'6.2. Паспорт фин осв ввод факт'!C46</f>
        <v>0</v>
      </c>
      <c r="D46" s="394">
        <v>0</v>
      </c>
      <c r="E46" s="97">
        <f t="shared" si="10"/>
        <v>0</v>
      </c>
      <c r="F46" s="97">
        <f t="shared" si="4"/>
        <v>0</v>
      </c>
      <c r="G46" s="99">
        <v>0</v>
      </c>
      <c r="H46" s="97">
        <f>C46</f>
        <v>0</v>
      </c>
      <c r="I46" s="99">
        <v>0</v>
      </c>
      <c r="J46" s="97">
        <v>0</v>
      </c>
      <c r="K46" s="99">
        <v>0</v>
      </c>
      <c r="L46" s="99">
        <f>'6.2. Паспорт фин осв ввод факт'!X46</f>
        <v>0</v>
      </c>
      <c r="M46" s="99">
        <v>0</v>
      </c>
      <c r="N46" s="97">
        <v>0</v>
      </c>
      <c r="O46" s="99">
        <v>0</v>
      </c>
      <c r="P46" s="99">
        <f t="shared" si="12"/>
        <v>0</v>
      </c>
      <c r="Q46" s="99">
        <v>0</v>
      </c>
      <c r="R46" s="97">
        <v>0</v>
      </c>
      <c r="S46" s="99">
        <v>0</v>
      </c>
      <c r="T46" s="99">
        <v>0</v>
      </c>
      <c r="U46" s="99">
        <v>0</v>
      </c>
      <c r="V46" s="394">
        <v>0</v>
      </c>
      <c r="W46" s="99">
        <v>0</v>
      </c>
      <c r="X46" s="97">
        <f t="shared" si="11"/>
        <v>0</v>
      </c>
      <c r="Y46" s="99">
        <v>0</v>
      </c>
      <c r="Z46" s="394">
        <v>0</v>
      </c>
      <c r="AA46" s="99">
        <v>0</v>
      </c>
      <c r="AB46" s="97">
        <f t="shared" si="6"/>
        <v>0</v>
      </c>
      <c r="AC46" s="97">
        <f t="shared" si="7"/>
        <v>0</v>
      </c>
    </row>
    <row r="47" spans="1:29" ht="31.5" x14ac:dyDescent="0.25">
      <c r="A47" s="41" t="s">
        <v>142</v>
      </c>
      <c r="B47" s="25" t="s">
        <v>141</v>
      </c>
      <c r="C47" s="97">
        <f>'6.2. Паспорт фин осв ввод факт'!C47</f>
        <v>0</v>
      </c>
      <c r="D47" s="394">
        <v>0</v>
      </c>
      <c r="E47" s="97">
        <f t="shared" si="10"/>
        <v>0</v>
      </c>
      <c r="F47" s="97">
        <f t="shared" si="4"/>
        <v>0</v>
      </c>
      <c r="G47" s="99">
        <v>0</v>
      </c>
      <c r="H47" s="97">
        <f>C47</f>
        <v>0</v>
      </c>
      <c r="I47" s="99">
        <v>0</v>
      </c>
      <c r="J47" s="97">
        <v>0</v>
      </c>
      <c r="K47" s="99">
        <v>0</v>
      </c>
      <c r="L47" s="99">
        <f>'6.2. Паспорт фин осв ввод факт'!X47</f>
        <v>0</v>
      </c>
      <c r="M47" s="99">
        <v>0</v>
      </c>
      <c r="N47" s="97">
        <v>0</v>
      </c>
      <c r="O47" s="99">
        <v>0</v>
      </c>
      <c r="P47" s="99">
        <f t="shared" si="12"/>
        <v>0</v>
      </c>
      <c r="Q47" s="99">
        <v>0</v>
      </c>
      <c r="R47" s="97">
        <v>0</v>
      </c>
      <c r="S47" s="99">
        <v>0</v>
      </c>
      <c r="T47" s="99">
        <v>0</v>
      </c>
      <c r="U47" s="99">
        <v>0</v>
      </c>
      <c r="V47" s="394">
        <v>0</v>
      </c>
      <c r="W47" s="99">
        <v>0</v>
      </c>
      <c r="X47" s="97">
        <f t="shared" si="11"/>
        <v>0</v>
      </c>
      <c r="Y47" s="99">
        <v>0</v>
      </c>
      <c r="Z47" s="394">
        <v>0</v>
      </c>
      <c r="AA47" s="99">
        <v>0</v>
      </c>
      <c r="AB47" s="97">
        <f t="shared" si="6"/>
        <v>0</v>
      </c>
      <c r="AC47" s="97">
        <f t="shared" si="7"/>
        <v>0</v>
      </c>
    </row>
    <row r="48" spans="1:29" ht="31.5" x14ac:dyDescent="0.25">
      <c r="A48" s="41" t="s">
        <v>140</v>
      </c>
      <c r="B48" s="25" t="s">
        <v>139</v>
      </c>
      <c r="C48" s="97">
        <f>'6.2. Паспорт фин осв ввод факт'!C48</f>
        <v>0</v>
      </c>
      <c r="D48" s="394">
        <v>0</v>
      </c>
      <c r="E48" s="97">
        <f t="shared" si="10"/>
        <v>0</v>
      </c>
      <c r="F48" s="97">
        <f t="shared" si="4"/>
        <v>0</v>
      </c>
      <c r="G48" s="99">
        <v>0</v>
      </c>
      <c r="H48" s="97">
        <f>C48</f>
        <v>0</v>
      </c>
      <c r="I48" s="99">
        <v>0</v>
      </c>
      <c r="J48" s="97">
        <v>0</v>
      </c>
      <c r="K48" s="99">
        <v>0</v>
      </c>
      <c r="L48" s="99">
        <f>'6.2. Паспорт фин осв ввод факт'!X48</f>
        <v>0</v>
      </c>
      <c r="M48" s="99">
        <v>0</v>
      </c>
      <c r="N48" s="97">
        <v>0</v>
      </c>
      <c r="O48" s="99">
        <v>0</v>
      </c>
      <c r="P48" s="99">
        <f>C48</f>
        <v>0</v>
      </c>
      <c r="Q48" s="99">
        <v>0</v>
      </c>
      <c r="R48" s="97">
        <v>0</v>
      </c>
      <c r="S48" s="99">
        <v>0</v>
      </c>
      <c r="T48" s="99">
        <v>0</v>
      </c>
      <c r="U48" s="99">
        <v>0</v>
      </c>
      <c r="V48" s="394">
        <v>0</v>
      </c>
      <c r="W48" s="99">
        <v>0</v>
      </c>
      <c r="X48" s="97">
        <f t="shared" si="11"/>
        <v>0</v>
      </c>
      <c r="Y48" s="99">
        <v>0</v>
      </c>
      <c r="Z48" s="394">
        <v>0</v>
      </c>
      <c r="AA48" s="99">
        <v>0</v>
      </c>
      <c r="AB48" s="97">
        <f t="shared" si="6"/>
        <v>0</v>
      </c>
      <c r="AC48" s="97">
        <f t="shared" si="7"/>
        <v>0</v>
      </c>
    </row>
    <row r="49" spans="1:29" x14ac:dyDescent="0.25">
      <c r="A49" s="41" t="s">
        <v>138</v>
      </c>
      <c r="B49" s="25" t="s">
        <v>137</v>
      </c>
      <c r="C49" s="97">
        <f>'6.2. Паспорт фин осв ввод факт'!C49</f>
        <v>0</v>
      </c>
      <c r="D49" s="394">
        <v>0</v>
      </c>
      <c r="E49" s="97">
        <f t="shared" si="10"/>
        <v>0</v>
      </c>
      <c r="F49" s="97">
        <f t="shared" si="4"/>
        <v>0</v>
      </c>
      <c r="G49" s="99">
        <v>0</v>
      </c>
      <c r="H49" s="97">
        <f>C49</f>
        <v>0</v>
      </c>
      <c r="I49" s="99">
        <v>0</v>
      </c>
      <c r="J49" s="97">
        <v>0</v>
      </c>
      <c r="K49" s="99">
        <v>0</v>
      </c>
      <c r="L49" s="99">
        <f>'6.2. Паспорт фин осв ввод факт'!X49</f>
        <v>0</v>
      </c>
      <c r="M49" s="99">
        <v>0</v>
      </c>
      <c r="N49" s="97">
        <v>0</v>
      </c>
      <c r="O49" s="99">
        <v>0</v>
      </c>
      <c r="P49" s="99">
        <f t="shared" si="12"/>
        <v>0</v>
      </c>
      <c r="Q49" s="99">
        <v>0</v>
      </c>
      <c r="R49" s="97">
        <v>0</v>
      </c>
      <c r="S49" s="99">
        <v>0</v>
      </c>
      <c r="T49" s="99">
        <v>0</v>
      </c>
      <c r="U49" s="99">
        <v>0</v>
      </c>
      <c r="V49" s="394">
        <v>0</v>
      </c>
      <c r="W49" s="99">
        <v>0</v>
      </c>
      <c r="X49" s="97">
        <f t="shared" si="11"/>
        <v>0</v>
      </c>
      <c r="Y49" s="99">
        <v>0</v>
      </c>
      <c r="Z49" s="394">
        <v>0</v>
      </c>
      <c r="AA49" s="99">
        <v>0</v>
      </c>
      <c r="AB49" s="97">
        <f t="shared" si="6"/>
        <v>0</v>
      </c>
      <c r="AC49" s="97">
        <f t="shared" si="7"/>
        <v>0</v>
      </c>
    </row>
    <row r="50" spans="1:29" ht="18.75" x14ac:dyDescent="0.25">
      <c r="A50" s="41" t="s">
        <v>136</v>
      </c>
      <c r="B50" s="167" t="s">
        <v>546</v>
      </c>
      <c r="C50" s="97">
        <f>C42</f>
        <v>5</v>
      </c>
      <c r="D50" s="394">
        <v>0</v>
      </c>
      <c r="E50" s="97">
        <f t="shared" si="10"/>
        <v>5</v>
      </c>
      <c r="F50" s="97">
        <f t="shared" si="4"/>
        <v>5</v>
      </c>
      <c r="G50" s="99">
        <v>0</v>
      </c>
      <c r="H50" s="97">
        <v>0</v>
      </c>
      <c r="I50" s="99">
        <v>0</v>
      </c>
      <c r="J50" s="97">
        <v>0</v>
      </c>
      <c r="K50" s="99">
        <v>0</v>
      </c>
      <c r="L50" s="99">
        <v>9</v>
      </c>
      <c r="M50" s="99">
        <v>0</v>
      </c>
      <c r="N50" s="97">
        <v>0</v>
      </c>
      <c r="O50" s="99">
        <v>0</v>
      </c>
      <c r="P50" s="99">
        <v>0</v>
      </c>
      <c r="Q50" s="99">
        <v>0</v>
      </c>
      <c r="R50" s="97">
        <v>0</v>
      </c>
      <c r="S50" s="99">
        <v>0</v>
      </c>
      <c r="T50" s="99">
        <v>0</v>
      </c>
      <c r="U50" s="99">
        <v>0</v>
      </c>
      <c r="V50" s="394">
        <v>0</v>
      </c>
      <c r="W50" s="99">
        <v>0</v>
      </c>
      <c r="X50" s="97">
        <f t="shared" si="11"/>
        <v>5</v>
      </c>
      <c r="Y50" s="99">
        <v>0</v>
      </c>
      <c r="Z50" s="394">
        <v>0</v>
      </c>
      <c r="AA50" s="99">
        <v>0</v>
      </c>
      <c r="AB50" s="97">
        <f t="shared" si="6"/>
        <v>14</v>
      </c>
      <c r="AC50" s="97">
        <f t="shared" si="7"/>
        <v>0</v>
      </c>
    </row>
    <row r="51" spans="1:29" s="282" customFormat="1" ht="35.25" customHeight="1" x14ac:dyDescent="0.25">
      <c r="A51" s="44" t="s">
        <v>57</v>
      </c>
      <c r="B51" s="43" t="s">
        <v>135</v>
      </c>
      <c r="C51" s="97">
        <f>'6.2. Паспорт фин осв ввод факт'!C51</f>
        <v>0</v>
      </c>
      <c r="D51" s="394">
        <v>0</v>
      </c>
      <c r="E51" s="97">
        <f t="shared" si="10"/>
        <v>0</v>
      </c>
      <c r="F51" s="97">
        <f t="shared" si="4"/>
        <v>0</v>
      </c>
      <c r="G51" s="99">
        <v>0</v>
      </c>
      <c r="H51" s="97">
        <f>C51</f>
        <v>0</v>
      </c>
      <c r="I51" s="97">
        <v>0</v>
      </c>
      <c r="J51" s="97">
        <v>0</v>
      </c>
      <c r="K51" s="97">
        <v>0</v>
      </c>
      <c r="L51" s="97">
        <f>'6.2. Паспорт фин осв ввод факт'!X51</f>
        <v>0</v>
      </c>
      <c r="M51" s="97">
        <v>0</v>
      </c>
      <c r="N51" s="97">
        <v>0</v>
      </c>
      <c r="O51" s="97">
        <v>0</v>
      </c>
      <c r="P51" s="99">
        <f>C51</f>
        <v>0</v>
      </c>
      <c r="Q51" s="97">
        <v>0</v>
      </c>
      <c r="R51" s="97">
        <v>0</v>
      </c>
      <c r="S51" s="97">
        <v>0</v>
      </c>
      <c r="T51" s="97">
        <v>0</v>
      </c>
      <c r="U51" s="97">
        <v>0</v>
      </c>
      <c r="V51" s="394">
        <v>0</v>
      </c>
      <c r="W51" s="97">
        <v>0</v>
      </c>
      <c r="X51" s="97">
        <f t="shared" si="11"/>
        <v>0</v>
      </c>
      <c r="Y51" s="97">
        <v>0</v>
      </c>
      <c r="Z51" s="394">
        <v>0</v>
      </c>
      <c r="AA51" s="97">
        <v>0</v>
      </c>
      <c r="AB51" s="97">
        <f t="shared" si="6"/>
        <v>0</v>
      </c>
      <c r="AC51" s="97">
        <f t="shared" si="7"/>
        <v>0</v>
      </c>
    </row>
    <row r="52" spans="1:29" x14ac:dyDescent="0.25">
      <c r="A52" s="41" t="s">
        <v>134</v>
      </c>
      <c r="B52" s="25" t="s">
        <v>133</v>
      </c>
      <c r="C52" s="97">
        <f>C30</f>
        <v>6.4645742592519868</v>
      </c>
      <c r="D52" s="394">
        <v>0</v>
      </c>
      <c r="E52" s="97">
        <f t="shared" si="10"/>
        <v>6.4645742592519868</v>
      </c>
      <c r="F52" s="97">
        <f t="shared" si="4"/>
        <v>6.4645742592519868</v>
      </c>
      <c r="G52" s="99">
        <v>0</v>
      </c>
      <c r="H52" s="97">
        <v>0</v>
      </c>
      <c r="I52" s="99">
        <v>0</v>
      </c>
      <c r="J52" s="97">
        <v>0</v>
      </c>
      <c r="K52" s="99">
        <v>0</v>
      </c>
      <c r="L52" s="99">
        <v>0</v>
      </c>
      <c r="M52" s="99">
        <v>0</v>
      </c>
      <c r="N52" s="97">
        <v>0</v>
      </c>
      <c r="O52" s="99">
        <v>0</v>
      </c>
      <c r="P52" s="99">
        <v>0</v>
      </c>
      <c r="Q52" s="99">
        <v>0</v>
      </c>
      <c r="R52" s="97">
        <v>0</v>
      </c>
      <c r="S52" s="99">
        <v>0</v>
      </c>
      <c r="T52" s="99">
        <v>0</v>
      </c>
      <c r="U52" s="99">
        <v>0</v>
      </c>
      <c r="V52" s="394">
        <v>0</v>
      </c>
      <c r="W52" s="99">
        <v>0</v>
      </c>
      <c r="X52" s="97">
        <f t="shared" si="11"/>
        <v>6.4645742592519868</v>
      </c>
      <c r="Y52" s="99">
        <v>0</v>
      </c>
      <c r="Z52" s="394">
        <v>0</v>
      </c>
      <c r="AA52" s="99">
        <v>0</v>
      </c>
      <c r="AB52" s="97">
        <f t="shared" si="6"/>
        <v>6.4645742592519868</v>
      </c>
      <c r="AC52" s="97">
        <f t="shared" si="7"/>
        <v>0</v>
      </c>
    </row>
    <row r="53" spans="1:29" x14ac:dyDescent="0.25">
      <c r="A53" s="41" t="s">
        <v>132</v>
      </c>
      <c r="B53" s="25" t="s">
        <v>126</v>
      </c>
      <c r="C53" s="97">
        <f>'6.2. Паспорт фин осв ввод факт'!C53</f>
        <v>0</v>
      </c>
      <c r="D53" s="394">
        <v>0</v>
      </c>
      <c r="E53" s="97">
        <f t="shared" si="10"/>
        <v>0</v>
      </c>
      <c r="F53" s="97">
        <f t="shared" si="4"/>
        <v>0</v>
      </c>
      <c r="G53" s="99">
        <v>0</v>
      </c>
      <c r="H53" s="97">
        <f>C53</f>
        <v>0</v>
      </c>
      <c r="I53" s="99">
        <v>0</v>
      </c>
      <c r="J53" s="97">
        <v>0</v>
      </c>
      <c r="K53" s="99">
        <v>0</v>
      </c>
      <c r="L53" s="99">
        <f t="shared" ref="L53:L56" si="13">C53</f>
        <v>0</v>
      </c>
      <c r="M53" s="99">
        <v>0</v>
      </c>
      <c r="N53" s="97">
        <v>0</v>
      </c>
      <c r="O53" s="99">
        <v>0</v>
      </c>
      <c r="P53" s="99">
        <f t="shared" si="12"/>
        <v>0</v>
      </c>
      <c r="Q53" s="99">
        <v>0</v>
      </c>
      <c r="R53" s="97">
        <v>0</v>
      </c>
      <c r="S53" s="99">
        <v>0</v>
      </c>
      <c r="T53" s="99">
        <v>0</v>
      </c>
      <c r="U53" s="99">
        <v>0</v>
      </c>
      <c r="V53" s="394">
        <v>0</v>
      </c>
      <c r="W53" s="99">
        <v>0</v>
      </c>
      <c r="X53" s="97">
        <f t="shared" si="11"/>
        <v>0</v>
      </c>
      <c r="Y53" s="99">
        <v>0</v>
      </c>
      <c r="Z53" s="394">
        <v>0</v>
      </c>
      <c r="AA53" s="99">
        <v>0</v>
      </c>
      <c r="AB53" s="97">
        <f t="shared" si="6"/>
        <v>0</v>
      </c>
      <c r="AC53" s="97">
        <f t="shared" si="7"/>
        <v>0</v>
      </c>
    </row>
    <row r="54" spans="1:29" x14ac:dyDescent="0.25">
      <c r="A54" s="41" t="s">
        <v>131</v>
      </c>
      <c r="B54" s="167" t="s">
        <v>125</v>
      </c>
      <c r="C54" s="97">
        <f>C45</f>
        <v>0.8</v>
      </c>
      <c r="D54" s="394">
        <v>0</v>
      </c>
      <c r="E54" s="97">
        <f t="shared" si="10"/>
        <v>0.8</v>
      </c>
      <c r="F54" s="97">
        <f t="shared" si="4"/>
        <v>0.8</v>
      </c>
      <c r="G54" s="99">
        <v>0</v>
      </c>
      <c r="H54" s="97">
        <v>0</v>
      </c>
      <c r="I54" s="99">
        <v>0</v>
      </c>
      <c r="J54" s="97">
        <v>0</v>
      </c>
      <c r="K54" s="99">
        <v>0</v>
      </c>
      <c r="L54" s="99">
        <v>0</v>
      </c>
      <c r="M54" s="99">
        <v>0</v>
      </c>
      <c r="N54" s="97">
        <v>0</v>
      </c>
      <c r="O54" s="99">
        <v>0</v>
      </c>
      <c r="P54" s="99">
        <f t="shared" si="12"/>
        <v>0.8</v>
      </c>
      <c r="Q54" s="99">
        <v>0</v>
      </c>
      <c r="R54" s="97">
        <v>0</v>
      </c>
      <c r="S54" s="99">
        <v>0</v>
      </c>
      <c r="T54" s="99">
        <v>0</v>
      </c>
      <c r="U54" s="99">
        <v>0</v>
      </c>
      <c r="V54" s="394">
        <v>0</v>
      </c>
      <c r="W54" s="99">
        <v>0</v>
      </c>
      <c r="X54" s="97">
        <f t="shared" si="11"/>
        <v>0.8</v>
      </c>
      <c r="Y54" s="99">
        <v>0</v>
      </c>
      <c r="Z54" s="394">
        <v>0</v>
      </c>
      <c r="AA54" s="99">
        <v>0</v>
      </c>
      <c r="AB54" s="97">
        <f t="shared" si="6"/>
        <v>1.6</v>
      </c>
      <c r="AC54" s="97">
        <f t="shared" si="7"/>
        <v>0</v>
      </c>
    </row>
    <row r="55" spans="1:29" x14ac:dyDescent="0.25">
      <c r="A55" s="41" t="s">
        <v>130</v>
      </c>
      <c r="B55" s="167" t="s">
        <v>124</v>
      </c>
      <c r="C55" s="97">
        <f>'6.2. Паспорт фин осв ввод факт'!C55</f>
        <v>0</v>
      </c>
      <c r="D55" s="394">
        <v>0</v>
      </c>
      <c r="E55" s="97">
        <f t="shared" si="10"/>
        <v>0</v>
      </c>
      <c r="F55" s="97">
        <f t="shared" si="4"/>
        <v>0</v>
      </c>
      <c r="G55" s="99">
        <v>0</v>
      </c>
      <c r="H55" s="97">
        <f>C55</f>
        <v>0</v>
      </c>
      <c r="I55" s="99">
        <v>0</v>
      </c>
      <c r="J55" s="97">
        <v>0</v>
      </c>
      <c r="K55" s="99">
        <v>0</v>
      </c>
      <c r="L55" s="99">
        <f t="shared" si="13"/>
        <v>0</v>
      </c>
      <c r="M55" s="99">
        <v>0</v>
      </c>
      <c r="N55" s="97">
        <v>0</v>
      </c>
      <c r="O55" s="99">
        <v>0</v>
      </c>
      <c r="P55" s="99">
        <f t="shared" si="12"/>
        <v>0</v>
      </c>
      <c r="Q55" s="99">
        <v>0</v>
      </c>
      <c r="R55" s="97">
        <v>0</v>
      </c>
      <c r="S55" s="99">
        <v>0</v>
      </c>
      <c r="T55" s="99">
        <v>0</v>
      </c>
      <c r="U55" s="99">
        <v>0</v>
      </c>
      <c r="V55" s="394">
        <v>0</v>
      </c>
      <c r="W55" s="99">
        <v>0</v>
      </c>
      <c r="X55" s="97">
        <f t="shared" si="11"/>
        <v>0</v>
      </c>
      <c r="Y55" s="99">
        <v>0</v>
      </c>
      <c r="Z55" s="394">
        <v>0</v>
      </c>
      <c r="AA55" s="99">
        <v>0</v>
      </c>
      <c r="AB55" s="97">
        <f t="shared" si="6"/>
        <v>0</v>
      </c>
      <c r="AC55" s="97">
        <f t="shared" si="7"/>
        <v>0</v>
      </c>
    </row>
    <row r="56" spans="1:29" x14ac:dyDescent="0.25">
      <c r="A56" s="41" t="s">
        <v>129</v>
      </c>
      <c r="B56" s="167" t="s">
        <v>123</v>
      </c>
      <c r="C56" s="97">
        <f>'6.2. Паспорт фин осв ввод факт'!C56</f>
        <v>0</v>
      </c>
      <c r="D56" s="394">
        <v>0</v>
      </c>
      <c r="E56" s="97">
        <f t="shared" si="10"/>
        <v>0</v>
      </c>
      <c r="F56" s="97">
        <f t="shared" si="4"/>
        <v>0</v>
      </c>
      <c r="G56" s="99">
        <v>0</v>
      </c>
      <c r="H56" s="97">
        <f>C56</f>
        <v>0</v>
      </c>
      <c r="I56" s="99">
        <v>0</v>
      </c>
      <c r="J56" s="97">
        <v>0</v>
      </c>
      <c r="K56" s="99">
        <v>0</v>
      </c>
      <c r="L56" s="99">
        <f t="shared" si="13"/>
        <v>0</v>
      </c>
      <c r="M56" s="99">
        <v>0</v>
      </c>
      <c r="N56" s="97">
        <v>0</v>
      </c>
      <c r="O56" s="99">
        <v>0</v>
      </c>
      <c r="P56" s="99">
        <f t="shared" si="12"/>
        <v>0</v>
      </c>
      <c r="Q56" s="99">
        <v>0</v>
      </c>
      <c r="R56" s="97">
        <v>0</v>
      </c>
      <c r="S56" s="99">
        <v>0</v>
      </c>
      <c r="T56" s="99">
        <v>0</v>
      </c>
      <c r="U56" s="99">
        <v>0</v>
      </c>
      <c r="V56" s="394">
        <v>0</v>
      </c>
      <c r="W56" s="99">
        <v>0</v>
      </c>
      <c r="X56" s="97">
        <f t="shared" si="11"/>
        <v>0</v>
      </c>
      <c r="Y56" s="99">
        <v>0</v>
      </c>
      <c r="Z56" s="394">
        <v>0</v>
      </c>
      <c r="AA56" s="99">
        <v>0</v>
      </c>
      <c r="AB56" s="97">
        <f t="shared" si="6"/>
        <v>0</v>
      </c>
      <c r="AC56" s="97">
        <f t="shared" si="7"/>
        <v>0</v>
      </c>
    </row>
    <row r="57" spans="1:29" ht="18.75" x14ac:dyDescent="0.25">
      <c r="A57" s="41" t="s">
        <v>128</v>
      </c>
      <c r="B57" s="167" t="s">
        <v>546</v>
      </c>
      <c r="C57" s="97">
        <f>C42</f>
        <v>5</v>
      </c>
      <c r="D57" s="394">
        <v>0</v>
      </c>
      <c r="E57" s="97">
        <f t="shared" si="10"/>
        <v>5</v>
      </c>
      <c r="F57" s="97">
        <f t="shared" si="4"/>
        <v>5</v>
      </c>
      <c r="G57" s="99">
        <v>0</v>
      </c>
      <c r="H57" s="97">
        <v>0</v>
      </c>
      <c r="I57" s="99">
        <v>0</v>
      </c>
      <c r="J57" s="97">
        <v>0</v>
      </c>
      <c r="K57" s="99">
        <v>0</v>
      </c>
      <c r="L57" s="99">
        <v>0</v>
      </c>
      <c r="M57" s="99">
        <v>0</v>
      </c>
      <c r="N57" s="97">
        <v>0</v>
      </c>
      <c r="O57" s="99">
        <v>0</v>
      </c>
      <c r="P57" s="99">
        <v>0</v>
      </c>
      <c r="Q57" s="99">
        <v>0</v>
      </c>
      <c r="R57" s="97">
        <v>0</v>
      </c>
      <c r="S57" s="99">
        <v>0</v>
      </c>
      <c r="T57" s="99">
        <v>0</v>
      </c>
      <c r="U57" s="99">
        <v>0</v>
      </c>
      <c r="V57" s="394">
        <v>0</v>
      </c>
      <c r="W57" s="99">
        <v>0</v>
      </c>
      <c r="X57" s="97">
        <f t="shared" si="11"/>
        <v>5</v>
      </c>
      <c r="Y57" s="99">
        <v>0</v>
      </c>
      <c r="Z57" s="394">
        <v>0</v>
      </c>
      <c r="AA57" s="99">
        <v>0</v>
      </c>
      <c r="AB57" s="97">
        <f t="shared" si="6"/>
        <v>5</v>
      </c>
      <c r="AC57" s="97">
        <f t="shared" si="7"/>
        <v>0</v>
      </c>
    </row>
    <row r="58" spans="1:29" s="282" customFormat="1" ht="36.75" customHeight="1" x14ac:dyDescent="0.25">
      <c r="A58" s="44" t="s">
        <v>56</v>
      </c>
      <c r="B58" s="168" t="s">
        <v>207</v>
      </c>
      <c r="C58" s="97">
        <v>0</v>
      </c>
      <c r="D58" s="394">
        <v>0</v>
      </c>
      <c r="E58" s="97">
        <f t="shared" si="10"/>
        <v>0</v>
      </c>
      <c r="F58" s="97">
        <f t="shared" si="4"/>
        <v>0</v>
      </c>
      <c r="G58" s="99">
        <v>0</v>
      </c>
      <c r="H58" s="97">
        <f>C58</f>
        <v>0</v>
      </c>
      <c r="I58" s="97">
        <v>0</v>
      </c>
      <c r="J58" s="97">
        <v>0</v>
      </c>
      <c r="K58" s="97">
        <v>0</v>
      </c>
      <c r="L58" s="97">
        <f>'6.2. Паспорт фин осв ввод факт'!X58</f>
        <v>0</v>
      </c>
      <c r="M58" s="97">
        <v>0</v>
      </c>
      <c r="N58" s="97">
        <v>0</v>
      </c>
      <c r="O58" s="97">
        <v>0</v>
      </c>
      <c r="P58" s="99">
        <f>C58</f>
        <v>0</v>
      </c>
      <c r="Q58" s="97">
        <v>0</v>
      </c>
      <c r="R58" s="97">
        <v>0</v>
      </c>
      <c r="S58" s="97">
        <v>0</v>
      </c>
      <c r="T58" s="97">
        <v>0</v>
      </c>
      <c r="U58" s="97">
        <v>0</v>
      </c>
      <c r="V58" s="394">
        <v>0</v>
      </c>
      <c r="W58" s="97">
        <v>0</v>
      </c>
      <c r="X58" s="97">
        <f>X52</f>
        <v>6.4645742592519868</v>
      </c>
      <c r="Y58" s="97">
        <v>0</v>
      </c>
      <c r="Z58" s="394">
        <v>0</v>
      </c>
      <c r="AA58" s="97">
        <v>0</v>
      </c>
      <c r="AB58" s="97">
        <f t="shared" si="6"/>
        <v>6.4645742592519868</v>
      </c>
      <c r="AC58" s="97">
        <f t="shared" si="7"/>
        <v>0</v>
      </c>
    </row>
    <row r="59" spans="1:29" s="282" customFormat="1" x14ac:dyDescent="0.25">
      <c r="A59" s="44" t="s">
        <v>54</v>
      </c>
      <c r="B59" s="43" t="s">
        <v>127</v>
      </c>
      <c r="C59" s="97">
        <v>0</v>
      </c>
      <c r="D59" s="394">
        <v>0</v>
      </c>
      <c r="E59" s="97">
        <f t="shared" si="10"/>
        <v>0</v>
      </c>
      <c r="F59" s="97">
        <f t="shared" si="4"/>
        <v>0</v>
      </c>
      <c r="G59" s="99">
        <v>0</v>
      </c>
      <c r="H59" s="97">
        <f>C59</f>
        <v>0</v>
      </c>
      <c r="I59" s="97">
        <v>0</v>
      </c>
      <c r="J59" s="97">
        <v>0</v>
      </c>
      <c r="K59" s="97">
        <v>0</v>
      </c>
      <c r="L59" s="97">
        <f>'6.2. Паспорт фин осв ввод факт'!X59</f>
        <v>0</v>
      </c>
      <c r="M59" s="97">
        <v>0</v>
      </c>
      <c r="N59" s="97">
        <v>0</v>
      </c>
      <c r="O59" s="97">
        <v>0</v>
      </c>
      <c r="P59" s="99">
        <f t="shared" si="12"/>
        <v>0</v>
      </c>
      <c r="Q59" s="97">
        <v>0</v>
      </c>
      <c r="R59" s="97">
        <v>0</v>
      </c>
      <c r="S59" s="97">
        <v>0</v>
      </c>
      <c r="T59" s="97">
        <v>0</v>
      </c>
      <c r="U59" s="97">
        <v>0</v>
      </c>
      <c r="V59" s="394">
        <v>0</v>
      </c>
      <c r="W59" s="97">
        <v>0</v>
      </c>
      <c r="X59" s="97">
        <f t="shared" si="11"/>
        <v>0</v>
      </c>
      <c r="Y59" s="97">
        <v>0</v>
      </c>
      <c r="Z59" s="394">
        <v>0</v>
      </c>
      <c r="AA59" s="97">
        <v>0</v>
      </c>
      <c r="AB59" s="97">
        <f t="shared" si="6"/>
        <v>0</v>
      </c>
      <c r="AC59" s="97">
        <f t="shared" si="7"/>
        <v>0</v>
      </c>
    </row>
    <row r="60" spans="1:29" x14ac:dyDescent="0.25">
      <c r="A60" s="41" t="s">
        <v>201</v>
      </c>
      <c r="B60" s="169" t="s">
        <v>147</v>
      </c>
      <c r="C60" s="97">
        <v>0</v>
      </c>
      <c r="D60" s="394">
        <v>0</v>
      </c>
      <c r="E60" s="97">
        <f t="shared" si="10"/>
        <v>0</v>
      </c>
      <c r="F60" s="97">
        <f t="shared" si="4"/>
        <v>0</v>
      </c>
      <c r="G60" s="99">
        <v>0</v>
      </c>
      <c r="H60" s="97">
        <f>C60</f>
        <v>0</v>
      </c>
      <c r="I60" s="99">
        <v>0</v>
      </c>
      <c r="J60" s="97">
        <v>0</v>
      </c>
      <c r="K60" s="99">
        <v>0</v>
      </c>
      <c r="L60" s="99">
        <f>'6.2. Паспорт фин осв ввод факт'!X60</f>
        <v>0</v>
      </c>
      <c r="M60" s="99">
        <v>0</v>
      </c>
      <c r="N60" s="97">
        <v>0</v>
      </c>
      <c r="O60" s="99">
        <v>0</v>
      </c>
      <c r="P60" s="99">
        <f t="shared" si="12"/>
        <v>0</v>
      </c>
      <c r="Q60" s="99">
        <v>0</v>
      </c>
      <c r="R60" s="97">
        <v>0</v>
      </c>
      <c r="S60" s="99">
        <v>0</v>
      </c>
      <c r="T60" s="99">
        <v>0</v>
      </c>
      <c r="U60" s="99">
        <v>0</v>
      </c>
      <c r="V60" s="394">
        <v>0</v>
      </c>
      <c r="W60" s="99">
        <v>0</v>
      </c>
      <c r="X60" s="97">
        <f t="shared" si="11"/>
        <v>0</v>
      </c>
      <c r="Y60" s="99">
        <v>0</v>
      </c>
      <c r="Z60" s="394">
        <v>0</v>
      </c>
      <c r="AA60" s="99">
        <v>0</v>
      </c>
      <c r="AB60" s="97">
        <f t="shared" si="6"/>
        <v>0</v>
      </c>
      <c r="AC60" s="97">
        <f t="shared" si="7"/>
        <v>0</v>
      </c>
    </row>
    <row r="61" spans="1:29" x14ac:dyDescent="0.25">
      <c r="A61" s="41" t="s">
        <v>202</v>
      </c>
      <c r="B61" s="169" t="s">
        <v>145</v>
      </c>
      <c r="C61" s="97">
        <v>0.8</v>
      </c>
      <c r="D61" s="394">
        <v>0</v>
      </c>
      <c r="E61" s="97">
        <f t="shared" si="10"/>
        <v>0.8</v>
      </c>
      <c r="F61" s="97">
        <f t="shared" si="4"/>
        <v>0.8</v>
      </c>
      <c r="G61" s="99">
        <v>0</v>
      </c>
      <c r="H61" s="97">
        <v>0</v>
      </c>
      <c r="I61" s="99">
        <v>0</v>
      </c>
      <c r="J61" s="97">
        <v>0</v>
      </c>
      <c r="K61" s="99">
        <v>0</v>
      </c>
      <c r="L61" s="99">
        <v>0</v>
      </c>
      <c r="M61" s="99">
        <v>0</v>
      </c>
      <c r="N61" s="97">
        <v>0</v>
      </c>
      <c r="O61" s="99">
        <v>0</v>
      </c>
      <c r="P61" s="99">
        <v>0</v>
      </c>
      <c r="Q61" s="99">
        <v>0</v>
      </c>
      <c r="R61" s="97">
        <v>0</v>
      </c>
      <c r="S61" s="99">
        <v>0</v>
      </c>
      <c r="T61" s="99">
        <v>0</v>
      </c>
      <c r="U61" s="99">
        <v>0</v>
      </c>
      <c r="V61" s="394">
        <v>0</v>
      </c>
      <c r="W61" s="99">
        <v>0</v>
      </c>
      <c r="X61" s="97">
        <f t="shared" si="11"/>
        <v>0.8</v>
      </c>
      <c r="Y61" s="99">
        <v>0</v>
      </c>
      <c r="Z61" s="394">
        <v>0</v>
      </c>
      <c r="AA61" s="99">
        <v>0</v>
      </c>
      <c r="AB61" s="97">
        <f t="shared" si="6"/>
        <v>0.8</v>
      </c>
      <c r="AC61" s="97">
        <f t="shared" si="7"/>
        <v>0</v>
      </c>
    </row>
    <row r="62" spans="1:29" x14ac:dyDescent="0.25">
      <c r="A62" s="41" t="s">
        <v>203</v>
      </c>
      <c r="B62" s="169" t="s">
        <v>143</v>
      </c>
      <c r="C62" s="97">
        <v>0</v>
      </c>
      <c r="D62" s="394">
        <v>0</v>
      </c>
      <c r="E62" s="97">
        <f t="shared" si="10"/>
        <v>0</v>
      </c>
      <c r="F62" s="97">
        <f t="shared" si="4"/>
        <v>0</v>
      </c>
      <c r="G62" s="99">
        <v>0</v>
      </c>
      <c r="H62" s="97">
        <f>C62</f>
        <v>0</v>
      </c>
      <c r="I62" s="99">
        <v>0</v>
      </c>
      <c r="J62" s="97">
        <v>0</v>
      </c>
      <c r="K62" s="99">
        <v>0</v>
      </c>
      <c r="L62" s="99">
        <f>'6.2. Паспорт фин осв ввод факт'!X62</f>
        <v>0</v>
      </c>
      <c r="M62" s="99">
        <v>0</v>
      </c>
      <c r="N62" s="97">
        <v>0</v>
      </c>
      <c r="O62" s="99">
        <v>0</v>
      </c>
      <c r="P62" s="99">
        <f>C62</f>
        <v>0</v>
      </c>
      <c r="Q62" s="99">
        <v>0</v>
      </c>
      <c r="R62" s="97">
        <v>0</v>
      </c>
      <c r="S62" s="99">
        <v>0</v>
      </c>
      <c r="T62" s="99">
        <v>0</v>
      </c>
      <c r="U62" s="99">
        <v>0</v>
      </c>
      <c r="V62" s="394">
        <v>0</v>
      </c>
      <c r="W62" s="99">
        <v>0</v>
      </c>
      <c r="X62" s="97">
        <f t="shared" si="11"/>
        <v>0</v>
      </c>
      <c r="Y62" s="99">
        <v>0</v>
      </c>
      <c r="Z62" s="394">
        <v>0</v>
      </c>
      <c r="AA62" s="99">
        <v>0</v>
      </c>
      <c r="AB62" s="97">
        <f t="shared" si="6"/>
        <v>0</v>
      </c>
      <c r="AC62" s="97">
        <f t="shared" si="7"/>
        <v>0</v>
      </c>
    </row>
    <row r="63" spans="1:29" x14ac:dyDescent="0.25">
      <c r="A63" s="41" t="s">
        <v>204</v>
      </c>
      <c r="B63" s="169" t="s">
        <v>206</v>
      </c>
      <c r="C63" s="97">
        <v>0</v>
      </c>
      <c r="D63" s="394">
        <v>0</v>
      </c>
      <c r="E63" s="97">
        <f t="shared" si="10"/>
        <v>0</v>
      </c>
      <c r="F63" s="97">
        <f t="shared" si="4"/>
        <v>0</v>
      </c>
      <c r="G63" s="99">
        <v>0</v>
      </c>
      <c r="H63" s="97">
        <f>C63</f>
        <v>0</v>
      </c>
      <c r="I63" s="99">
        <v>0</v>
      </c>
      <c r="J63" s="97">
        <v>0</v>
      </c>
      <c r="K63" s="99">
        <v>0</v>
      </c>
      <c r="L63" s="99">
        <f>'6.2. Паспорт фин осв ввод факт'!X63</f>
        <v>0</v>
      </c>
      <c r="M63" s="99">
        <v>0</v>
      </c>
      <c r="N63" s="97">
        <v>0</v>
      </c>
      <c r="O63" s="99">
        <v>0</v>
      </c>
      <c r="P63" s="99">
        <f t="shared" si="12"/>
        <v>0</v>
      </c>
      <c r="Q63" s="99">
        <v>0</v>
      </c>
      <c r="R63" s="97">
        <v>0</v>
      </c>
      <c r="S63" s="99">
        <v>0</v>
      </c>
      <c r="T63" s="99">
        <v>0</v>
      </c>
      <c r="U63" s="99">
        <v>0</v>
      </c>
      <c r="V63" s="394">
        <v>0</v>
      </c>
      <c r="W63" s="99">
        <v>0</v>
      </c>
      <c r="X63" s="97">
        <f t="shared" si="11"/>
        <v>0</v>
      </c>
      <c r="Y63" s="99">
        <v>0</v>
      </c>
      <c r="Z63" s="394">
        <v>0</v>
      </c>
      <c r="AA63" s="99">
        <v>0</v>
      </c>
      <c r="AB63" s="97">
        <f t="shared" si="6"/>
        <v>0</v>
      </c>
      <c r="AC63" s="97">
        <f t="shared" si="7"/>
        <v>0</v>
      </c>
    </row>
    <row r="64" spans="1:29" ht="18.75" x14ac:dyDescent="0.25">
      <c r="A64" s="41" t="s">
        <v>205</v>
      </c>
      <c r="B64" s="167" t="s">
        <v>546</v>
      </c>
      <c r="C64" s="97">
        <v>5</v>
      </c>
      <c r="D64" s="394">
        <v>0</v>
      </c>
      <c r="E64" s="97">
        <f t="shared" si="10"/>
        <v>5</v>
      </c>
      <c r="F64" s="97">
        <f t="shared" si="4"/>
        <v>5</v>
      </c>
      <c r="G64" s="99">
        <v>0</v>
      </c>
      <c r="H64" s="97">
        <v>0</v>
      </c>
      <c r="I64" s="99">
        <v>0</v>
      </c>
      <c r="J64" s="97">
        <v>0</v>
      </c>
      <c r="K64" s="99">
        <v>0</v>
      </c>
      <c r="L64" s="99">
        <v>0</v>
      </c>
      <c r="M64" s="99">
        <v>0</v>
      </c>
      <c r="N64" s="97">
        <v>0</v>
      </c>
      <c r="O64" s="99">
        <v>0</v>
      </c>
      <c r="P64" s="99">
        <v>0</v>
      </c>
      <c r="Q64" s="99">
        <v>0</v>
      </c>
      <c r="R64" s="97">
        <v>0</v>
      </c>
      <c r="S64" s="99">
        <v>0</v>
      </c>
      <c r="T64" s="99">
        <v>0</v>
      </c>
      <c r="U64" s="99">
        <v>0</v>
      </c>
      <c r="V64" s="394">
        <v>0</v>
      </c>
      <c r="W64" s="99">
        <v>0</v>
      </c>
      <c r="X64" s="97">
        <f t="shared" si="11"/>
        <v>5</v>
      </c>
      <c r="Y64" s="99">
        <v>0</v>
      </c>
      <c r="Z64" s="394">
        <v>0</v>
      </c>
      <c r="AA64" s="99">
        <v>0</v>
      </c>
      <c r="AB64" s="97">
        <f t="shared" si="6"/>
        <v>5</v>
      </c>
      <c r="AC64" s="97">
        <f t="shared" si="7"/>
        <v>0</v>
      </c>
    </row>
    <row r="65" spans="1:28" x14ac:dyDescent="0.25">
      <c r="A65" s="38"/>
      <c r="B65" s="33"/>
      <c r="C65" s="33"/>
      <c r="D65" s="33"/>
      <c r="E65" s="33"/>
      <c r="F65" s="33"/>
      <c r="G65" s="33"/>
    </row>
    <row r="66" spans="1:28" ht="54" customHeight="1" x14ac:dyDescent="0.25">
      <c r="B66" s="347"/>
      <c r="C66" s="347"/>
      <c r="D66" s="347"/>
      <c r="E66" s="347"/>
      <c r="F66" s="347"/>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47"/>
      <c r="C68" s="347"/>
      <c r="D68" s="347"/>
      <c r="E68" s="347"/>
      <c r="F68" s="347"/>
      <c r="G68" s="35"/>
    </row>
    <row r="70" spans="1:28" ht="36.75" customHeight="1" x14ac:dyDescent="0.25">
      <c r="B70" s="347"/>
      <c r="C70" s="347"/>
      <c r="D70" s="347"/>
      <c r="E70" s="347"/>
      <c r="F70" s="347"/>
      <c r="G70" s="35"/>
    </row>
    <row r="72" spans="1:28" ht="51" customHeight="1" x14ac:dyDescent="0.25">
      <c r="B72" s="347"/>
      <c r="C72" s="347"/>
      <c r="D72" s="347"/>
      <c r="E72" s="347"/>
      <c r="F72" s="347"/>
      <c r="G72" s="35"/>
    </row>
    <row r="73" spans="1:28" ht="32.25" customHeight="1" x14ac:dyDescent="0.25">
      <c r="B73" s="347"/>
      <c r="C73" s="347"/>
      <c r="D73" s="347"/>
      <c r="E73" s="347"/>
      <c r="F73" s="347"/>
      <c r="G73" s="35"/>
    </row>
    <row r="74" spans="1:28" ht="51.75" customHeight="1" x14ac:dyDescent="0.25">
      <c r="B74" s="347"/>
      <c r="C74" s="347"/>
      <c r="D74" s="347"/>
      <c r="E74" s="347"/>
      <c r="F74" s="347"/>
      <c r="G74" s="35"/>
    </row>
    <row r="75" spans="1:28" ht="21.75" customHeight="1" x14ac:dyDescent="0.25">
      <c r="B75" s="353"/>
      <c r="C75" s="353"/>
      <c r="D75" s="353"/>
      <c r="E75" s="353"/>
      <c r="F75" s="353"/>
      <c r="G75" s="34"/>
    </row>
    <row r="76" spans="1:28" ht="23.25" customHeight="1" x14ac:dyDescent="0.25"/>
    <row r="77" spans="1:28" ht="18.75" customHeight="1" x14ac:dyDescent="0.25">
      <c r="B77" s="346"/>
      <c r="C77" s="346"/>
      <c r="D77" s="346"/>
      <c r="E77" s="346"/>
      <c r="F77" s="346"/>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P25:P28 H24:K24 P24:Q24">
    <cfRule type="cellIs" dxfId="42" priority="67" operator="greaterThan">
      <formula>0</formula>
    </cfRule>
  </conditionalFormatting>
  <conditionalFormatting sqref="C31">
    <cfRule type="cellIs" dxfId="41" priority="66" operator="greaterThan">
      <formula>0</formula>
    </cfRule>
  </conditionalFormatting>
  <conditionalFormatting sqref="C31">
    <cfRule type="cellIs" dxfId="40" priority="65" operator="greaterThan">
      <formula>0</formula>
    </cfRule>
  </conditionalFormatting>
  <conditionalFormatting sqref="C31">
    <cfRule type="cellIs" dxfId="39" priority="64" operator="greaterThan">
      <formula>0</formula>
    </cfRule>
  </conditionalFormatting>
  <conditionalFormatting sqref="T24:U24 X24:Y24 M24:M64 E24:E64 P25:P28 C24:C64 H24:K64 P24:Q24 AB24:AB64">
    <cfRule type="cellIs" dxfId="38" priority="63" operator="notEqual">
      <formula>0</formula>
    </cfRule>
  </conditionalFormatting>
  <conditionalFormatting sqref="T24:U24 X24:Y24">
    <cfRule type="cellIs" dxfId="37" priority="62" operator="greaterThan">
      <formula>0</formula>
    </cfRule>
  </conditionalFormatting>
  <conditionalFormatting sqref="T24:U24 X24:Y24">
    <cfRule type="cellIs" dxfId="36" priority="61" operator="greaterThan">
      <formula>0</formula>
    </cfRule>
  </conditionalFormatting>
  <conditionalFormatting sqref="T24:U24 X24:Y24">
    <cfRule type="cellIs" dxfId="35" priority="60" operator="greaterThan">
      <formula>0</formula>
    </cfRule>
  </conditionalFormatting>
  <conditionalFormatting sqref="T25:U64 Q25:Q28 P29:Q64 X25:Y64">
    <cfRule type="cellIs" dxfId="34" priority="54" operator="notEqual">
      <formula>0</formula>
    </cfRule>
  </conditionalFormatting>
  <conditionalFormatting sqref="F24:F64">
    <cfRule type="cellIs" dxfId="33" priority="39" operator="notEqual">
      <formula>0</formula>
    </cfRule>
  </conditionalFormatting>
  <conditionalFormatting sqref="G25:G64">
    <cfRule type="cellIs" dxfId="32" priority="31" operator="notEqual">
      <formula>0</formula>
    </cfRule>
  </conditionalFormatting>
  <conditionalFormatting sqref="L24">
    <cfRule type="cellIs" dxfId="31" priority="30" operator="greaterThan">
      <formula>0</formula>
    </cfRule>
  </conditionalFormatting>
  <conditionalFormatting sqref="L24:L64">
    <cfRule type="cellIs" dxfId="30" priority="29" operator="notEqual">
      <formula>0</formula>
    </cfRule>
  </conditionalFormatting>
  <conditionalFormatting sqref="D30">
    <cfRule type="cellIs" dxfId="29" priority="21" operator="greaterThan">
      <formula>0</formula>
    </cfRule>
  </conditionalFormatting>
  <conditionalFormatting sqref="G24">
    <cfRule type="cellIs" dxfId="28" priority="26" operator="greaterThan">
      <formula>0</formula>
    </cfRule>
  </conditionalFormatting>
  <conditionalFormatting sqref="G24">
    <cfRule type="cellIs" dxfId="27" priority="25" operator="notEqual">
      <formula>0</formula>
    </cfRule>
  </conditionalFormatting>
  <conditionalFormatting sqref="AC24:AC64">
    <cfRule type="cellIs" dxfId="26" priority="24" operator="notEqual">
      <formula>0</formula>
    </cfRule>
  </conditionalFormatting>
  <conditionalFormatting sqref="C24">
    <cfRule type="cellIs" dxfId="25" priority="23" operator="greaterThan">
      <formula>0</formula>
    </cfRule>
  </conditionalFormatting>
  <conditionalFormatting sqref="C24">
    <cfRule type="cellIs" dxfId="24" priority="22" operator="greaterThan">
      <formula>0</formula>
    </cfRule>
  </conditionalFormatting>
  <conditionalFormatting sqref="D31">
    <cfRule type="cellIs" dxfId="23" priority="20" operator="greaterThan">
      <formula>0</formula>
    </cfRule>
  </conditionalFormatting>
  <conditionalFormatting sqref="D31">
    <cfRule type="cellIs" dxfId="22" priority="19" operator="greaterThan">
      <formula>0</formula>
    </cfRule>
  </conditionalFormatting>
  <conditionalFormatting sqref="D31">
    <cfRule type="cellIs" dxfId="21" priority="18" operator="greaterThan">
      <formula>0</formula>
    </cfRule>
  </conditionalFormatting>
  <conditionalFormatting sqref="D24:D64">
    <cfRule type="cellIs" dxfId="20" priority="17" operator="notEqual">
      <formula>0</formula>
    </cfRule>
  </conditionalFormatting>
  <conditionalFormatting sqref="D24:D64">
    <cfRule type="cellIs" dxfId="19" priority="16" operator="greaterThan">
      <formula>0</formula>
    </cfRule>
  </conditionalFormatting>
  <conditionalFormatting sqref="D24:D64">
    <cfRule type="cellIs" dxfId="18" priority="15" operator="greaterThan">
      <formula>0</formula>
    </cfRule>
  </conditionalFormatting>
  <conditionalFormatting sqref="N24:O24">
    <cfRule type="cellIs" dxfId="17" priority="14" operator="greaterThan">
      <formula>0</formula>
    </cfRule>
  </conditionalFormatting>
  <conditionalFormatting sqref="N24:O64">
    <cfRule type="cellIs" dxfId="16" priority="13" operator="notEqual">
      <formula>0</formula>
    </cfRule>
  </conditionalFormatting>
  <conditionalFormatting sqref="R24:S24">
    <cfRule type="cellIs" dxfId="15" priority="12" operator="greaterThan">
      <formula>0</formula>
    </cfRule>
  </conditionalFormatting>
  <conditionalFormatting sqref="R24:S64">
    <cfRule type="cellIs" dxfId="14" priority="11" operator="notEqual">
      <formula>0</formula>
    </cfRule>
  </conditionalFormatting>
  <conditionalFormatting sqref="V24:W24 V25:V64">
    <cfRule type="cellIs" dxfId="13" priority="10" operator="notEqual">
      <formula>0</formula>
    </cfRule>
  </conditionalFormatting>
  <conditionalFormatting sqref="V24:W24 V25:V64">
    <cfRule type="cellIs" dxfId="12" priority="9" operator="greaterThan">
      <formula>0</formula>
    </cfRule>
  </conditionalFormatting>
  <conditionalFormatting sqref="V24:W24 V25:V64">
    <cfRule type="cellIs" dxfId="11" priority="8" operator="greaterThan">
      <formula>0</formula>
    </cfRule>
  </conditionalFormatting>
  <conditionalFormatting sqref="V24:W24 V25:V64">
    <cfRule type="cellIs" dxfId="10" priority="7" operator="greaterThan">
      <formula>0</formula>
    </cfRule>
  </conditionalFormatting>
  <conditionalFormatting sqref="W25:W64">
    <cfRule type="cellIs" dxfId="9" priority="6" operator="notEqual">
      <formula>0</formula>
    </cfRule>
  </conditionalFormatting>
  <conditionalFormatting sqref="Z24:AA24 Z25:Z64">
    <cfRule type="cellIs" dxfId="8" priority="5" operator="notEqual">
      <formula>0</formula>
    </cfRule>
  </conditionalFormatting>
  <conditionalFormatting sqref="Z24:AA24 Z25:Z64">
    <cfRule type="cellIs" dxfId="7" priority="4" operator="greaterThan">
      <formula>0</formula>
    </cfRule>
  </conditionalFormatting>
  <conditionalFormatting sqref="Z24:AA24 Z25:Z64">
    <cfRule type="cellIs" dxfId="6" priority="3" operator="greaterThan">
      <formula>0</formula>
    </cfRule>
  </conditionalFormatting>
  <conditionalFormatting sqref="Z24:AA24 Z25:Z64">
    <cfRule type="cellIs" dxfId="5" priority="2" operator="greaterThan">
      <formula>0</formula>
    </cfRule>
  </conditionalFormatting>
  <conditionalFormatting sqref="AA25:AA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K1" zoomScale="70" zoomScaleSheetLayoutView="70" workbookViewId="0">
      <selection activeCell="T26" sqref="T26:AV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6" t="str">
        <f>'1. паспорт местоположение'!A5:C5</f>
        <v>Год раскрытия информации: 2023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row>
    <row r="6" spans="1:48" ht="18.75" x14ac:dyDescent="0.3">
      <c r="AV6" s="12"/>
    </row>
    <row r="7" spans="1:48" ht="18.75" x14ac:dyDescent="0.25">
      <c r="A7" s="294" t="s">
        <v>7</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ht="18.75" x14ac:dyDescent="0.2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4"/>
    </row>
    <row r="9" spans="1:48" ht="15.75" x14ac:dyDescent="0.25">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row>
    <row r="10" spans="1:48" ht="15.75" x14ac:dyDescent="0.25">
      <c r="A10" s="298" t="s">
        <v>6</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8.75" x14ac:dyDescent="0.2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row>
    <row r="12" spans="1:48" ht="15.75" x14ac:dyDescent="0.25">
      <c r="A12" s="292" t="str">
        <f>'1. паспорт местоположение'!A12:C12</f>
        <v>J 19-10</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row>
    <row r="13" spans="1:48" ht="15.75" x14ac:dyDescent="0.25">
      <c r="A13" s="298" t="s">
        <v>5</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8.75" x14ac:dyDescent="0.25">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299"/>
      <c r="AM14" s="299"/>
      <c r="AN14" s="299"/>
      <c r="AO14" s="299"/>
      <c r="AP14" s="299"/>
      <c r="AQ14" s="299"/>
      <c r="AR14" s="299"/>
      <c r="AS14" s="299"/>
      <c r="AT14" s="299"/>
      <c r="AU14" s="299"/>
      <c r="AV14" s="299"/>
    </row>
    <row r="15" spans="1:48" ht="15.75" x14ac:dyDescent="0.25">
      <c r="A15" s="292" t="str">
        <f>'1. паспорт местоположение'!A15:C15</f>
        <v>Реконструкция ТП-12 15/0,4кВ п.Южный, Багратионовского р-на</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c r="AT15" s="292"/>
      <c r="AU15" s="292"/>
      <c r="AV15" s="292"/>
    </row>
    <row r="16" spans="1:48" ht="15.75" x14ac:dyDescent="0.25">
      <c r="A16" s="298" t="s">
        <v>4</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77" t="s">
        <v>406</v>
      </c>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c r="AE21" s="377"/>
      <c r="AF21" s="377"/>
      <c r="AG21" s="377"/>
      <c r="AH21" s="377"/>
      <c r="AI21" s="377"/>
      <c r="AJ21" s="377"/>
      <c r="AK21" s="377"/>
      <c r="AL21" s="377"/>
      <c r="AM21" s="377"/>
      <c r="AN21" s="377"/>
      <c r="AO21" s="377"/>
      <c r="AP21" s="377"/>
      <c r="AQ21" s="377"/>
      <c r="AR21" s="377"/>
      <c r="AS21" s="377"/>
      <c r="AT21" s="377"/>
      <c r="AU21" s="377"/>
      <c r="AV21" s="377"/>
    </row>
    <row r="22" spans="1:48" ht="58.5" customHeight="1" x14ac:dyDescent="0.25">
      <c r="A22" s="378" t="s">
        <v>50</v>
      </c>
      <c r="B22" s="382" t="s">
        <v>22</v>
      </c>
      <c r="C22" s="368" t="s">
        <v>49</v>
      </c>
      <c r="D22" s="368" t="s">
        <v>48</v>
      </c>
      <c r="E22" s="385" t="s">
        <v>416</v>
      </c>
      <c r="F22" s="386"/>
      <c r="G22" s="386"/>
      <c r="H22" s="386"/>
      <c r="I22" s="386"/>
      <c r="J22" s="386"/>
      <c r="K22" s="386"/>
      <c r="L22" s="387"/>
      <c r="M22" s="368" t="s">
        <v>47</v>
      </c>
      <c r="N22" s="368" t="s">
        <v>46</v>
      </c>
      <c r="O22" s="368" t="s">
        <v>45</v>
      </c>
      <c r="P22" s="363" t="s">
        <v>228</v>
      </c>
      <c r="Q22" s="363" t="s">
        <v>44</v>
      </c>
      <c r="R22" s="363" t="s">
        <v>43</v>
      </c>
      <c r="S22" s="363" t="s">
        <v>42</v>
      </c>
      <c r="T22" s="363"/>
      <c r="U22" s="370" t="s">
        <v>41</v>
      </c>
      <c r="V22" s="370" t="s">
        <v>40</v>
      </c>
      <c r="W22" s="363" t="s">
        <v>39</v>
      </c>
      <c r="X22" s="363" t="s">
        <v>38</v>
      </c>
      <c r="Y22" s="363" t="s">
        <v>37</v>
      </c>
      <c r="Z22" s="370" t="s">
        <v>36</v>
      </c>
      <c r="AA22" s="363" t="s">
        <v>35</v>
      </c>
      <c r="AB22" s="363" t="s">
        <v>34</v>
      </c>
      <c r="AC22" s="363" t="s">
        <v>33</v>
      </c>
      <c r="AD22" s="363" t="s">
        <v>32</v>
      </c>
      <c r="AE22" s="363" t="s">
        <v>31</v>
      </c>
      <c r="AF22" s="363" t="s">
        <v>30</v>
      </c>
      <c r="AG22" s="363"/>
      <c r="AH22" s="363"/>
      <c r="AI22" s="363"/>
      <c r="AJ22" s="363"/>
      <c r="AK22" s="363"/>
      <c r="AL22" s="363" t="s">
        <v>29</v>
      </c>
      <c r="AM22" s="363"/>
      <c r="AN22" s="363"/>
      <c r="AO22" s="363"/>
      <c r="AP22" s="363" t="s">
        <v>28</v>
      </c>
      <c r="AQ22" s="363"/>
      <c r="AR22" s="363" t="s">
        <v>27</v>
      </c>
      <c r="AS22" s="363" t="s">
        <v>26</v>
      </c>
      <c r="AT22" s="363" t="s">
        <v>25</v>
      </c>
      <c r="AU22" s="363" t="s">
        <v>24</v>
      </c>
      <c r="AV22" s="371" t="s">
        <v>23</v>
      </c>
    </row>
    <row r="23" spans="1:48" ht="64.5" customHeight="1" x14ac:dyDescent="0.25">
      <c r="A23" s="379"/>
      <c r="B23" s="383"/>
      <c r="C23" s="381"/>
      <c r="D23" s="381"/>
      <c r="E23" s="373" t="s">
        <v>21</v>
      </c>
      <c r="F23" s="364" t="s">
        <v>126</v>
      </c>
      <c r="G23" s="364" t="s">
        <v>125</v>
      </c>
      <c r="H23" s="364" t="s">
        <v>124</v>
      </c>
      <c r="I23" s="366" t="s">
        <v>353</v>
      </c>
      <c r="J23" s="366" t="s">
        <v>354</v>
      </c>
      <c r="K23" s="366" t="s">
        <v>355</v>
      </c>
      <c r="L23" s="364" t="s">
        <v>74</v>
      </c>
      <c r="M23" s="381"/>
      <c r="N23" s="381"/>
      <c r="O23" s="381"/>
      <c r="P23" s="363"/>
      <c r="Q23" s="363"/>
      <c r="R23" s="363"/>
      <c r="S23" s="375" t="s">
        <v>2</v>
      </c>
      <c r="T23" s="375" t="s">
        <v>9</v>
      </c>
      <c r="U23" s="370"/>
      <c r="V23" s="370"/>
      <c r="W23" s="363"/>
      <c r="X23" s="363"/>
      <c r="Y23" s="363"/>
      <c r="Z23" s="363"/>
      <c r="AA23" s="363"/>
      <c r="AB23" s="363"/>
      <c r="AC23" s="363"/>
      <c r="AD23" s="363"/>
      <c r="AE23" s="363"/>
      <c r="AF23" s="363" t="s">
        <v>20</v>
      </c>
      <c r="AG23" s="363"/>
      <c r="AH23" s="363" t="s">
        <v>19</v>
      </c>
      <c r="AI23" s="363"/>
      <c r="AJ23" s="368" t="s">
        <v>18</v>
      </c>
      <c r="AK23" s="368" t="s">
        <v>17</v>
      </c>
      <c r="AL23" s="368" t="s">
        <v>16</v>
      </c>
      <c r="AM23" s="368" t="s">
        <v>15</v>
      </c>
      <c r="AN23" s="368" t="s">
        <v>14</v>
      </c>
      <c r="AO23" s="368" t="s">
        <v>13</v>
      </c>
      <c r="AP23" s="368" t="s">
        <v>12</v>
      </c>
      <c r="AQ23" s="368" t="s">
        <v>9</v>
      </c>
      <c r="AR23" s="363"/>
      <c r="AS23" s="363"/>
      <c r="AT23" s="363"/>
      <c r="AU23" s="363"/>
      <c r="AV23" s="372"/>
    </row>
    <row r="24" spans="1:48" ht="96.75" customHeight="1" x14ac:dyDescent="0.25">
      <c r="A24" s="380"/>
      <c r="B24" s="384"/>
      <c r="C24" s="369"/>
      <c r="D24" s="369"/>
      <c r="E24" s="374"/>
      <c r="F24" s="365"/>
      <c r="G24" s="365"/>
      <c r="H24" s="365"/>
      <c r="I24" s="367"/>
      <c r="J24" s="367"/>
      <c r="K24" s="367"/>
      <c r="L24" s="365"/>
      <c r="M24" s="369"/>
      <c r="N24" s="369"/>
      <c r="O24" s="369"/>
      <c r="P24" s="363"/>
      <c r="Q24" s="363"/>
      <c r="R24" s="363"/>
      <c r="S24" s="376"/>
      <c r="T24" s="376"/>
      <c r="U24" s="370"/>
      <c r="V24" s="370"/>
      <c r="W24" s="363"/>
      <c r="X24" s="363"/>
      <c r="Y24" s="363"/>
      <c r="Z24" s="363"/>
      <c r="AA24" s="363"/>
      <c r="AB24" s="363"/>
      <c r="AC24" s="363"/>
      <c r="AD24" s="363"/>
      <c r="AE24" s="363"/>
      <c r="AF24" s="141" t="s">
        <v>11</v>
      </c>
      <c r="AG24" s="141" t="s">
        <v>10</v>
      </c>
      <c r="AH24" s="142" t="s">
        <v>2</v>
      </c>
      <c r="AI24" s="142" t="s">
        <v>9</v>
      </c>
      <c r="AJ24" s="369"/>
      <c r="AK24" s="369"/>
      <c r="AL24" s="369"/>
      <c r="AM24" s="369"/>
      <c r="AN24" s="369"/>
      <c r="AO24" s="369"/>
      <c r="AP24" s="369"/>
      <c r="AQ24" s="369"/>
      <c r="AR24" s="363"/>
      <c r="AS24" s="363"/>
      <c r="AT24" s="363"/>
      <c r="AU24" s="363"/>
      <c r="AV24" s="372"/>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49" customFormat="1" ht="63" x14ac:dyDescent="0.25">
      <c r="A26" s="146">
        <v>1</v>
      </c>
      <c r="B26" s="147" t="str">
        <f>A9</f>
        <v xml:space="preserve">Акционерное общество "Западная энергетическая компания" </v>
      </c>
      <c r="C26" s="147" t="s">
        <v>62</v>
      </c>
      <c r="D26" s="159">
        <f>'6.1. Паспорт сетевой график'!D53</f>
        <v>45473</v>
      </c>
      <c r="E26" s="147"/>
      <c r="F26" s="147"/>
      <c r="G26" s="147">
        <f>'6.2. Паспорт фин осв ввод'!C45</f>
        <v>0.8</v>
      </c>
      <c r="H26" s="147"/>
      <c r="I26" s="147"/>
      <c r="J26" s="147"/>
      <c r="K26" s="147"/>
      <c r="L26" s="147">
        <f>'6.2. Паспорт фин осв ввод'!C50</f>
        <v>5</v>
      </c>
      <c r="M26" s="147" t="s">
        <v>567</v>
      </c>
      <c r="N26" s="147" t="s">
        <v>549</v>
      </c>
      <c r="O26" s="148" t="str">
        <f>B26</f>
        <v xml:space="preserve">Акционерное общество "Западная энергетическая компания" </v>
      </c>
      <c r="P26" s="148">
        <f>'6.2. Паспорт фин осв ввод'!C30</f>
        <v>6.4645742592519868</v>
      </c>
      <c r="Q26" s="147" t="s">
        <v>550</v>
      </c>
      <c r="R26" s="148" t="s">
        <v>538</v>
      </c>
      <c r="S26" s="148" t="s">
        <v>598</v>
      </c>
      <c r="T26" s="148" t="s">
        <v>538</v>
      </c>
      <c r="U26" s="148" t="s">
        <v>538</v>
      </c>
      <c r="V26" s="148" t="s">
        <v>538</v>
      </c>
      <c r="W26" s="148" t="s">
        <v>538</v>
      </c>
      <c r="X26" s="148" t="s">
        <v>538</v>
      </c>
      <c r="Y26" s="148" t="s">
        <v>538</v>
      </c>
      <c r="Z26" s="148" t="s">
        <v>538</v>
      </c>
      <c r="AA26" s="148" t="s">
        <v>538</v>
      </c>
      <c r="AB26" s="148" t="s">
        <v>538</v>
      </c>
      <c r="AC26" s="148" t="s">
        <v>538</v>
      </c>
      <c r="AD26" s="148" t="s">
        <v>538</v>
      </c>
      <c r="AE26" s="148" t="s">
        <v>538</v>
      </c>
      <c r="AF26" s="148" t="s">
        <v>538</v>
      </c>
      <c r="AG26" s="148" t="s">
        <v>538</v>
      </c>
      <c r="AH26" s="148" t="s">
        <v>538</v>
      </c>
      <c r="AI26" s="148" t="s">
        <v>538</v>
      </c>
      <c r="AJ26" s="148" t="s">
        <v>538</v>
      </c>
      <c r="AK26" s="148" t="s">
        <v>538</v>
      </c>
      <c r="AL26" s="148" t="s">
        <v>538</v>
      </c>
      <c r="AM26" s="148" t="s">
        <v>538</v>
      </c>
      <c r="AN26" s="148" t="s">
        <v>538</v>
      </c>
      <c r="AO26" s="148" t="s">
        <v>538</v>
      </c>
      <c r="AP26" s="148" t="s">
        <v>538</v>
      </c>
      <c r="AQ26" s="148" t="s">
        <v>538</v>
      </c>
      <c r="AR26" s="148" t="s">
        <v>538</v>
      </c>
      <c r="AS26" s="148" t="s">
        <v>538</v>
      </c>
      <c r="AT26" s="148" t="s">
        <v>538</v>
      </c>
      <c r="AU26" s="148" t="s">
        <v>538</v>
      </c>
      <c r="AV26" s="148" t="s">
        <v>538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393" t="str">
        <f>'1. паспорт местоположение'!A5:C5</f>
        <v>Год раскрытия информации: 2023 год</v>
      </c>
      <c r="B5" s="393"/>
      <c r="C5" s="52"/>
      <c r="D5" s="52"/>
      <c r="E5" s="52"/>
      <c r="F5" s="52"/>
      <c r="G5" s="52"/>
      <c r="H5" s="52"/>
    </row>
    <row r="6" spans="1:8" ht="18.75" x14ac:dyDescent="0.3">
      <c r="A6" s="84"/>
      <c r="B6" s="84"/>
      <c r="C6" s="84"/>
      <c r="D6" s="84"/>
      <c r="E6" s="84"/>
      <c r="F6" s="84"/>
      <c r="G6" s="84"/>
      <c r="H6" s="84"/>
    </row>
    <row r="7" spans="1:8" ht="18.75" x14ac:dyDescent="0.25">
      <c r="A7" s="294" t="s">
        <v>7</v>
      </c>
      <c r="B7" s="294"/>
      <c r="C7" s="108"/>
      <c r="D7" s="108"/>
      <c r="E7" s="108"/>
      <c r="F7" s="108"/>
      <c r="G7" s="108"/>
      <c r="H7" s="108"/>
    </row>
    <row r="8" spans="1:8" ht="18.75" x14ac:dyDescent="0.25">
      <c r="A8" s="108"/>
      <c r="B8" s="108"/>
      <c r="C8" s="108"/>
      <c r="D8" s="108"/>
      <c r="E8" s="108"/>
      <c r="F8" s="108"/>
      <c r="G8" s="108"/>
      <c r="H8" s="108"/>
    </row>
    <row r="9" spans="1:8" x14ac:dyDescent="0.25">
      <c r="A9" s="292" t="str">
        <f>'1. паспорт местоположение'!A9:C9</f>
        <v xml:space="preserve">Акционерное общество "Западная энергетическая компания" </v>
      </c>
      <c r="B9" s="292"/>
      <c r="C9" s="110"/>
      <c r="D9" s="110"/>
      <c r="E9" s="110"/>
      <c r="F9" s="110"/>
      <c r="G9" s="110"/>
      <c r="H9" s="110"/>
    </row>
    <row r="10" spans="1:8" x14ac:dyDescent="0.25">
      <c r="A10" s="298" t="s">
        <v>6</v>
      </c>
      <c r="B10" s="298"/>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292" t="str">
        <f>'1. паспорт местоположение'!A12:C12</f>
        <v>J 19-10</v>
      </c>
      <c r="B12" s="292"/>
      <c r="C12" s="110"/>
      <c r="D12" s="110"/>
      <c r="E12" s="110"/>
      <c r="F12" s="110"/>
      <c r="G12" s="110"/>
      <c r="H12" s="110"/>
    </row>
    <row r="13" spans="1:8" x14ac:dyDescent="0.25">
      <c r="A13" s="298" t="s">
        <v>5</v>
      </c>
      <c r="B13" s="298"/>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18" t="str">
        <f>'1. паспорт местоположение'!A15:C15</f>
        <v>Реконструкция ТП-12 15/0,4кВ п.Южный, Багратионовского р-на</v>
      </c>
      <c r="B15" s="318"/>
      <c r="C15" s="110"/>
      <c r="D15" s="110"/>
      <c r="E15" s="110"/>
      <c r="F15" s="110"/>
      <c r="G15" s="110"/>
      <c r="H15" s="110"/>
    </row>
    <row r="16" spans="1:8" x14ac:dyDescent="0.25">
      <c r="A16" s="298" t="s">
        <v>4</v>
      </c>
      <c r="B16" s="298"/>
      <c r="C16" s="111"/>
      <c r="D16" s="111"/>
      <c r="E16" s="111"/>
      <c r="F16" s="111"/>
      <c r="G16" s="111"/>
      <c r="H16" s="111"/>
    </row>
    <row r="17" spans="1:2" x14ac:dyDescent="0.25">
      <c r="B17" s="59"/>
    </row>
    <row r="18" spans="1:2" ht="33.75" customHeight="1" x14ac:dyDescent="0.25">
      <c r="A18" s="388" t="s">
        <v>407</v>
      </c>
      <c r="B18" s="389"/>
    </row>
    <row r="19" spans="1:2" x14ac:dyDescent="0.25">
      <c r="B19" s="24"/>
    </row>
    <row r="20" spans="1:2" ht="16.5" thickBot="1" x14ac:dyDescent="0.3">
      <c r="B20" s="60"/>
    </row>
    <row r="21" spans="1:2" ht="34.15" customHeight="1" thickBot="1" x14ac:dyDescent="0.3">
      <c r="A21" s="61" t="s">
        <v>304</v>
      </c>
      <c r="B21" s="189" t="str">
        <f>A15</f>
        <v>Реконструкция ТП-12 15/0,4кВ п.Южный, Багратионовского р-на</v>
      </c>
    </row>
    <row r="22" spans="1:2" ht="30" customHeight="1" thickBot="1" x14ac:dyDescent="0.3">
      <c r="A22" s="61" t="s">
        <v>305</v>
      </c>
      <c r="B22" s="194" t="str">
        <f>'1. паспорт местоположение'!C27</f>
        <v>Багратионовский  р-н, п.Южный, Нивенское сельское поселение.</v>
      </c>
    </row>
    <row r="23" spans="1:2" ht="16.5" thickBot="1" x14ac:dyDescent="0.3">
      <c r="A23" s="61" t="s">
        <v>289</v>
      </c>
      <c r="B23" s="62" t="s">
        <v>568</v>
      </c>
    </row>
    <row r="24" spans="1:2" ht="16.5" thickBot="1" x14ac:dyDescent="0.3">
      <c r="A24" s="61" t="s">
        <v>306</v>
      </c>
      <c r="B24" s="62">
        <f>'6.2. Паспорт фин осв ввод'!C45</f>
        <v>0.8</v>
      </c>
    </row>
    <row r="25" spans="1:2" ht="16.5" thickBot="1" x14ac:dyDescent="0.3">
      <c r="A25" s="63" t="s">
        <v>307</v>
      </c>
      <c r="B25" s="193">
        <f>'6.1. Паспорт сетевой график'!C53</f>
        <v>45457</v>
      </c>
    </row>
    <row r="26" spans="1:2" ht="16.5" thickBot="1" x14ac:dyDescent="0.3">
      <c r="A26" s="64" t="s">
        <v>308</v>
      </c>
      <c r="B26" s="190" t="s">
        <v>569</v>
      </c>
    </row>
    <row r="27" spans="1:2" ht="29.25" thickBot="1" x14ac:dyDescent="0.3">
      <c r="A27" s="71" t="s">
        <v>597</v>
      </c>
      <c r="B27" s="191">
        <f>'6.2. Паспорт фин осв ввод'!C24</f>
        <v>7.7574891111023838</v>
      </c>
    </row>
    <row r="28" spans="1:2" ht="42" customHeight="1" thickBot="1" x14ac:dyDescent="0.3">
      <c r="A28" s="66" t="s">
        <v>309</v>
      </c>
      <c r="B28" s="66" t="s">
        <v>550</v>
      </c>
    </row>
    <row r="29" spans="1:2" ht="29.25" thickBot="1" x14ac:dyDescent="0.3">
      <c r="A29" s="72" t="s">
        <v>310</v>
      </c>
      <c r="B29" s="102"/>
    </row>
    <row r="30" spans="1:2" ht="29.25" thickBot="1" x14ac:dyDescent="0.3">
      <c r="A30" s="72" t="s">
        <v>311</v>
      </c>
      <c r="B30" s="102"/>
    </row>
    <row r="31" spans="1:2" ht="16.5" thickBot="1" x14ac:dyDescent="0.3">
      <c r="A31" s="66" t="s">
        <v>312</v>
      </c>
      <c r="B31" s="102"/>
    </row>
    <row r="32" spans="1:2" ht="29.25" thickBot="1" x14ac:dyDescent="0.3">
      <c r="A32" s="72" t="s">
        <v>313</v>
      </c>
      <c r="B32" s="102"/>
    </row>
    <row r="33" spans="1:3" s="150" customFormat="1" ht="16.5" thickBot="1" x14ac:dyDescent="0.3">
      <c r="A33" s="157"/>
      <c r="B33" s="158"/>
      <c r="C33" s="150">
        <v>10</v>
      </c>
    </row>
    <row r="34" spans="1:3" ht="16.5" thickBot="1" x14ac:dyDescent="0.3">
      <c r="A34" s="66" t="s">
        <v>315</v>
      </c>
      <c r="B34" s="91"/>
    </row>
    <row r="35" spans="1:3" ht="16.5" thickBot="1" x14ac:dyDescent="0.3">
      <c r="A35" s="66" t="s">
        <v>316</v>
      </c>
      <c r="B35" s="102"/>
      <c r="C35" s="32">
        <v>1</v>
      </c>
    </row>
    <row r="36" spans="1:3" ht="16.5" thickBot="1" x14ac:dyDescent="0.3">
      <c r="A36" s="66" t="s">
        <v>317</v>
      </c>
      <c r="B36" s="102"/>
      <c r="C36" s="32">
        <v>2</v>
      </c>
    </row>
    <row r="37" spans="1:3" s="150" customFormat="1" ht="16.5" thickBot="1" x14ac:dyDescent="0.3">
      <c r="A37" s="89" t="s">
        <v>314</v>
      </c>
      <c r="B37" s="90"/>
      <c r="C37" s="150">
        <v>10</v>
      </c>
    </row>
    <row r="38" spans="1:3" ht="16.5" thickBot="1" x14ac:dyDescent="0.3">
      <c r="A38" s="66" t="s">
        <v>315</v>
      </c>
      <c r="B38" s="91">
        <f>B37/$B$27</f>
        <v>0</v>
      </c>
    </row>
    <row r="39" spans="1:3" ht="16.5" thickBot="1" x14ac:dyDescent="0.3">
      <c r="A39" s="66" t="s">
        <v>316</v>
      </c>
      <c r="B39" s="88"/>
      <c r="C39" s="32">
        <v>1</v>
      </c>
    </row>
    <row r="40" spans="1:3" ht="16.5" thickBot="1" x14ac:dyDescent="0.3">
      <c r="A40" s="66" t="s">
        <v>317</v>
      </c>
      <c r="B40" s="88"/>
      <c r="C40" s="32">
        <v>2</v>
      </c>
    </row>
    <row r="41" spans="1:3" ht="16.5" thickBot="1" x14ac:dyDescent="0.3">
      <c r="A41" s="89" t="s">
        <v>314</v>
      </c>
      <c r="B41" s="90"/>
      <c r="C41" s="150">
        <v>10</v>
      </c>
    </row>
    <row r="42" spans="1:3" ht="16.5" thickBot="1" x14ac:dyDescent="0.3">
      <c r="A42" s="66" t="s">
        <v>315</v>
      </c>
      <c r="B42" s="91">
        <f>B41/$B$27</f>
        <v>0</v>
      </c>
    </row>
    <row r="43" spans="1:3" ht="16.5" thickBot="1" x14ac:dyDescent="0.3">
      <c r="A43" s="66" t="s">
        <v>316</v>
      </c>
      <c r="B43" s="88"/>
      <c r="C43" s="32">
        <v>1</v>
      </c>
    </row>
    <row r="44" spans="1:3" ht="16.5" thickBot="1" x14ac:dyDescent="0.3">
      <c r="A44" s="66" t="s">
        <v>317</v>
      </c>
      <c r="B44" s="88"/>
      <c r="C44" s="32">
        <v>2</v>
      </c>
    </row>
    <row r="45" spans="1:3" ht="16.5" thickBot="1" x14ac:dyDescent="0.3">
      <c r="A45" s="89" t="s">
        <v>314</v>
      </c>
      <c r="B45" s="90"/>
      <c r="C45" s="150">
        <v>10</v>
      </c>
    </row>
    <row r="46" spans="1:3" ht="16.5" thickBot="1" x14ac:dyDescent="0.3">
      <c r="A46" s="66" t="s">
        <v>315</v>
      </c>
      <c r="B46" s="91">
        <f>B45/$B$27</f>
        <v>0</v>
      </c>
    </row>
    <row r="47" spans="1:3" ht="16.5" thickBot="1" x14ac:dyDescent="0.3">
      <c r="A47" s="66" t="s">
        <v>316</v>
      </c>
      <c r="B47" s="88"/>
      <c r="C47" s="32">
        <v>1</v>
      </c>
    </row>
    <row r="48" spans="1:3" ht="16.5" thickBot="1" x14ac:dyDescent="0.3">
      <c r="A48" s="66" t="s">
        <v>317</v>
      </c>
      <c r="B48" s="88"/>
      <c r="C48" s="32">
        <v>2</v>
      </c>
    </row>
    <row r="49" spans="1:3" ht="16.5" thickBot="1" x14ac:dyDescent="0.3">
      <c r="A49" s="89" t="s">
        <v>314</v>
      </c>
      <c r="B49" s="90"/>
      <c r="C49" s="150">
        <v>10</v>
      </c>
    </row>
    <row r="50" spans="1:3" ht="16.5" thickBot="1" x14ac:dyDescent="0.3">
      <c r="A50" s="66" t="s">
        <v>315</v>
      </c>
      <c r="B50" s="91">
        <f>B49/$B$27</f>
        <v>0</v>
      </c>
    </row>
    <row r="51" spans="1:3" ht="16.5" thickBot="1" x14ac:dyDescent="0.3">
      <c r="A51" s="66" t="s">
        <v>316</v>
      </c>
      <c r="B51" s="88"/>
      <c r="C51" s="32">
        <v>1</v>
      </c>
    </row>
    <row r="52" spans="1:3" ht="16.5" thickBot="1" x14ac:dyDescent="0.3">
      <c r="A52" s="66" t="s">
        <v>317</v>
      </c>
      <c r="B52" s="88"/>
      <c r="C52" s="32">
        <v>2</v>
      </c>
    </row>
    <row r="53" spans="1:3" ht="29.25" thickBot="1" x14ac:dyDescent="0.3">
      <c r="A53" s="72" t="s">
        <v>318</v>
      </c>
      <c r="B53" s="88">
        <f xml:space="preserve"> SUMIF(C54:C110, 20,B54:B110)</f>
        <v>0</v>
      </c>
    </row>
    <row r="54" spans="1:3" s="150" customFormat="1" ht="16.5" thickBot="1" x14ac:dyDescent="0.3">
      <c r="A54" s="89" t="s">
        <v>314</v>
      </c>
      <c r="B54" s="90"/>
      <c r="C54" s="150">
        <v>20</v>
      </c>
    </row>
    <row r="55" spans="1:3" ht="16.5" thickBot="1" x14ac:dyDescent="0.3">
      <c r="A55" s="66" t="s">
        <v>315</v>
      </c>
      <c r="B55" s="91">
        <f>B54/$B$27</f>
        <v>0</v>
      </c>
    </row>
    <row r="56" spans="1:3" ht="16.5" thickBot="1" x14ac:dyDescent="0.3">
      <c r="A56" s="66" t="s">
        <v>316</v>
      </c>
      <c r="B56" s="88"/>
      <c r="C56" s="32">
        <v>1</v>
      </c>
    </row>
    <row r="57" spans="1:3" ht="16.5" thickBot="1" x14ac:dyDescent="0.3">
      <c r="A57" s="66" t="s">
        <v>317</v>
      </c>
      <c r="B57" s="88"/>
      <c r="C57" s="32">
        <v>2</v>
      </c>
    </row>
    <row r="58" spans="1:3" s="150" customFormat="1" ht="16.5" thickBot="1" x14ac:dyDescent="0.3">
      <c r="A58" s="89" t="s">
        <v>314</v>
      </c>
      <c r="B58" s="90"/>
      <c r="C58" s="150">
        <v>20</v>
      </c>
    </row>
    <row r="59" spans="1:3" ht="16.5" thickBot="1" x14ac:dyDescent="0.3">
      <c r="A59" s="66" t="s">
        <v>315</v>
      </c>
      <c r="B59" s="91">
        <f>B58/$B$27</f>
        <v>0</v>
      </c>
    </row>
    <row r="60" spans="1:3" ht="16.5" thickBot="1" x14ac:dyDescent="0.3">
      <c r="A60" s="66" t="s">
        <v>316</v>
      </c>
      <c r="B60" s="88"/>
      <c r="C60" s="32">
        <v>1</v>
      </c>
    </row>
    <row r="61" spans="1:3" ht="16.5" thickBot="1" x14ac:dyDescent="0.3">
      <c r="A61" s="66" t="s">
        <v>317</v>
      </c>
      <c r="B61" s="88"/>
      <c r="C61" s="32">
        <v>2</v>
      </c>
    </row>
    <row r="62" spans="1:3" s="150" customFormat="1" ht="16.5" thickBot="1" x14ac:dyDescent="0.3">
      <c r="A62" s="89" t="s">
        <v>314</v>
      </c>
      <c r="B62" s="90"/>
      <c r="C62" s="150">
        <v>20</v>
      </c>
    </row>
    <row r="63" spans="1:3" ht="16.5" thickBot="1" x14ac:dyDescent="0.3">
      <c r="A63" s="66" t="s">
        <v>315</v>
      </c>
      <c r="B63" s="91">
        <f>B62/$B$27</f>
        <v>0</v>
      </c>
    </row>
    <row r="64" spans="1:3" ht="16.5" thickBot="1" x14ac:dyDescent="0.3">
      <c r="A64" s="66" t="s">
        <v>316</v>
      </c>
      <c r="B64" s="88"/>
      <c r="C64" s="32">
        <v>1</v>
      </c>
    </row>
    <row r="65" spans="1:3" ht="16.5" thickBot="1" x14ac:dyDescent="0.3">
      <c r="A65" s="66" t="s">
        <v>317</v>
      </c>
      <c r="B65" s="88"/>
      <c r="C65" s="32">
        <v>2</v>
      </c>
    </row>
    <row r="66" spans="1:3" s="150" customFormat="1" ht="16.5" thickBot="1" x14ac:dyDescent="0.3">
      <c r="A66" s="89" t="s">
        <v>314</v>
      </c>
      <c r="B66" s="90"/>
      <c r="C66" s="150">
        <v>20</v>
      </c>
    </row>
    <row r="67" spans="1:3" ht="16.5" thickBot="1" x14ac:dyDescent="0.3">
      <c r="A67" s="66" t="s">
        <v>315</v>
      </c>
      <c r="B67" s="91">
        <f>B66/$B$27</f>
        <v>0</v>
      </c>
    </row>
    <row r="68" spans="1:3" ht="16.5" thickBot="1" x14ac:dyDescent="0.3">
      <c r="A68" s="66" t="s">
        <v>316</v>
      </c>
      <c r="B68" s="88"/>
      <c r="C68" s="32">
        <v>1</v>
      </c>
    </row>
    <row r="69" spans="1:3" ht="16.5" thickBot="1" x14ac:dyDescent="0.3">
      <c r="A69" s="66" t="s">
        <v>317</v>
      </c>
      <c r="B69" s="88"/>
      <c r="C69" s="32">
        <v>2</v>
      </c>
    </row>
    <row r="70" spans="1:3" ht="29.25" thickBot="1" x14ac:dyDescent="0.3">
      <c r="A70" s="72" t="s">
        <v>319</v>
      </c>
      <c r="B70" s="88"/>
    </row>
    <row r="71" spans="1:3" s="150" customFormat="1" ht="16.5" thickBot="1" x14ac:dyDescent="0.3">
      <c r="A71" s="157"/>
      <c r="B71" s="158"/>
      <c r="C71" s="150">
        <v>30</v>
      </c>
    </row>
    <row r="72" spans="1:3" ht="16.5" thickBot="1" x14ac:dyDescent="0.3">
      <c r="A72" s="66" t="s">
        <v>315</v>
      </c>
      <c r="B72" s="91"/>
    </row>
    <row r="73" spans="1:3" ht="16.5" thickBot="1" x14ac:dyDescent="0.3">
      <c r="A73" s="66" t="s">
        <v>316</v>
      </c>
      <c r="B73" s="102"/>
      <c r="C73" s="32">
        <v>1</v>
      </c>
    </row>
    <row r="74" spans="1:3" ht="16.5" thickBot="1" x14ac:dyDescent="0.3">
      <c r="A74" s="66" t="s">
        <v>317</v>
      </c>
      <c r="B74" s="102"/>
      <c r="C74" s="32">
        <v>2</v>
      </c>
    </row>
    <row r="75" spans="1:3" s="150" customFormat="1" ht="16.5" thickBot="1" x14ac:dyDescent="0.3">
      <c r="A75" s="157"/>
      <c r="B75" s="158"/>
      <c r="C75" s="150">
        <v>30</v>
      </c>
    </row>
    <row r="76" spans="1:3" ht="16.5" thickBot="1" x14ac:dyDescent="0.3">
      <c r="A76" s="66" t="s">
        <v>315</v>
      </c>
      <c r="B76" s="91"/>
    </row>
    <row r="77" spans="1:3" ht="16.5" thickBot="1" x14ac:dyDescent="0.3">
      <c r="A77" s="66" t="s">
        <v>316</v>
      </c>
      <c r="B77" s="102"/>
      <c r="C77" s="32">
        <v>1</v>
      </c>
    </row>
    <row r="78" spans="1:3" ht="16.5" thickBot="1" x14ac:dyDescent="0.3">
      <c r="A78" s="66" t="s">
        <v>317</v>
      </c>
      <c r="B78" s="102"/>
      <c r="C78" s="32">
        <v>2</v>
      </c>
    </row>
    <row r="79" spans="1:3" s="150" customFormat="1" ht="16.5" thickBot="1" x14ac:dyDescent="0.3">
      <c r="A79" s="157"/>
      <c r="B79" s="158"/>
      <c r="C79" s="150">
        <v>30</v>
      </c>
    </row>
    <row r="80" spans="1:3" ht="16.5" thickBot="1" x14ac:dyDescent="0.3">
      <c r="A80" s="66" t="s">
        <v>315</v>
      </c>
      <c r="B80" s="91"/>
    </row>
    <row r="81" spans="1:3" ht="16.5" thickBot="1" x14ac:dyDescent="0.3">
      <c r="A81" s="66" t="s">
        <v>316</v>
      </c>
      <c r="B81" s="88"/>
      <c r="C81" s="32">
        <v>1</v>
      </c>
    </row>
    <row r="82" spans="1:3" ht="16.5" thickBot="1" x14ac:dyDescent="0.3">
      <c r="A82" s="66" t="s">
        <v>317</v>
      </c>
      <c r="B82" s="88"/>
      <c r="C82" s="32">
        <v>2</v>
      </c>
    </row>
    <row r="83" spans="1:3" s="150" customFormat="1" ht="16.5" thickBot="1" x14ac:dyDescent="0.3">
      <c r="A83" s="89" t="s">
        <v>314</v>
      </c>
      <c r="B83" s="90"/>
      <c r="C83" s="150">
        <v>30</v>
      </c>
    </row>
    <row r="84" spans="1:3" ht="16.5" thickBot="1" x14ac:dyDescent="0.3">
      <c r="A84" s="66" t="s">
        <v>315</v>
      </c>
      <c r="B84" s="91"/>
    </row>
    <row r="85" spans="1:3" ht="16.5" thickBot="1" x14ac:dyDescent="0.3">
      <c r="A85" s="66" t="s">
        <v>316</v>
      </c>
      <c r="B85" s="88"/>
      <c r="C85" s="32">
        <v>1</v>
      </c>
    </row>
    <row r="86" spans="1:3" ht="16.5" thickBot="1" x14ac:dyDescent="0.3">
      <c r="A86" s="66" t="s">
        <v>317</v>
      </c>
      <c r="B86" s="88"/>
      <c r="C86" s="32">
        <v>2</v>
      </c>
    </row>
    <row r="87" spans="1:3" s="150" customFormat="1" ht="16.5" thickBot="1" x14ac:dyDescent="0.3">
      <c r="A87" s="89" t="s">
        <v>314</v>
      </c>
      <c r="B87" s="90"/>
      <c r="C87" s="150">
        <v>30</v>
      </c>
    </row>
    <row r="88" spans="1:3" ht="16.5" thickBot="1" x14ac:dyDescent="0.3">
      <c r="A88" s="66" t="s">
        <v>315</v>
      </c>
      <c r="B88" s="91"/>
    </row>
    <row r="89" spans="1:3" ht="16.5" thickBot="1" x14ac:dyDescent="0.3">
      <c r="A89" s="66" t="s">
        <v>316</v>
      </c>
      <c r="B89" s="88"/>
      <c r="C89" s="32">
        <v>1</v>
      </c>
    </row>
    <row r="90" spans="1:3" ht="16.5" thickBot="1" x14ac:dyDescent="0.3">
      <c r="A90" s="66" t="s">
        <v>317</v>
      </c>
      <c r="B90" s="88"/>
      <c r="C90" s="32">
        <v>2</v>
      </c>
    </row>
    <row r="91" spans="1:3" s="150" customFormat="1" ht="16.5" thickBot="1" x14ac:dyDescent="0.3">
      <c r="A91" s="89" t="s">
        <v>314</v>
      </c>
      <c r="B91" s="90"/>
      <c r="C91" s="150">
        <v>30</v>
      </c>
    </row>
    <row r="92" spans="1:3" ht="16.5" thickBot="1" x14ac:dyDescent="0.3">
      <c r="A92" s="66" t="s">
        <v>315</v>
      </c>
      <c r="B92" s="91"/>
    </row>
    <row r="93" spans="1:3" ht="16.5" thickBot="1" x14ac:dyDescent="0.3">
      <c r="A93" s="66" t="s">
        <v>316</v>
      </c>
      <c r="B93" s="88"/>
      <c r="C93" s="32">
        <v>1</v>
      </c>
    </row>
    <row r="94" spans="1:3" ht="16.5" thickBot="1" x14ac:dyDescent="0.3">
      <c r="A94" s="66" t="s">
        <v>317</v>
      </c>
      <c r="B94" s="88"/>
      <c r="C94" s="32">
        <v>2</v>
      </c>
    </row>
    <row r="95" spans="1:3" s="150" customFormat="1" ht="16.5" thickBot="1" x14ac:dyDescent="0.3">
      <c r="A95" s="89" t="s">
        <v>314</v>
      </c>
      <c r="B95" s="90"/>
      <c r="C95" s="150">
        <v>30</v>
      </c>
    </row>
    <row r="96" spans="1:3" ht="16.5" thickBot="1" x14ac:dyDescent="0.3">
      <c r="A96" s="66" t="s">
        <v>315</v>
      </c>
      <c r="B96" s="91"/>
    </row>
    <row r="97" spans="1:3" ht="16.5" thickBot="1" x14ac:dyDescent="0.3">
      <c r="A97" s="66" t="s">
        <v>316</v>
      </c>
      <c r="B97" s="88"/>
      <c r="C97" s="32">
        <v>1</v>
      </c>
    </row>
    <row r="98" spans="1:3" ht="16.5" thickBot="1" x14ac:dyDescent="0.3">
      <c r="A98" s="66" t="s">
        <v>317</v>
      </c>
      <c r="B98" s="88"/>
      <c r="C98" s="32">
        <v>2</v>
      </c>
    </row>
    <row r="99" spans="1:3" s="150" customFormat="1" ht="16.5" thickBot="1" x14ac:dyDescent="0.3">
      <c r="A99" s="89" t="s">
        <v>314</v>
      </c>
      <c r="B99" s="90"/>
      <c r="C99" s="150">
        <v>30</v>
      </c>
    </row>
    <row r="100" spans="1:3" ht="16.5" thickBot="1" x14ac:dyDescent="0.3">
      <c r="A100" s="66" t="s">
        <v>315</v>
      </c>
      <c r="B100" s="91">
        <f>B99/$B$27</f>
        <v>0</v>
      </c>
    </row>
    <row r="101" spans="1:3" ht="16.5" thickBot="1" x14ac:dyDescent="0.3">
      <c r="A101" s="66" t="s">
        <v>316</v>
      </c>
      <c r="B101" s="88"/>
      <c r="C101" s="32">
        <v>1</v>
      </c>
    </row>
    <row r="102" spans="1:3" ht="16.5" thickBot="1" x14ac:dyDescent="0.3">
      <c r="A102" s="66" t="s">
        <v>317</v>
      </c>
      <c r="B102" s="88"/>
      <c r="C102" s="32">
        <v>2</v>
      </c>
    </row>
    <row r="103" spans="1:3" s="150" customFormat="1" ht="16.5" thickBot="1" x14ac:dyDescent="0.3">
      <c r="A103" s="89" t="s">
        <v>314</v>
      </c>
      <c r="B103" s="90"/>
      <c r="C103" s="150">
        <v>30</v>
      </c>
    </row>
    <row r="104" spans="1:3" ht="16.5" thickBot="1" x14ac:dyDescent="0.3">
      <c r="A104" s="66" t="s">
        <v>315</v>
      </c>
      <c r="B104" s="91">
        <f>B103/$B$27</f>
        <v>0</v>
      </c>
    </row>
    <row r="105" spans="1:3" ht="16.5" thickBot="1" x14ac:dyDescent="0.3">
      <c r="A105" s="66" t="s">
        <v>316</v>
      </c>
      <c r="B105" s="88"/>
      <c r="C105" s="32">
        <v>1</v>
      </c>
    </row>
    <row r="106" spans="1:3" ht="16.5" thickBot="1" x14ac:dyDescent="0.3">
      <c r="A106" s="66" t="s">
        <v>317</v>
      </c>
      <c r="B106" s="88"/>
      <c r="C106" s="32">
        <v>2</v>
      </c>
    </row>
    <row r="107" spans="1:3" s="150" customFormat="1" ht="16.5" thickBot="1" x14ac:dyDescent="0.3">
      <c r="A107" s="89" t="s">
        <v>314</v>
      </c>
      <c r="B107" s="90"/>
      <c r="C107" s="150">
        <v>30</v>
      </c>
    </row>
    <row r="108" spans="1:3" ht="16.5" thickBot="1" x14ac:dyDescent="0.3">
      <c r="A108" s="66" t="s">
        <v>315</v>
      </c>
      <c r="B108" s="91">
        <f>B107/$B$27</f>
        <v>0</v>
      </c>
    </row>
    <row r="109" spans="1:3" ht="16.5" thickBot="1" x14ac:dyDescent="0.3">
      <c r="A109" s="66" t="s">
        <v>316</v>
      </c>
      <c r="B109" s="88"/>
      <c r="C109" s="32">
        <v>1</v>
      </c>
    </row>
    <row r="110" spans="1:3" ht="16.5" thickBot="1" x14ac:dyDescent="0.3">
      <c r="A110" s="66" t="s">
        <v>317</v>
      </c>
      <c r="B110" s="88"/>
      <c r="C110" s="32">
        <v>2</v>
      </c>
    </row>
    <row r="111" spans="1:3" ht="29.25" thickBot="1" x14ac:dyDescent="0.3">
      <c r="A111" s="65" t="s">
        <v>320</v>
      </c>
      <c r="B111" s="91">
        <f>B30/B27</f>
        <v>0</v>
      </c>
    </row>
    <row r="112" spans="1:3" ht="16.5" thickBot="1" x14ac:dyDescent="0.3">
      <c r="A112" s="67" t="s">
        <v>312</v>
      </c>
      <c r="B112" s="73"/>
    </row>
    <row r="113" spans="1:2" ht="16.5" thickBot="1" x14ac:dyDescent="0.3">
      <c r="A113" s="67" t="s">
        <v>321</v>
      </c>
      <c r="B113" s="91">
        <f>B33/B27</f>
        <v>0</v>
      </c>
    </row>
    <row r="114" spans="1:2" ht="16.5" thickBot="1" x14ac:dyDescent="0.3">
      <c r="A114" s="67" t="s">
        <v>322</v>
      </c>
      <c r="B114" s="91"/>
    </row>
    <row r="115" spans="1:2" ht="16.5" thickBot="1" x14ac:dyDescent="0.3">
      <c r="A115" s="67" t="s">
        <v>323</v>
      </c>
      <c r="B115" s="91">
        <f>B70/B27</f>
        <v>0</v>
      </c>
    </row>
    <row r="116" spans="1:2" ht="16.5" thickBot="1" x14ac:dyDescent="0.3">
      <c r="A116" s="63" t="s">
        <v>324</v>
      </c>
      <c r="B116" s="92">
        <f>B117/$B$27</f>
        <v>0</v>
      </c>
    </row>
    <row r="117" spans="1:2" ht="16.5" thickBot="1" x14ac:dyDescent="0.3">
      <c r="A117" s="63" t="s">
        <v>325</v>
      </c>
      <c r="B117" s="175">
        <f xml:space="preserve"> SUMIF(C33:C110, 1,B33:B110)</f>
        <v>0</v>
      </c>
    </row>
    <row r="118" spans="1:2" ht="16.5" thickBot="1" x14ac:dyDescent="0.3">
      <c r="A118" s="63" t="s">
        <v>326</v>
      </c>
      <c r="B118" s="92">
        <f>B119/$B$27</f>
        <v>0</v>
      </c>
    </row>
    <row r="119" spans="1:2" ht="16.5" thickBot="1" x14ac:dyDescent="0.3">
      <c r="A119" s="64" t="s">
        <v>327</v>
      </c>
      <c r="B119" s="175">
        <f xml:space="preserve"> SUMIF(C33:C110, 2,B33:B110)</f>
        <v>0</v>
      </c>
    </row>
    <row r="120" spans="1:2" ht="15.75" customHeight="1" x14ac:dyDescent="0.25">
      <c r="A120" s="65" t="s">
        <v>328</v>
      </c>
      <c r="B120" s="67" t="s">
        <v>329</v>
      </c>
    </row>
    <row r="121" spans="1:2" x14ac:dyDescent="0.25">
      <c r="A121" s="69" t="s">
        <v>330</v>
      </c>
      <c r="B121" s="69" t="str">
        <f>A9</f>
        <v xml:space="preserve">Акционерное общество "Западная энергетическая компания" </v>
      </c>
    </row>
    <row r="122" spans="1:2" x14ac:dyDescent="0.25">
      <c r="A122" s="69" t="s">
        <v>331</v>
      </c>
      <c r="B122" s="69"/>
    </row>
    <row r="123" spans="1:2" x14ac:dyDescent="0.25">
      <c r="A123" s="69" t="s">
        <v>332</v>
      </c>
      <c r="B123" s="69"/>
    </row>
    <row r="124" spans="1:2" x14ac:dyDescent="0.25">
      <c r="A124" s="69" t="s">
        <v>333</v>
      </c>
      <c r="B124" s="69"/>
    </row>
    <row r="125" spans="1:2" ht="16.5" thickBot="1" x14ac:dyDescent="0.3">
      <c r="A125" s="70" t="s">
        <v>334</v>
      </c>
      <c r="B125" s="70"/>
    </row>
    <row r="126" spans="1:2" ht="30.75" thickBot="1" x14ac:dyDescent="0.3">
      <c r="A126" s="67" t="s">
        <v>335</v>
      </c>
      <c r="B126" s="68"/>
    </row>
    <row r="127" spans="1:2" ht="29.25" thickBot="1" x14ac:dyDescent="0.3">
      <c r="A127" s="63" t="s">
        <v>336</v>
      </c>
      <c r="B127" s="176"/>
    </row>
    <row r="128" spans="1:2" ht="16.5" thickBot="1" x14ac:dyDescent="0.3">
      <c r="A128" s="67" t="s">
        <v>312</v>
      </c>
      <c r="B128" s="177"/>
    </row>
    <row r="129" spans="1:2" ht="16.5" thickBot="1" x14ac:dyDescent="0.3">
      <c r="A129" s="67" t="s">
        <v>337</v>
      </c>
      <c r="B129" s="176"/>
    </row>
    <row r="130" spans="1:2" ht="16.5" thickBot="1" x14ac:dyDescent="0.3">
      <c r="A130" s="67" t="s">
        <v>338</v>
      </c>
      <c r="B130" s="177"/>
    </row>
    <row r="131" spans="1:2" ht="16.5" thickBot="1" x14ac:dyDescent="0.3">
      <c r="A131" s="76" t="s">
        <v>339</v>
      </c>
      <c r="B131" s="105"/>
    </row>
    <row r="132" spans="1:2" ht="16.5" thickBot="1" x14ac:dyDescent="0.3">
      <c r="A132" s="63" t="s">
        <v>340</v>
      </c>
      <c r="B132" s="74"/>
    </row>
    <row r="133" spans="1:2" ht="16.5" thickBot="1" x14ac:dyDescent="0.3">
      <c r="A133" s="69" t="s">
        <v>341</v>
      </c>
      <c r="B133" s="174" t="str">
        <f>'6.1. Паспорт сетевой график'!H43</f>
        <v>нд</v>
      </c>
    </row>
    <row r="134" spans="1:2" ht="16.5" thickBot="1" x14ac:dyDescent="0.3">
      <c r="A134" s="69" t="s">
        <v>342</v>
      </c>
      <c r="B134" s="77" t="s">
        <v>544</v>
      </c>
    </row>
    <row r="135" spans="1:2" ht="16.5" thickBot="1" x14ac:dyDescent="0.3">
      <c r="A135" s="69" t="s">
        <v>343</v>
      </c>
      <c r="B135" s="77" t="s">
        <v>544</v>
      </c>
    </row>
    <row r="136" spans="1:2" ht="29.25" thickBot="1" x14ac:dyDescent="0.3">
      <c r="A136" s="78" t="s">
        <v>344</v>
      </c>
      <c r="B136" s="75" t="s">
        <v>545</v>
      </c>
    </row>
    <row r="137" spans="1:2" ht="28.5" customHeight="1" x14ac:dyDescent="0.25">
      <c r="A137" s="65" t="s">
        <v>345</v>
      </c>
      <c r="B137" s="390" t="s">
        <v>544</v>
      </c>
    </row>
    <row r="138" spans="1:2" x14ac:dyDescent="0.25">
      <c r="A138" s="69" t="s">
        <v>346</v>
      </c>
      <c r="B138" s="391"/>
    </row>
    <row r="139" spans="1:2" x14ac:dyDescent="0.25">
      <c r="A139" s="69" t="s">
        <v>347</v>
      </c>
      <c r="B139" s="391"/>
    </row>
    <row r="140" spans="1:2" x14ac:dyDescent="0.25">
      <c r="A140" s="69" t="s">
        <v>348</v>
      </c>
      <c r="B140" s="391"/>
    </row>
    <row r="141" spans="1:2" x14ac:dyDescent="0.25">
      <c r="A141" s="69" t="s">
        <v>349</v>
      </c>
      <c r="B141" s="391"/>
    </row>
    <row r="142" spans="1:2" ht="16.5" thickBot="1" x14ac:dyDescent="0.3">
      <c r="A142" s="79" t="s">
        <v>350</v>
      </c>
      <c r="B142" s="392"/>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10_карты_ТП-12.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G1" zoomScale="70" zoomScaleSheetLayoutView="70" workbookViewId="0">
      <selection activeCell="F19" sqref="F19:F20"/>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6" t="str">
        <f>'1. паспорт местоположение'!A5:C5</f>
        <v>Год раскрытия информации: 2023 год</v>
      </c>
      <c r="B4" s="286"/>
      <c r="C4" s="286"/>
      <c r="D4" s="286"/>
      <c r="E4" s="286"/>
      <c r="F4" s="286"/>
      <c r="G4" s="286"/>
      <c r="H4" s="286"/>
      <c r="I4" s="286"/>
      <c r="J4" s="286"/>
      <c r="K4" s="286"/>
      <c r="L4" s="286"/>
      <c r="M4" s="286"/>
      <c r="N4" s="286"/>
      <c r="O4" s="286"/>
      <c r="P4" s="286"/>
      <c r="Q4" s="286"/>
      <c r="R4" s="286"/>
      <c r="S4" s="286"/>
    </row>
    <row r="5" spans="1:28" s="14" customFormat="1" ht="15.75" x14ac:dyDescent="0.2">
      <c r="A5" s="106"/>
    </row>
    <row r="6" spans="1:28" s="14" customFormat="1" ht="18.75" x14ac:dyDescent="0.2">
      <c r="A6" s="294" t="s">
        <v>7</v>
      </c>
      <c r="B6" s="294"/>
      <c r="C6" s="294"/>
      <c r="D6" s="294"/>
      <c r="E6" s="294"/>
      <c r="F6" s="294"/>
      <c r="G6" s="294"/>
      <c r="H6" s="294"/>
      <c r="I6" s="294"/>
      <c r="J6" s="294"/>
      <c r="K6" s="294"/>
      <c r="L6" s="294"/>
      <c r="M6" s="294"/>
      <c r="N6" s="294"/>
      <c r="O6" s="294"/>
      <c r="P6" s="294"/>
      <c r="Q6" s="294"/>
      <c r="R6" s="294"/>
      <c r="S6" s="294"/>
      <c r="T6" s="108"/>
      <c r="U6" s="108"/>
      <c r="V6" s="108"/>
      <c r="W6" s="108"/>
      <c r="X6" s="108"/>
      <c r="Y6" s="108"/>
      <c r="Z6" s="108"/>
      <c r="AA6" s="108"/>
      <c r="AB6" s="108"/>
    </row>
    <row r="7" spans="1:28" s="14" customFormat="1" ht="18.75" x14ac:dyDescent="0.2">
      <c r="A7" s="294"/>
      <c r="B7" s="294"/>
      <c r="C7" s="294"/>
      <c r="D7" s="294"/>
      <c r="E7" s="294"/>
      <c r="F7" s="294"/>
      <c r="G7" s="294"/>
      <c r="H7" s="294"/>
      <c r="I7" s="294"/>
      <c r="J7" s="294"/>
      <c r="K7" s="294"/>
      <c r="L7" s="294"/>
      <c r="M7" s="294"/>
      <c r="N7" s="294"/>
      <c r="O7" s="294"/>
      <c r="P7" s="294"/>
      <c r="Q7" s="294"/>
      <c r="R7" s="294"/>
      <c r="S7" s="294"/>
      <c r="T7" s="108"/>
      <c r="U7" s="108"/>
      <c r="V7" s="108"/>
      <c r="W7" s="108"/>
      <c r="X7" s="108"/>
      <c r="Y7" s="108"/>
      <c r="Z7" s="108"/>
      <c r="AA7" s="108"/>
      <c r="AB7" s="108"/>
    </row>
    <row r="8" spans="1:28" s="14" customFormat="1" ht="18.75" x14ac:dyDescent="0.2">
      <c r="A8" s="292" t="str">
        <f>'1. паспорт местоположение'!A9:C9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108"/>
      <c r="U8" s="108"/>
      <c r="V8" s="108"/>
      <c r="W8" s="108"/>
      <c r="X8" s="108"/>
      <c r="Y8" s="108"/>
      <c r="Z8" s="108"/>
      <c r="AA8" s="108"/>
      <c r="AB8" s="108"/>
    </row>
    <row r="9" spans="1:28" s="14" customFormat="1" ht="18.75" x14ac:dyDescent="0.2">
      <c r="A9" s="298" t="s">
        <v>6</v>
      </c>
      <c r="B9" s="298"/>
      <c r="C9" s="298"/>
      <c r="D9" s="298"/>
      <c r="E9" s="298"/>
      <c r="F9" s="298"/>
      <c r="G9" s="298"/>
      <c r="H9" s="298"/>
      <c r="I9" s="298"/>
      <c r="J9" s="298"/>
      <c r="K9" s="298"/>
      <c r="L9" s="298"/>
      <c r="M9" s="298"/>
      <c r="N9" s="298"/>
      <c r="O9" s="298"/>
      <c r="P9" s="298"/>
      <c r="Q9" s="298"/>
      <c r="R9" s="298"/>
      <c r="S9" s="298"/>
      <c r="T9" s="108"/>
      <c r="U9" s="108"/>
      <c r="V9" s="108"/>
      <c r="W9" s="108"/>
      <c r="X9" s="108"/>
      <c r="Y9" s="108"/>
      <c r="Z9" s="108"/>
      <c r="AA9" s="108"/>
      <c r="AB9" s="108"/>
    </row>
    <row r="10" spans="1:28" s="14" customFormat="1" ht="18.75" x14ac:dyDescent="0.2">
      <c r="A10" s="294"/>
      <c r="B10" s="294"/>
      <c r="C10" s="294"/>
      <c r="D10" s="294"/>
      <c r="E10" s="294"/>
      <c r="F10" s="294"/>
      <c r="G10" s="294"/>
      <c r="H10" s="294"/>
      <c r="I10" s="294"/>
      <c r="J10" s="294"/>
      <c r="K10" s="294"/>
      <c r="L10" s="294"/>
      <c r="M10" s="294"/>
      <c r="N10" s="294"/>
      <c r="O10" s="294"/>
      <c r="P10" s="294"/>
      <c r="Q10" s="294"/>
      <c r="R10" s="294"/>
      <c r="S10" s="294"/>
      <c r="T10" s="108"/>
      <c r="U10" s="108"/>
      <c r="V10" s="108"/>
      <c r="W10" s="108"/>
      <c r="X10" s="108"/>
      <c r="Y10" s="108"/>
      <c r="Z10" s="108"/>
      <c r="AA10" s="108"/>
      <c r="AB10" s="108"/>
    </row>
    <row r="11" spans="1:28" s="14" customFormat="1" ht="18.75" x14ac:dyDescent="0.2">
      <c r="A11" s="292" t="str">
        <f>'1. паспорт местоположение'!A12:C12</f>
        <v>J 19-10</v>
      </c>
      <c r="B11" s="292"/>
      <c r="C11" s="292"/>
      <c r="D11" s="292"/>
      <c r="E11" s="292"/>
      <c r="F11" s="292"/>
      <c r="G11" s="292"/>
      <c r="H11" s="292"/>
      <c r="I11" s="292"/>
      <c r="J11" s="292"/>
      <c r="K11" s="292"/>
      <c r="L11" s="292"/>
      <c r="M11" s="292"/>
      <c r="N11" s="292"/>
      <c r="O11" s="292"/>
      <c r="P11" s="292"/>
      <c r="Q11" s="292"/>
      <c r="R11" s="292"/>
      <c r="S11" s="292"/>
      <c r="T11" s="108"/>
      <c r="U11" s="108"/>
      <c r="V11" s="108"/>
      <c r="W11" s="108"/>
      <c r="X11" s="108"/>
      <c r="Y11" s="108"/>
      <c r="Z11" s="108"/>
      <c r="AA11" s="108"/>
      <c r="AB11" s="108"/>
    </row>
    <row r="12" spans="1:28" s="14" customFormat="1" ht="18.75" x14ac:dyDescent="0.2">
      <c r="A12" s="298" t="s">
        <v>5</v>
      </c>
      <c r="B12" s="298"/>
      <c r="C12" s="298"/>
      <c r="D12" s="298"/>
      <c r="E12" s="298"/>
      <c r="F12" s="298"/>
      <c r="G12" s="298"/>
      <c r="H12" s="298"/>
      <c r="I12" s="298"/>
      <c r="J12" s="298"/>
      <c r="K12" s="298"/>
      <c r="L12" s="298"/>
      <c r="M12" s="298"/>
      <c r="N12" s="298"/>
      <c r="O12" s="298"/>
      <c r="P12" s="298"/>
      <c r="Q12" s="298"/>
      <c r="R12" s="298"/>
      <c r="S12" s="298"/>
      <c r="T12" s="108"/>
      <c r="U12" s="108"/>
      <c r="V12" s="108"/>
      <c r="W12" s="108"/>
      <c r="X12" s="108"/>
      <c r="Y12" s="108"/>
      <c r="Z12" s="108"/>
      <c r="AA12" s="108"/>
      <c r="AB12" s="108"/>
    </row>
    <row r="13" spans="1:28" s="14"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109"/>
      <c r="U13" s="109"/>
      <c r="V13" s="109"/>
      <c r="W13" s="109"/>
      <c r="X13" s="109"/>
      <c r="Y13" s="109"/>
      <c r="Z13" s="109"/>
      <c r="AA13" s="109"/>
      <c r="AB13" s="109"/>
    </row>
    <row r="14" spans="1:28" s="107" customFormat="1" ht="15.75" x14ac:dyDescent="0.2">
      <c r="A14" s="292" t="str">
        <f>'1. паспорт местоположение'!A15:C15</f>
        <v>Реконструкция ТП-12 15/0,4кВ п.Южный, Багратионовского р-на</v>
      </c>
      <c r="B14" s="292"/>
      <c r="C14" s="292"/>
      <c r="D14" s="292"/>
      <c r="E14" s="292"/>
      <c r="F14" s="292"/>
      <c r="G14" s="292"/>
      <c r="H14" s="292"/>
      <c r="I14" s="292"/>
      <c r="J14" s="292"/>
      <c r="K14" s="292"/>
      <c r="L14" s="292"/>
      <c r="M14" s="292"/>
      <c r="N14" s="292"/>
      <c r="O14" s="292"/>
      <c r="P14" s="292"/>
      <c r="Q14" s="292"/>
      <c r="R14" s="292"/>
      <c r="S14" s="292"/>
      <c r="T14" s="110"/>
      <c r="U14" s="110"/>
      <c r="V14" s="110"/>
      <c r="W14" s="110"/>
      <c r="X14" s="110"/>
      <c r="Y14" s="110"/>
      <c r="Z14" s="110"/>
      <c r="AA14" s="110"/>
      <c r="AB14" s="110"/>
    </row>
    <row r="15" spans="1:28" s="107" customFormat="1" ht="15" customHeight="1" x14ac:dyDescent="0.2">
      <c r="A15" s="298" t="s">
        <v>4</v>
      </c>
      <c r="B15" s="298"/>
      <c r="C15" s="298"/>
      <c r="D15" s="298"/>
      <c r="E15" s="298"/>
      <c r="F15" s="298"/>
      <c r="G15" s="298"/>
      <c r="H15" s="298"/>
      <c r="I15" s="298"/>
      <c r="J15" s="298"/>
      <c r="K15" s="298"/>
      <c r="L15" s="298"/>
      <c r="M15" s="298"/>
      <c r="N15" s="298"/>
      <c r="O15" s="298"/>
      <c r="P15" s="298"/>
      <c r="Q15" s="298"/>
      <c r="R15" s="298"/>
      <c r="S15" s="298"/>
      <c r="T15" s="111"/>
      <c r="U15" s="111"/>
      <c r="V15" s="111"/>
      <c r="W15" s="111"/>
      <c r="X15" s="111"/>
      <c r="Y15" s="111"/>
      <c r="Z15" s="111"/>
      <c r="AA15" s="111"/>
      <c r="AB15" s="111"/>
    </row>
    <row r="16" spans="1:28" s="107"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109"/>
      <c r="U16" s="109"/>
      <c r="V16" s="109"/>
      <c r="W16" s="109"/>
      <c r="X16" s="109"/>
      <c r="Y16" s="109"/>
    </row>
    <row r="17" spans="1:28" s="107" customFormat="1" ht="45.75" customHeight="1" x14ac:dyDescent="0.2">
      <c r="A17" s="300" t="s">
        <v>382</v>
      </c>
      <c r="B17" s="300"/>
      <c r="C17" s="300"/>
      <c r="D17" s="300"/>
      <c r="E17" s="300"/>
      <c r="F17" s="300"/>
      <c r="G17" s="300"/>
      <c r="H17" s="300"/>
      <c r="I17" s="300"/>
      <c r="J17" s="300"/>
      <c r="K17" s="300"/>
      <c r="L17" s="300"/>
      <c r="M17" s="300"/>
      <c r="N17" s="300"/>
      <c r="O17" s="300"/>
      <c r="P17" s="300"/>
      <c r="Q17" s="300"/>
      <c r="R17" s="300"/>
      <c r="S17" s="300"/>
      <c r="T17" s="112"/>
      <c r="U17" s="112"/>
      <c r="V17" s="112"/>
      <c r="W17" s="112"/>
      <c r="X17" s="112"/>
      <c r="Y17" s="112"/>
      <c r="Z17" s="112"/>
      <c r="AA17" s="112"/>
      <c r="AB17" s="112"/>
    </row>
    <row r="18" spans="1:28" s="107"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109"/>
      <c r="U18" s="109"/>
      <c r="V18" s="109"/>
      <c r="W18" s="109"/>
      <c r="X18" s="109"/>
      <c r="Y18" s="109"/>
    </row>
    <row r="19" spans="1:28" s="107" customFormat="1" ht="54" customHeight="1" x14ac:dyDescent="0.2">
      <c r="A19" s="293" t="s">
        <v>3</v>
      </c>
      <c r="B19" s="293" t="s">
        <v>94</v>
      </c>
      <c r="C19" s="295" t="s">
        <v>303</v>
      </c>
      <c r="D19" s="293" t="s">
        <v>302</v>
      </c>
      <c r="E19" s="293" t="s">
        <v>93</v>
      </c>
      <c r="F19" s="293" t="s">
        <v>92</v>
      </c>
      <c r="G19" s="293" t="s">
        <v>298</v>
      </c>
      <c r="H19" s="293" t="s">
        <v>91</v>
      </c>
      <c r="I19" s="293" t="s">
        <v>90</v>
      </c>
      <c r="J19" s="293" t="s">
        <v>89</v>
      </c>
      <c r="K19" s="293" t="s">
        <v>88</v>
      </c>
      <c r="L19" s="293" t="s">
        <v>87</v>
      </c>
      <c r="M19" s="293" t="s">
        <v>86</v>
      </c>
      <c r="N19" s="293" t="s">
        <v>85</v>
      </c>
      <c r="O19" s="293" t="s">
        <v>84</v>
      </c>
      <c r="P19" s="293" t="s">
        <v>83</v>
      </c>
      <c r="Q19" s="293" t="s">
        <v>301</v>
      </c>
      <c r="R19" s="293"/>
      <c r="S19" s="297" t="s">
        <v>376</v>
      </c>
      <c r="T19" s="109"/>
      <c r="U19" s="109"/>
      <c r="V19" s="109"/>
      <c r="W19" s="109"/>
      <c r="X19" s="109"/>
      <c r="Y19" s="109"/>
    </row>
    <row r="20" spans="1:28" s="107" customFormat="1" ht="180.75" customHeight="1" x14ac:dyDescent="0.2">
      <c r="A20" s="293"/>
      <c r="B20" s="293"/>
      <c r="C20" s="296"/>
      <c r="D20" s="293"/>
      <c r="E20" s="293"/>
      <c r="F20" s="293"/>
      <c r="G20" s="293"/>
      <c r="H20" s="293"/>
      <c r="I20" s="293"/>
      <c r="J20" s="293"/>
      <c r="K20" s="293"/>
      <c r="L20" s="293"/>
      <c r="M20" s="293"/>
      <c r="N20" s="293"/>
      <c r="O20" s="293"/>
      <c r="P20" s="293"/>
      <c r="Q20" s="113" t="s">
        <v>299</v>
      </c>
      <c r="R20" s="114" t="s">
        <v>300</v>
      </c>
      <c r="S20" s="297"/>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5" t="s">
        <v>538</v>
      </c>
      <c r="B22" s="115" t="s">
        <v>538</v>
      </c>
      <c r="C22" s="115" t="s">
        <v>538</v>
      </c>
      <c r="D22" s="115" t="s">
        <v>538</v>
      </c>
      <c r="E22" s="115" t="s">
        <v>538</v>
      </c>
      <c r="F22" s="115" t="s">
        <v>538</v>
      </c>
      <c r="G22" s="115" t="s">
        <v>538</v>
      </c>
      <c r="H22" s="115" t="s">
        <v>538</v>
      </c>
      <c r="I22" s="115" t="s">
        <v>538</v>
      </c>
      <c r="J22" s="115" t="s">
        <v>538</v>
      </c>
      <c r="K22" s="115" t="s">
        <v>538</v>
      </c>
      <c r="L22" s="115" t="s">
        <v>538</v>
      </c>
      <c r="M22" s="115" t="s">
        <v>538</v>
      </c>
      <c r="N22" s="115" t="s">
        <v>538</v>
      </c>
      <c r="O22" s="115" t="s">
        <v>538</v>
      </c>
      <c r="P22" s="115" t="s">
        <v>538</v>
      </c>
      <c r="Q22" s="115" t="s">
        <v>538</v>
      </c>
      <c r="R22" s="115" t="s">
        <v>538</v>
      </c>
      <c r="S22" s="115" t="s">
        <v>538</v>
      </c>
      <c r="T22" s="109"/>
      <c r="U22" s="109"/>
      <c r="V22" s="109"/>
      <c r="W22" s="109"/>
      <c r="X22" s="109"/>
      <c r="Y22" s="109"/>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21" zoomScale="80" zoomScaleNormal="60" zoomScaleSheetLayoutView="80" workbookViewId="0">
      <selection activeCell="I37" sqref="I3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6" t="str">
        <f>'1. паспорт местоположение'!A5:C5</f>
        <v>Год раскрытия информации: 2023 год</v>
      </c>
      <c r="B6" s="286"/>
      <c r="C6" s="286"/>
      <c r="D6" s="286"/>
      <c r="E6" s="286"/>
      <c r="F6" s="286"/>
      <c r="G6" s="286"/>
      <c r="H6" s="286"/>
      <c r="I6" s="286"/>
      <c r="J6" s="286"/>
      <c r="K6" s="286"/>
      <c r="L6" s="286"/>
      <c r="M6" s="286"/>
      <c r="N6" s="286"/>
      <c r="O6" s="286"/>
      <c r="P6" s="286"/>
      <c r="Q6" s="286"/>
      <c r="R6" s="286"/>
      <c r="S6" s="286"/>
      <c r="T6" s="286"/>
    </row>
    <row r="7" spans="1:20" s="14" customFormat="1" x14ac:dyDescent="0.2">
      <c r="A7" s="106"/>
    </row>
    <row r="8" spans="1:20" s="14" customFormat="1" ht="18.75" x14ac:dyDescent="0.2">
      <c r="A8" s="294" t="s">
        <v>7</v>
      </c>
      <c r="B8" s="294"/>
      <c r="C8" s="294"/>
      <c r="D8" s="294"/>
      <c r="E8" s="294"/>
      <c r="F8" s="294"/>
      <c r="G8" s="294"/>
      <c r="H8" s="294"/>
      <c r="I8" s="294"/>
      <c r="J8" s="294"/>
      <c r="K8" s="294"/>
      <c r="L8" s="294"/>
      <c r="M8" s="294"/>
      <c r="N8" s="294"/>
      <c r="O8" s="294"/>
      <c r="P8" s="294"/>
      <c r="Q8" s="294"/>
      <c r="R8" s="294"/>
      <c r="S8" s="294"/>
      <c r="T8" s="294"/>
    </row>
    <row r="9" spans="1:20" s="14" customFormat="1" ht="18.75" x14ac:dyDescent="0.2">
      <c r="A9" s="294"/>
      <c r="B9" s="294"/>
      <c r="C9" s="294"/>
      <c r="D9" s="294"/>
      <c r="E9" s="294"/>
      <c r="F9" s="294"/>
      <c r="G9" s="294"/>
      <c r="H9" s="294"/>
      <c r="I9" s="294"/>
      <c r="J9" s="294"/>
      <c r="K9" s="294"/>
      <c r="L9" s="294"/>
      <c r="M9" s="294"/>
      <c r="N9" s="294"/>
      <c r="O9" s="294"/>
      <c r="P9" s="294"/>
      <c r="Q9" s="294"/>
      <c r="R9" s="294"/>
      <c r="S9" s="294"/>
      <c r="T9" s="294"/>
    </row>
    <row r="10" spans="1:20" s="14" customFormat="1" ht="18.75" customHeight="1" x14ac:dyDescent="0.2">
      <c r="A10" s="292" t="str">
        <f>'1. паспорт местоположение'!A9:C9</f>
        <v xml:space="preserve">Акционерное общество "Западная энергетическая компания" </v>
      </c>
      <c r="B10" s="292"/>
      <c r="C10" s="292"/>
      <c r="D10" s="292"/>
      <c r="E10" s="292"/>
      <c r="F10" s="292"/>
      <c r="G10" s="292"/>
      <c r="H10" s="292"/>
      <c r="I10" s="292"/>
      <c r="J10" s="292"/>
      <c r="K10" s="292"/>
      <c r="L10" s="292"/>
      <c r="M10" s="292"/>
      <c r="N10" s="292"/>
      <c r="O10" s="292"/>
      <c r="P10" s="292"/>
      <c r="Q10" s="292"/>
      <c r="R10" s="292"/>
      <c r="S10" s="292"/>
      <c r="T10" s="292"/>
    </row>
    <row r="11" spans="1:20" s="14" customFormat="1" ht="18.75" customHeight="1" x14ac:dyDescent="0.2">
      <c r="A11" s="298" t="s">
        <v>6</v>
      </c>
      <c r="B11" s="298"/>
      <c r="C11" s="298"/>
      <c r="D11" s="298"/>
      <c r="E11" s="298"/>
      <c r="F11" s="298"/>
      <c r="G11" s="298"/>
      <c r="H11" s="298"/>
      <c r="I11" s="298"/>
      <c r="J11" s="298"/>
      <c r="K11" s="298"/>
      <c r="L11" s="298"/>
      <c r="M11" s="298"/>
      <c r="N11" s="298"/>
      <c r="O11" s="298"/>
      <c r="P11" s="298"/>
      <c r="Q11" s="298"/>
      <c r="R11" s="298"/>
      <c r="S11" s="298"/>
      <c r="T11" s="298"/>
    </row>
    <row r="12" spans="1:20" s="14" customFormat="1" ht="18.75" x14ac:dyDescent="0.2">
      <c r="A12" s="294"/>
      <c r="B12" s="294"/>
      <c r="C12" s="294"/>
      <c r="D12" s="294"/>
      <c r="E12" s="294"/>
      <c r="F12" s="294"/>
      <c r="G12" s="294"/>
      <c r="H12" s="294"/>
      <c r="I12" s="294"/>
      <c r="J12" s="294"/>
      <c r="K12" s="294"/>
      <c r="L12" s="294"/>
      <c r="M12" s="294"/>
      <c r="N12" s="294"/>
      <c r="O12" s="294"/>
      <c r="P12" s="294"/>
      <c r="Q12" s="294"/>
      <c r="R12" s="294"/>
      <c r="S12" s="294"/>
      <c r="T12" s="294"/>
    </row>
    <row r="13" spans="1:20" s="14" customFormat="1" ht="18.75" customHeight="1" x14ac:dyDescent="0.2">
      <c r="A13" s="292" t="str">
        <f>'1. паспорт местоположение'!A12:C12</f>
        <v>J 19-10</v>
      </c>
      <c r="B13" s="292"/>
      <c r="C13" s="292"/>
      <c r="D13" s="292"/>
      <c r="E13" s="292"/>
      <c r="F13" s="292"/>
      <c r="G13" s="292"/>
      <c r="H13" s="292"/>
      <c r="I13" s="292"/>
      <c r="J13" s="292"/>
      <c r="K13" s="292"/>
      <c r="L13" s="292"/>
      <c r="M13" s="292"/>
      <c r="N13" s="292"/>
      <c r="O13" s="292"/>
      <c r="P13" s="292"/>
      <c r="Q13" s="292"/>
      <c r="R13" s="292"/>
      <c r="S13" s="292"/>
      <c r="T13" s="292"/>
    </row>
    <row r="14" spans="1:20" s="14" customFormat="1" ht="18.75" customHeight="1" x14ac:dyDescent="0.2">
      <c r="A14" s="298" t="s">
        <v>5</v>
      </c>
      <c r="B14" s="298"/>
      <c r="C14" s="298"/>
      <c r="D14" s="298"/>
      <c r="E14" s="298"/>
      <c r="F14" s="298"/>
      <c r="G14" s="298"/>
      <c r="H14" s="298"/>
      <c r="I14" s="298"/>
      <c r="J14" s="298"/>
      <c r="K14" s="298"/>
      <c r="L14" s="298"/>
      <c r="M14" s="298"/>
      <c r="N14" s="298"/>
      <c r="O14" s="298"/>
      <c r="P14" s="298"/>
      <c r="Q14" s="298"/>
      <c r="R14" s="298"/>
      <c r="S14" s="298"/>
      <c r="T14" s="298"/>
    </row>
    <row r="15" spans="1:20" s="14"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107" customFormat="1" x14ac:dyDescent="0.2">
      <c r="A16" s="292" t="str">
        <f>'1. паспорт местоположение'!A15:C15</f>
        <v>Реконструкция ТП-12 15/0,4кВ п.Южный, Багратионовского р-на</v>
      </c>
      <c r="B16" s="292"/>
      <c r="C16" s="292"/>
      <c r="D16" s="292"/>
      <c r="E16" s="292"/>
      <c r="F16" s="292"/>
      <c r="G16" s="292"/>
      <c r="H16" s="292"/>
      <c r="I16" s="292"/>
      <c r="J16" s="292"/>
      <c r="K16" s="292"/>
      <c r="L16" s="292"/>
      <c r="M16" s="292"/>
      <c r="N16" s="292"/>
      <c r="O16" s="292"/>
      <c r="P16" s="292"/>
      <c r="Q16" s="292"/>
      <c r="R16" s="292"/>
      <c r="S16" s="292"/>
      <c r="T16" s="292"/>
    </row>
    <row r="17" spans="1:20" s="107" customFormat="1" ht="15" customHeight="1" x14ac:dyDescent="0.2">
      <c r="A17" s="298" t="s">
        <v>4</v>
      </c>
      <c r="B17" s="298"/>
      <c r="C17" s="298"/>
      <c r="D17" s="298"/>
      <c r="E17" s="298"/>
      <c r="F17" s="298"/>
      <c r="G17" s="298"/>
      <c r="H17" s="298"/>
      <c r="I17" s="298"/>
      <c r="J17" s="298"/>
      <c r="K17" s="298"/>
      <c r="L17" s="298"/>
      <c r="M17" s="298"/>
      <c r="N17" s="298"/>
      <c r="O17" s="298"/>
      <c r="P17" s="298"/>
      <c r="Q17" s="298"/>
      <c r="R17" s="298"/>
      <c r="S17" s="298"/>
      <c r="T17" s="298"/>
    </row>
    <row r="18" spans="1:20" s="107"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20" s="107" customFormat="1" ht="15" customHeight="1" x14ac:dyDescent="0.2">
      <c r="A19" s="316" t="s">
        <v>387</v>
      </c>
      <c r="B19" s="316"/>
      <c r="C19" s="316"/>
      <c r="D19" s="316"/>
      <c r="E19" s="316"/>
      <c r="F19" s="316"/>
      <c r="G19" s="316"/>
      <c r="H19" s="316"/>
      <c r="I19" s="316"/>
      <c r="J19" s="316"/>
      <c r="K19" s="316"/>
      <c r="L19" s="316"/>
      <c r="M19" s="316"/>
      <c r="N19" s="316"/>
      <c r="O19" s="316"/>
      <c r="P19" s="316"/>
      <c r="Q19" s="316"/>
      <c r="R19" s="316"/>
      <c r="S19" s="316"/>
      <c r="T19" s="316"/>
    </row>
    <row r="20" spans="1:20" s="27" customFormat="1" ht="21" customHeight="1" x14ac:dyDescent="0.25">
      <c r="A20" s="317"/>
      <c r="B20" s="317"/>
      <c r="C20" s="317"/>
      <c r="D20" s="317"/>
      <c r="E20" s="317"/>
      <c r="F20" s="317"/>
      <c r="G20" s="317"/>
      <c r="H20" s="317"/>
      <c r="I20" s="317"/>
      <c r="J20" s="317"/>
      <c r="K20" s="317"/>
      <c r="L20" s="317"/>
      <c r="M20" s="317"/>
      <c r="N20" s="317"/>
      <c r="O20" s="317"/>
      <c r="P20" s="317"/>
      <c r="Q20" s="317"/>
      <c r="R20" s="317"/>
      <c r="S20" s="317"/>
      <c r="T20" s="317"/>
    </row>
    <row r="21" spans="1:20" ht="46.5" customHeight="1" x14ac:dyDescent="0.25">
      <c r="A21" s="310" t="s">
        <v>3</v>
      </c>
      <c r="B21" s="303" t="s">
        <v>200</v>
      </c>
      <c r="C21" s="304"/>
      <c r="D21" s="307" t="s">
        <v>116</v>
      </c>
      <c r="E21" s="303" t="s">
        <v>415</v>
      </c>
      <c r="F21" s="304"/>
      <c r="G21" s="303" t="s">
        <v>239</v>
      </c>
      <c r="H21" s="304"/>
      <c r="I21" s="303" t="s">
        <v>115</v>
      </c>
      <c r="J21" s="304"/>
      <c r="K21" s="307" t="s">
        <v>114</v>
      </c>
      <c r="L21" s="303" t="s">
        <v>113</v>
      </c>
      <c r="M21" s="304"/>
      <c r="N21" s="303" t="s">
        <v>442</v>
      </c>
      <c r="O21" s="304"/>
      <c r="P21" s="307" t="s">
        <v>112</v>
      </c>
      <c r="Q21" s="313" t="s">
        <v>111</v>
      </c>
      <c r="R21" s="314"/>
      <c r="S21" s="313" t="s">
        <v>110</v>
      </c>
      <c r="T21" s="315"/>
    </row>
    <row r="22" spans="1:20" ht="204.75" customHeight="1" x14ac:dyDescent="0.25">
      <c r="A22" s="311"/>
      <c r="B22" s="305"/>
      <c r="C22" s="306"/>
      <c r="D22" s="309"/>
      <c r="E22" s="305"/>
      <c r="F22" s="306"/>
      <c r="G22" s="305"/>
      <c r="H22" s="306"/>
      <c r="I22" s="305"/>
      <c r="J22" s="306"/>
      <c r="K22" s="308"/>
      <c r="L22" s="305"/>
      <c r="M22" s="306"/>
      <c r="N22" s="305"/>
      <c r="O22" s="306"/>
      <c r="P22" s="308"/>
      <c r="Q22" s="54" t="s">
        <v>109</v>
      </c>
      <c r="R22" s="54" t="s">
        <v>386</v>
      </c>
      <c r="S22" s="54" t="s">
        <v>108</v>
      </c>
      <c r="T22" s="54" t="s">
        <v>107</v>
      </c>
    </row>
    <row r="23" spans="1:20" ht="51.75" customHeight="1" x14ac:dyDescent="0.25">
      <c r="A23" s="312"/>
      <c r="B23" s="54" t="s">
        <v>105</v>
      </c>
      <c r="C23" s="54" t="s">
        <v>106</v>
      </c>
      <c r="D23" s="308"/>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t="s">
        <v>579</v>
      </c>
      <c r="C25" s="93" t="s">
        <v>579</v>
      </c>
      <c r="D25" s="93" t="s">
        <v>580</v>
      </c>
      <c r="E25" s="93" t="s">
        <v>581</v>
      </c>
      <c r="F25" s="93" t="s">
        <v>582</v>
      </c>
      <c r="G25" s="93" t="s">
        <v>577</v>
      </c>
      <c r="H25" s="93" t="s">
        <v>577</v>
      </c>
      <c r="I25" s="94" t="s">
        <v>583</v>
      </c>
      <c r="J25" s="94" t="s">
        <v>599</v>
      </c>
      <c r="K25" s="94" t="s">
        <v>570</v>
      </c>
      <c r="L25" s="94" t="s">
        <v>571</v>
      </c>
      <c r="M25" s="94" t="s">
        <v>571</v>
      </c>
      <c r="N25" s="93"/>
      <c r="O25" s="93"/>
      <c r="P25" s="94" t="s">
        <v>297</v>
      </c>
      <c r="Q25" s="94"/>
      <c r="R25" s="94"/>
      <c r="S25" s="94" t="s">
        <v>297</v>
      </c>
      <c r="T25" s="93" t="s">
        <v>297</v>
      </c>
    </row>
    <row r="26" spans="1:20" ht="47.25" customHeight="1" x14ac:dyDescent="0.25">
      <c r="A26" s="93">
        <v>2</v>
      </c>
      <c r="B26" s="93"/>
      <c r="C26" s="93"/>
      <c r="D26" s="186" t="s">
        <v>584</v>
      </c>
      <c r="E26" s="186" t="s">
        <v>585</v>
      </c>
      <c r="F26" s="186" t="s">
        <v>586</v>
      </c>
      <c r="G26" s="186" t="s">
        <v>587</v>
      </c>
      <c r="H26" s="186" t="s">
        <v>587</v>
      </c>
      <c r="I26" s="94" t="s">
        <v>583</v>
      </c>
      <c r="J26" s="186">
        <v>2024</v>
      </c>
      <c r="K26" s="94" t="s">
        <v>588</v>
      </c>
      <c r="L26" s="94" t="s">
        <v>572</v>
      </c>
      <c r="M26" s="94" t="s">
        <v>572</v>
      </c>
      <c r="N26" s="187"/>
      <c r="O26" s="187"/>
      <c r="P26" s="94"/>
      <c r="Q26" s="93"/>
      <c r="R26" s="93"/>
      <c r="S26" s="187" t="s">
        <v>297</v>
      </c>
      <c r="T26" s="187" t="s">
        <v>297</v>
      </c>
    </row>
    <row r="27" spans="1:20" ht="24" customHeight="1" x14ac:dyDescent="0.25">
      <c r="A27" s="93">
        <v>3</v>
      </c>
      <c r="B27" s="93"/>
      <c r="C27" s="93"/>
      <c r="D27" s="186" t="s">
        <v>573</v>
      </c>
      <c r="E27" s="186" t="s">
        <v>589</v>
      </c>
      <c r="F27" s="186" t="s">
        <v>600</v>
      </c>
      <c r="G27" s="186" t="s">
        <v>574</v>
      </c>
      <c r="H27" s="186" t="s">
        <v>574</v>
      </c>
      <c r="I27" s="94" t="s">
        <v>590</v>
      </c>
      <c r="J27" s="186">
        <v>2024</v>
      </c>
      <c r="K27" s="94" t="s">
        <v>588</v>
      </c>
      <c r="L27" s="94" t="s">
        <v>368</v>
      </c>
      <c r="M27" s="94" t="s">
        <v>368</v>
      </c>
      <c r="N27" s="187">
        <v>0.4</v>
      </c>
      <c r="O27" s="187">
        <v>0.4</v>
      </c>
      <c r="P27" s="94"/>
      <c r="Q27" s="94"/>
      <c r="R27" s="94"/>
      <c r="S27" s="187" t="s">
        <v>297</v>
      </c>
      <c r="T27" s="187" t="s">
        <v>297</v>
      </c>
    </row>
    <row r="28" spans="1:20" ht="24" customHeight="1" x14ac:dyDescent="0.25">
      <c r="A28" s="93">
        <v>4</v>
      </c>
      <c r="B28" s="93"/>
      <c r="C28" s="93"/>
      <c r="D28" s="186" t="s">
        <v>573</v>
      </c>
      <c r="E28" s="186" t="s">
        <v>589</v>
      </c>
      <c r="F28" s="186" t="s">
        <v>600</v>
      </c>
      <c r="G28" s="186" t="s">
        <v>575</v>
      </c>
      <c r="H28" s="186" t="s">
        <v>575</v>
      </c>
      <c r="I28" s="94" t="s">
        <v>590</v>
      </c>
      <c r="J28" s="186">
        <v>2024</v>
      </c>
      <c r="K28" s="94" t="s">
        <v>588</v>
      </c>
      <c r="L28" s="94" t="s">
        <v>368</v>
      </c>
      <c r="M28" s="94" t="s">
        <v>368</v>
      </c>
      <c r="N28" s="187">
        <v>0.4</v>
      </c>
      <c r="O28" s="187">
        <v>0.4</v>
      </c>
      <c r="P28" s="94"/>
      <c r="Q28" s="94"/>
      <c r="R28" s="94"/>
      <c r="S28" s="187" t="s">
        <v>297</v>
      </c>
      <c r="T28" s="187" t="s">
        <v>297</v>
      </c>
    </row>
    <row r="29" spans="1:20" s="30" customFormat="1" ht="12.75" x14ac:dyDescent="0.2"/>
    <row r="30" spans="1:20" s="30" customFormat="1" x14ac:dyDescent="0.25">
      <c r="B30" s="26" t="s">
        <v>104</v>
      </c>
      <c r="C30" s="26"/>
      <c r="D30" s="26"/>
      <c r="E30" s="26"/>
      <c r="F30" s="26"/>
      <c r="G30" s="26"/>
      <c r="H30" s="26"/>
      <c r="I30" s="26"/>
      <c r="J30" s="26"/>
      <c r="K30" s="26"/>
      <c r="L30" s="26"/>
      <c r="M30" s="26"/>
      <c r="N30" s="26"/>
      <c r="O30" s="26"/>
      <c r="P30" s="26"/>
      <c r="Q30" s="26"/>
      <c r="R30" s="26"/>
    </row>
    <row r="31" spans="1:20" x14ac:dyDescent="0.25">
      <c r="B31" s="302" t="s">
        <v>421</v>
      </c>
      <c r="C31" s="302"/>
      <c r="D31" s="302"/>
      <c r="E31" s="302"/>
      <c r="F31" s="302"/>
      <c r="G31" s="302"/>
      <c r="H31" s="302"/>
      <c r="I31" s="302"/>
      <c r="J31" s="302"/>
      <c r="K31" s="302"/>
      <c r="L31" s="302"/>
      <c r="M31" s="302"/>
      <c r="N31" s="302"/>
      <c r="O31" s="302"/>
      <c r="P31" s="302"/>
      <c r="Q31" s="302"/>
      <c r="R31" s="302"/>
    </row>
    <row r="33" spans="2:113" x14ac:dyDescent="0.25">
      <c r="B33" s="28" t="s">
        <v>385</v>
      </c>
      <c r="C33" s="28"/>
      <c r="D33" s="28"/>
      <c r="E33" s="28"/>
      <c r="H33" s="28"/>
      <c r="I33" s="28"/>
      <c r="J33" s="28"/>
      <c r="K33" s="28"/>
      <c r="L33" s="28"/>
      <c r="M33" s="28"/>
      <c r="N33" s="28"/>
      <c r="O33" s="28"/>
      <c r="P33" s="28"/>
      <c r="Q33" s="28"/>
      <c r="R33" s="28"/>
      <c r="S33" s="29"/>
      <c r="T33" s="29"/>
      <c r="U33" s="29"/>
      <c r="V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28" t="s">
        <v>103</v>
      </c>
      <c r="C34" s="28"/>
      <c r="D34" s="28"/>
      <c r="E34" s="28"/>
      <c r="H34" s="28"/>
      <c r="I34" s="28"/>
      <c r="J34" s="28"/>
      <c r="K34" s="28"/>
      <c r="L34" s="28"/>
      <c r="M34" s="28"/>
      <c r="N34" s="28"/>
      <c r="O34" s="28"/>
      <c r="P34" s="28"/>
      <c r="Q34" s="28"/>
      <c r="R34" s="28"/>
    </row>
    <row r="35" spans="2:113" x14ac:dyDescent="0.25">
      <c r="B35" s="28" t="s">
        <v>102</v>
      </c>
      <c r="C35" s="28"/>
      <c r="D35" s="28"/>
      <c r="E35" s="28"/>
      <c r="H35" s="28"/>
      <c r="I35" s="28"/>
      <c r="J35" s="28"/>
      <c r="K35" s="28"/>
      <c r="L35" s="28"/>
      <c r="M35" s="28"/>
      <c r="N35" s="28"/>
      <c r="O35" s="28"/>
      <c r="P35" s="28"/>
      <c r="Q35" s="28"/>
      <c r="R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101</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100</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99</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98</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97</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96</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95</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286" t="str">
        <f>'1. паспорт местоположение'!A5:C5</f>
        <v>Год раскрытия информации: 2023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294" t="s">
        <v>7</v>
      </c>
      <c r="F7" s="294"/>
      <c r="G7" s="294"/>
      <c r="H7" s="294"/>
      <c r="I7" s="294"/>
      <c r="J7" s="294"/>
      <c r="K7" s="294"/>
      <c r="L7" s="294"/>
      <c r="M7" s="294"/>
      <c r="N7" s="294"/>
      <c r="O7" s="294"/>
      <c r="P7" s="294"/>
      <c r="Q7" s="294"/>
      <c r="R7" s="294"/>
      <c r="S7" s="294"/>
      <c r="T7" s="294"/>
      <c r="U7" s="294"/>
      <c r="V7" s="294"/>
      <c r="W7" s="294"/>
      <c r="X7" s="294"/>
      <c r="Y7" s="294"/>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292" t="str">
        <f>'1. паспорт местоположение'!A9</f>
        <v xml:space="preserve">Акционерное общество "Западная энергетическая компания" </v>
      </c>
      <c r="F9" s="292"/>
      <c r="G9" s="292"/>
      <c r="H9" s="292"/>
      <c r="I9" s="292"/>
      <c r="J9" s="292"/>
      <c r="K9" s="292"/>
      <c r="L9" s="292"/>
      <c r="M9" s="292"/>
      <c r="N9" s="292"/>
      <c r="O9" s="292"/>
      <c r="P9" s="292"/>
      <c r="Q9" s="292"/>
      <c r="R9" s="292"/>
      <c r="S9" s="292"/>
      <c r="T9" s="292"/>
      <c r="U9" s="292"/>
      <c r="V9" s="292"/>
      <c r="W9" s="292"/>
      <c r="X9" s="292"/>
      <c r="Y9" s="292"/>
    </row>
    <row r="10" spans="1:27" s="14" customFormat="1" ht="18.75" customHeight="1" x14ac:dyDescent="0.2">
      <c r="E10" s="298" t="s">
        <v>6</v>
      </c>
      <c r="F10" s="298"/>
      <c r="G10" s="298"/>
      <c r="H10" s="298"/>
      <c r="I10" s="298"/>
      <c r="J10" s="298"/>
      <c r="K10" s="298"/>
      <c r="L10" s="298"/>
      <c r="M10" s="298"/>
      <c r="N10" s="298"/>
      <c r="O10" s="298"/>
      <c r="P10" s="298"/>
      <c r="Q10" s="298"/>
      <c r="R10" s="298"/>
      <c r="S10" s="298"/>
      <c r="T10" s="298"/>
      <c r="U10" s="298"/>
      <c r="V10" s="298"/>
      <c r="W10" s="298"/>
      <c r="X10" s="298"/>
      <c r="Y10" s="298"/>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292" t="str">
        <f>'1. паспорт местоположение'!A12</f>
        <v>J 19-10</v>
      </c>
      <c r="F12" s="292"/>
      <c r="G12" s="292"/>
      <c r="H12" s="292"/>
      <c r="I12" s="292"/>
      <c r="J12" s="292"/>
      <c r="K12" s="292"/>
      <c r="L12" s="292"/>
      <c r="M12" s="292"/>
      <c r="N12" s="292"/>
      <c r="O12" s="292"/>
      <c r="P12" s="292"/>
      <c r="Q12" s="292"/>
      <c r="R12" s="292"/>
      <c r="S12" s="292"/>
      <c r="T12" s="292"/>
      <c r="U12" s="292"/>
      <c r="V12" s="292"/>
      <c r="W12" s="292"/>
      <c r="X12" s="292"/>
      <c r="Y12" s="292"/>
    </row>
    <row r="13" spans="1:27" s="14" customFormat="1" ht="18.75" customHeight="1" x14ac:dyDescent="0.2">
      <c r="E13" s="298" t="s">
        <v>5</v>
      </c>
      <c r="F13" s="298"/>
      <c r="G13" s="298"/>
      <c r="H13" s="298"/>
      <c r="I13" s="298"/>
      <c r="J13" s="298"/>
      <c r="K13" s="298"/>
      <c r="L13" s="298"/>
      <c r="M13" s="298"/>
      <c r="N13" s="298"/>
      <c r="O13" s="298"/>
      <c r="P13" s="298"/>
      <c r="Q13" s="298"/>
      <c r="R13" s="298"/>
      <c r="S13" s="298"/>
      <c r="T13" s="298"/>
      <c r="U13" s="298"/>
      <c r="V13" s="298"/>
      <c r="W13" s="298"/>
      <c r="X13" s="298"/>
      <c r="Y13" s="298"/>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292" t="str">
        <f>'1. паспорт местоположение'!A15</f>
        <v>Реконструкция ТП-12 15/0,4кВ п.Южный, Багратионовского р-на</v>
      </c>
      <c r="F15" s="292"/>
      <c r="G15" s="292"/>
      <c r="H15" s="292"/>
      <c r="I15" s="292"/>
      <c r="J15" s="292"/>
      <c r="K15" s="292"/>
      <c r="L15" s="292"/>
      <c r="M15" s="292"/>
      <c r="N15" s="292"/>
      <c r="O15" s="292"/>
      <c r="P15" s="292"/>
      <c r="Q15" s="292"/>
      <c r="R15" s="292"/>
      <c r="S15" s="292"/>
      <c r="T15" s="292"/>
      <c r="U15" s="292"/>
      <c r="V15" s="292"/>
      <c r="W15" s="292"/>
      <c r="X15" s="292"/>
      <c r="Y15" s="292"/>
    </row>
    <row r="16" spans="1:27" s="107" customFormat="1" ht="15" customHeight="1" x14ac:dyDescent="0.2">
      <c r="E16" s="298" t="s">
        <v>4</v>
      </c>
      <c r="F16" s="298"/>
      <c r="G16" s="298"/>
      <c r="H16" s="298"/>
      <c r="I16" s="298"/>
      <c r="J16" s="298"/>
      <c r="K16" s="298"/>
      <c r="L16" s="298"/>
      <c r="M16" s="298"/>
      <c r="N16" s="298"/>
      <c r="O16" s="298"/>
      <c r="P16" s="298"/>
      <c r="Q16" s="298"/>
      <c r="R16" s="298"/>
      <c r="S16" s="298"/>
      <c r="T16" s="298"/>
      <c r="U16" s="298"/>
      <c r="V16" s="298"/>
      <c r="W16" s="298"/>
      <c r="X16" s="298"/>
      <c r="Y16" s="298"/>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16"/>
      <c r="F18" s="316"/>
      <c r="G18" s="316"/>
      <c r="H18" s="316"/>
      <c r="I18" s="316"/>
      <c r="J18" s="316"/>
      <c r="K18" s="316"/>
      <c r="L18" s="316"/>
      <c r="M18" s="316"/>
      <c r="N18" s="316"/>
      <c r="O18" s="316"/>
      <c r="P18" s="316"/>
      <c r="Q18" s="316"/>
      <c r="R18" s="316"/>
      <c r="S18" s="316"/>
      <c r="T18" s="316"/>
      <c r="U18" s="316"/>
      <c r="V18" s="316"/>
      <c r="W18" s="316"/>
      <c r="X18" s="316"/>
      <c r="Y18" s="316"/>
    </row>
    <row r="19" spans="1:27" ht="25.5" customHeight="1" x14ac:dyDescent="0.25">
      <c r="A19" s="316" t="s">
        <v>389</v>
      </c>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row>
    <row r="20" spans="1:27" s="27" customFormat="1" ht="21" customHeight="1" x14ac:dyDescent="0.25"/>
    <row r="21" spans="1:27" ht="15.75" customHeight="1" x14ac:dyDescent="0.25">
      <c r="A21" s="307" t="s">
        <v>3</v>
      </c>
      <c r="B21" s="303" t="s">
        <v>396</v>
      </c>
      <c r="C21" s="304"/>
      <c r="D21" s="303" t="s">
        <v>398</v>
      </c>
      <c r="E21" s="304"/>
      <c r="F21" s="313" t="s">
        <v>88</v>
      </c>
      <c r="G21" s="315"/>
      <c r="H21" s="315"/>
      <c r="I21" s="314"/>
      <c r="J21" s="307" t="s">
        <v>399</v>
      </c>
      <c r="K21" s="303" t="s">
        <v>400</v>
      </c>
      <c r="L21" s="304"/>
      <c r="M21" s="303" t="s">
        <v>401</v>
      </c>
      <c r="N21" s="304"/>
      <c r="O21" s="303" t="s">
        <v>388</v>
      </c>
      <c r="P21" s="304"/>
      <c r="Q21" s="303" t="s">
        <v>121</v>
      </c>
      <c r="R21" s="304"/>
      <c r="S21" s="307" t="s">
        <v>120</v>
      </c>
      <c r="T21" s="307" t="s">
        <v>402</v>
      </c>
      <c r="U21" s="307" t="s">
        <v>397</v>
      </c>
      <c r="V21" s="303" t="s">
        <v>119</v>
      </c>
      <c r="W21" s="304"/>
      <c r="X21" s="313" t="s">
        <v>111</v>
      </c>
      <c r="Y21" s="315"/>
      <c r="Z21" s="313" t="s">
        <v>110</v>
      </c>
      <c r="AA21" s="315"/>
    </row>
    <row r="22" spans="1:27" ht="216" customHeight="1" x14ac:dyDescent="0.25">
      <c r="A22" s="309"/>
      <c r="B22" s="305"/>
      <c r="C22" s="306"/>
      <c r="D22" s="305"/>
      <c r="E22" s="306"/>
      <c r="F22" s="313" t="s">
        <v>118</v>
      </c>
      <c r="G22" s="314"/>
      <c r="H22" s="313" t="s">
        <v>117</v>
      </c>
      <c r="I22" s="314"/>
      <c r="J22" s="308"/>
      <c r="K22" s="305"/>
      <c r="L22" s="306"/>
      <c r="M22" s="305"/>
      <c r="N22" s="306"/>
      <c r="O22" s="305"/>
      <c r="P22" s="306"/>
      <c r="Q22" s="305"/>
      <c r="R22" s="306"/>
      <c r="S22" s="308"/>
      <c r="T22" s="308"/>
      <c r="U22" s="308"/>
      <c r="V22" s="305"/>
      <c r="W22" s="306"/>
      <c r="X22" s="54" t="s">
        <v>109</v>
      </c>
      <c r="Y22" s="54" t="s">
        <v>386</v>
      </c>
      <c r="Z22" s="54" t="s">
        <v>108</v>
      </c>
      <c r="AA22" s="54" t="s">
        <v>107</v>
      </c>
    </row>
    <row r="23" spans="1:27" ht="60" customHeight="1" x14ac:dyDescent="0.25">
      <c r="A23" s="308"/>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9" sqref="C29"/>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286" t="str">
        <f>'1. паспорт местоположение'!A5:C5</f>
        <v>Год раскрытия информации: 2023 год</v>
      </c>
      <c r="B5" s="286"/>
      <c r="C5" s="286"/>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294" t="s">
        <v>7</v>
      </c>
      <c r="B7" s="294"/>
      <c r="C7" s="294"/>
      <c r="D7" s="108"/>
      <c r="E7" s="108"/>
      <c r="F7" s="108"/>
      <c r="G7" s="108"/>
      <c r="H7" s="108"/>
      <c r="I7" s="108"/>
      <c r="J7" s="108"/>
      <c r="K7" s="108"/>
      <c r="L7" s="108"/>
      <c r="M7" s="108"/>
      <c r="N7" s="108"/>
      <c r="O7" s="108"/>
      <c r="P7" s="108"/>
      <c r="Q7" s="108"/>
      <c r="R7" s="108"/>
      <c r="S7" s="108"/>
      <c r="T7" s="108"/>
      <c r="U7" s="108"/>
    </row>
    <row r="8" spans="1:29" s="14" customFormat="1" ht="18.75" x14ac:dyDescent="0.2">
      <c r="A8" s="294"/>
      <c r="B8" s="294"/>
      <c r="C8" s="294"/>
      <c r="D8" s="119"/>
      <c r="E8" s="119"/>
      <c r="F8" s="119"/>
      <c r="G8" s="119"/>
      <c r="H8" s="108"/>
      <c r="I8" s="108"/>
      <c r="J8" s="108"/>
      <c r="K8" s="108"/>
      <c r="L8" s="108"/>
      <c r="M8" s="108"/>
      <c r="N8" s="108"/>
      <c r="O8" s="108"/>
      <c r="P8" s="108"/>
      <c r="Q8" s="108"/>
      <c r="R8" s="108"/>
      <c r="S8" s="108"/>
      <c r="T8" s="108"/>
      <c r="U8" s="108"/>
    </row>
    <row r="9" spans="1:29" s="14" customFormat="1" ht="18.75" x14ac:dyDescent="0.2">
      <c r="A9" s="292" t="str">
        <f>'1. паспорт местоположение'!A9:C9</f>
        <v xml:space="preserve">Акционерное общество "Западная энергетическая компания" </v>
      </c>
      <c r="B9" s="292"/>
      <c r="C9" s="292"/>
      <c r="D9" s="110"/>
      <c r="E9" s="110"/>
      <c r="F9" s="110"/>
      <c r="G9" s="110"/>
      <c r="H9" s="108"/>
      <c r="I9" s="108"/>
      <c r="J9" s="108"/>
      <c r="K9" s="108"/>
      <c r="L9" s="108"/>
      <c r="M9" s="108"/>
      <c r="N9" s="108"/>
      <c r="O9" s="108"/>
      <c r="P9" s="108"/>
      <c r="Q9" s="108"/>
      <c r="R9" s="108"/>
      <c r="S9" s="108"/>
      <c r="T9" s="108"/>
      <c r="U9" s="108"/>
    </row>
    <row r="10" spans="1:29" s="14" customFormat="1" ht="18.75" x14ac:dyDescent="0.2">
      <c r="A10" s="298" t="s">
        <v>6</v>
      </c>
      <c r="B10" s="298"/>
      <c r="C10" s="298"/>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294"/>
      <c r="B11" s="294"/>
      <c r="C11" s="294"/>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292" t="str">
        <f>'1. паспорт местоположение'!A12:C12</f>
        <v>J 19-10</v>
      </c>
      <c r="B12" s="292"/>
      <c r="C12" s="292"/>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298" t="s">
        <v>5</v>
      </c>
      <c r="B13" s="298"/>
      <c r="C13" s="298"/>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299"/>
      <c r="B14" s="299"/>
      <c r="C14" s="299"/>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18" t="str">
        <f>'1. паспорт местоположение'!A15:C15</f>
        <v>Реконструкция ТП-12 15/0,4кВ п.Южный, Багратионовского р-на</v>
      </c>
      <c r="B15" s="318"/>
      <c r="C15" s="318"/>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298" t="s">
        <v>4</v>
      </c>
      <c r="B16" s="298"/>
      <c r="C16" s="298"/>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299"/>
      <c r="B17" s="299"/>
      <c r="C17" s="299"/>
      <c r="D17" s="109"/>
      <c r="E17" s="109"/>
      <c r="F17" s="109"/>
      <c r="G17" s="109"/>
      <c r="H17" s="109"/>
      <c r="I17" s="109"/>
      <c r="J17" s="109"/>
      <c r="K17" s="109"/>
      <c r="L17" s="109"/>
      <c r="M17" s="109"/>
      <c r="N17" s="109"/>
      <c r="O17" s="109"/>
      <c r="P17" s="109"/>
      <c r="Q17" s="109"/>
      <c r="R17" s="109"/>
    </row>
    <row r="18" spans="1:21" s="107" customFormat="1" ht="27.75" customHeight="1" x14ac:dyDescent="0.2">
      <c r="A18" s="300" t="s">
        <v>381</v>
      </c>
      <c r="B18" s="300"/>
      <c r="C18" s="300"/>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394</v>
      </c>
      <c r="C22" s="123" t="s">
        <v>594</v>
      </c>
      <c r="D22" s="111"/>
      <c r="E22" s="111"/>
      <c r="F22" s="109"/>
      <c r="G22" s="109"/>
      <c r="H22" s="109"/>
      <c r="I22" s="109"/>
      <c r="J22" s="109"/>
      <c r="K22" s="109"/>
      <c r="L22" s="109"/>
      <c r="M22" s="109"/>
      <c r="N22" s="109"/>
      <c r="O22" s="109"/>
      <c r="P22" s="109"/>
    </row>
    <row r="23" spans="1:21" ht="63" customHeight="1" x14ac:dyDescent="0.25">
      <c r="A23" s="121" t="s">
        <v>61</v>
      </c>
      <c r="B23" s="122" t="s">
        <v>58</v>
      </c>
      <c r="C23" s="123" t="s">
        <v>591</v>
      </c>
    </row>
    <row r="24" spans="1:21" ht="63" customHeight="1" x14ac:dyDescent="0.25">
      <c r="A24" s="121" t="s">
        <v>60</v>
      </c>
      <c r="B24" s="122" t="s">
        <v>413</v>
      </c>
      <c r="C24" s="123" t="s">
        <v>601</v>
      </c>
    </row>
    <row r="25" spans="1:21" ht="63" customHeight="1" x14ac:dyDescent="0.25">
      <c r="A25" s="121" t="s">
        <v>59</v>
      </c>
      <c r="B25" s="122" t="s">
        <v>414</v>
      </c>
      <c r="C25" s="192" t="s">
        <v>576</v>
      </c>
    </row>
    <row r="26" spans="1:21" ht="42.75" customHeight="1" x14ac:dyDescent="0.25">
      <c r="A26" s="121" t="s">
        <v>57</v>
      </c>
      <c r="B26" s="122" t="s">
        <v>208</v>
      </c>
      <c r="C26" s="120" t="s">
        <v>436</v>
      </c>
    </row>
    <row r="27" spans="1:21" ht="31.5" x14ac:dyDescent="0.25">
      <c r="A27" s="121" t="s">
        <v>56</v>
      </c>
      <c r="B27" s="122" t="s">
        <v>395</v>
      </c>
      <c r="C27" s="120" t="s">
        <v>592</v>
      </c>
    </row>
    <row r="28" spans="1:21" ht="42.75" customHeight="1" x14ac:dyDescent="0.25">
      <c r="A28" s="121" t="s">
        <v>54</v>
      </c>
      <c r="B28" s="122" t="s">
        <v>55</v>
      </c>
      <c r="C28" s="123">
        <v>2023</v>
      </c>
    </row>
    <row r="29" spans="1:21" ht="42.75" customHeight="1" x14ac:dyDescent="0.25">
      <c r="A29" s="121" t="s">
        <v>52</v>
      </c>
      <c r="B29" s="120" t="s">
        <v>53</v>
      </c>
      <c r="C29" s="123" t="s">
        <v>538</v>
      </c>
    </row>
    <row r="30" spans="1:21" ht="42.75" customHeight="1" x14ac:dyDescent="0.25">
      <c r="A30" s="121" t="s">
        <v>70</v>
      </c>
      <c r="B30" s="120" t="s">
        <v>51</v>
      </c>
      <c r="C30" s="120"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286" t="str">
        <f>'1. паспорт местоположение'!A5:C5</f>
        <v>Год раскрытия информации: 2023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108"/>
      <c r="AB6" s="108"/>
    </row>
    <row r="7" spans="1:28" ht="18.75" x14ac:dyDescent="0.2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108"/>
      <c r="AB7" s="108"/>
    </row>
    <row r="8" spans="1:28" ht="15.75" x14ac:dyDescent="0.25">
      <c r="A8" s="292" t="str">
        <f>'1. паспорт местоположение'!A9:C9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110"/>
      <c r="AB8" s="110"/>
    </row>
    <row r="9" spans="1:28" ht="15.75"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11"/>
      <c r="AB9" s="111"/>
    </row>
    <row r="10" spans="1:28" ht="18.75" x14ac:dyDescent="0.2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108"/>
      <c r="AB10" s="108"/>
    </row>
    <row r="11" spans="1:28" ht="15.75" x14ac:dyDescent="0.25">
      <c r="A11" s="292" t="str">
        <f>'1. паспорт местоположение'!A12:C12</f>
        <v>J 19-10</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110"/>
      <c r="AB11" s="110"/>
    </row>
    <row r="12" spans="1:28" ht="15.75"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11"/>
      <c r="AB12" s="111"/>
    </row>
    <row r="13" spans="1:2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25"/>
      <c r="AB13" s="125"/>
    </row>
    <row r="14" spans="1:28" ht="15.75" x14ac:dyDescent="0.25">
      <c r="A14" s="292" t="str">
        <f>'1. паспорт местоположение'!A15:C15</f>
        <v>Реконструкция ТП-12 15/0,4кВ п.Южный, Багратионовского р-на</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110"/>
      <c r="AB14" s="110"/>
    </row>
    <row r="15" spans="1:28" ht="15.75"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111"/>
      <c r="AB15" s="111"/>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26"/>
      <c r="AB16" s="126"/>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26"/>
      <c r="AB17" s="126"/>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26"/>
      <c r="AB18" s="126"/>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26"/>
      <c r="AB19" s="126"/>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26"/>
      <c r="AB20" s="126"/>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26"/>
      <c r="AB21" s="126"/>
    </row>
    <row r="22" spans="1:28" x14ac:dyDescent="0.25">
      <c r="A22" s="320" t="s">
        <v>412</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27"/>
      <c r="AB22" s="127"/>
    </row>
    <row r="23" spans="1:28" ht="32.25" customHeight="1" x14ac:dyDescent="0.25">
      <c r="A23" s="322" t="s">
        <v>295</v>
      </c>
      <c r="B23" s="323"/>
      <c r="C23" s="323"/>
      <c r="D23" s="323"/>
      <c r="E23" s="323"/>
      <c r="F23" s="323"/>
      <c r="G23" s="323"/>
      <c r="H23" s="323"/>
      <c r="I23" s="323"/>
      <c r="J23" s="323"/>
      <c r="K23" s="323"/>
      <c r="L23" s="324"/>
      <c r="M23" s="321" t="s">
        <v>296</v>
      </c>
      <c r="N23" s="321"/>
      <c r="O23" s="321"/>
      <c r="P23" s="321"/>
      <c r="Q23" s="321"/>
      <c r="R23" s="321"/>
      <c r="S23" s="321"/>
      <c r="T23" s="321"/>
      <c r="U23" s="321"/>
      <c r="V23" s="321"/>
      <c r="W23" s="321"/>
      <c r="X23" s="321"/>
      <c r="Y23" s="321"/>
      <c r="Z23" s="321"/>
    </row>
    <row r="24" spans="1:28" ht="151.5" customHeight="1" x14ac:dyDescent="0.25">
      <c r="A24" s="128" t="s">
        <v>210</v>
      </c>
      <c r="B24" s="129" t="s">
        <v>230</v>
      </c>
      <c r="C24" s="128" t="s">
        <v>293</v>
      </c>
      <c r="D24" s="128" t="s">
        <v>211</v>
      </c>
      <c r="E24" s="128" t="s">
        <v>294</v>
      </c>
      <c r="F24" s="128" t="s">
        <v>443</v>
      </c>
      <c r="G24" s="128" t="s">
        <v>444</v>
      </c>
      <c r="H24" s="128" t="s">
        <v>212</v>
      </c>
      <c r="I24" s="128" t="s">
        <v>445</v>
      </c>
      <c r="J24" s="128" t="s">
        <v>235</v>
      </c>
      <c r="K24" s="129" t="s">
        <v>229</v>
      </c>
      <c r="L24" s="129" t="s">
        <v>213</v>
      </c>
      <c r="M24" s="130" t="s">
        <v>242</v>
      </c>
      <c r="N24" s="129" t="s">
        <v>446</v>
      </c>
      <c r="O24" s="128" t="s">
        <v>447</v>
      </c>
      <c r="P24" s="128" t="s">
        <v>448</v>
      </c>
      <c r="Q24" s="128" t="s">
        <v>449</v>
      </c>
      <c r="R24" s="128" t="s">
        <v>212</v>
      </c>
      <c r="S24" s="128" t="s">
        <v>450</v>
      </c>
      <c r="T24" s="128" t="s">
        <v>451</v>
      </c>
      <c r="U24" s="128" t="s">
        <v>452</v>
      </c>
      <c r="V24" s="128" t="s">
        <v>449</v>
      </c>
      <c r="W24" s="131" t="s">
        <v>453</v>
      </c>
      <c r="X24" s="131" t="s">
        <v>454</v>
      </c>
      <c r="Y24" s="131" t="s">
        <v>455</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456</v>
      </c>
      <c r="D26" s="134" t="s">
        <v>457</v>
      </c>
      <c r="E26" s="134" t="s">
        <v>458</v>
      </c>
      <c r="F26" s="134" t="s">
        <v>459</v>
      </c>
      <c r="G26" s="134" t="s">
        <v>460</v>
      </c>
      <c r="H26" s="134" t="s">
        <v>212</v>
      </c>
      <c r="I26" s="134" t="s">
        <v>461</v>
      </c>
      <c r="J26" s="134" t="s">
        <v>462</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463</v>
      </c>
      <c r="G27" s="134" t="s">
        <v>464</v>
      </c>
      <c r="H27" s="135" t="s">
        <v>212</v>
      </c>
      <c r="I27" s="134" t="s">
        <v>465</v>
      </c>
      <c r="J27" s="134" t="s">
        <v>466</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467</v>
      </c>
      <c r="G28" s="134" t="s">
        <v>468</v>
      </c>
      <c r="H28" s="135" t="s">
        <v>212</v>
      </c>
      <c r="I28" s="134" t="s">
        <v>236</v>
      </c>
      <c r="J28" s="134" t="s">
        <v>469</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470</v>
      </c>
      <c r="G29" s="134" t="s">
        <v>471</v>
      </c>
      <c r="H29" s="135" t="s">
        <v>212</v>
      </c>
      <c r="I29" s="134" t="s">
        <v>237</v>
      </c>
      <c r="J29" s="134" t="s">
        <v>472</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473</v>
      </c>
      <c r="G30" s="134" t="s">
        <v>474</v>
      </c>
      <c r="H30" s="135" t="s">
        <v>212</v>
      </c>
      <c r="I30" s="134" t="s">
        <v>238</v>
      </c>
      <c r="J30" s="134" t="s">
        <v>475</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476</v>
      </c>
      <c r="D32" s="134" t="s">
        <v>477</v>
      </c>
      <c r="E32" s="134" t="s">
        <v>478</v>
      </c>
      <c r="F32" s="134" t="s">
        <v>479</v>
      </c>
      <c r="G32" s="134" t="s">
        <v>480</v>
      </c>
      <c r="H32" s="134" t="s">
        <v>212</v>
      </c>
      <c r="I32" s="134" t="s">
        <v>481</v>
      </c>
      <c r="J32" s="134" t="s">
        <v>482</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286" t="str">
        <f>'1. паспорт местоположение'!A5:C5</f>
        <v>Год раскрытия информации: 2023 год</v>
      </c>
      <c r="B5" s="286"/>
      <c r="C5" s="286"/>
      <c r="D5" s="286"/>
      <c r="E5" s="286"/>
      <c r="F5" s="286"/>
      <c r="G5" s="286"/>
      <c r="H5" s="286"/>
      <c r="I5" s="286"/>
      <c r="J5" s="286"/>
      <c r="K5" s="286"/>
      <c r="L5" s="286"/>
      <c r="M5" s="286"/>
      <c r="N5" s="286"/>
      <c r="O5" s="286"/>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294" t="s">
        <v>7</v>
      </c>
      <c r="B7" s="294"/>
      <c r="C7" s="294"/>
      <c r="D7" s="294"/>
      <c r="E7" s="294"/>
      <c r="F7" s="294"/>
      <c r="G7" s="294"/>
      <c r="H7" s="294"/>
      <c r="I7" s="294"/>
      <c r="J7" s="294"/>
      <c r="K7" s="294"/>
      <c r="L7" s="294"/>
      <c r="M7" s="294"/>
      <c r="N7" s="294"/>
      <c r="O7" s="294"/>
      <c r="P7" s="108"/>
      <c r="Q7" s="108"/>
      <c r="R7" s="108"/>
      <c r="S7" s="108"/>
      <c r="T7" s="108"/>
      <c r="U7" s="108"/>
      <c r="V7" s="108"/>
      <c r="W7" s="108"/>
      <c r="X7" s="108"/>
      <c r="Y7" s="108"/>
      <c r="Z7" s="108"/>
    </row>
    <row r="8" spans="1:28" s="14" customFormat="1" ht="18.75" x14ac:dyDescent="0.2">
      <c r="A8" s="294"/>
      <c r="B8" s="294"/>
      <c r="C8" s="294"/>
      <c r="D8" s="294"/>
      <c r="E8" s="294"/>
      <c r="F8" s="294"/>
      <c r="G8" s="294"/>
      <c r="H8" s="294"/>
      <c r="I8" s="294"/>
      <c r="J8" s="294"/>
      <c r="K8" s="294"/>
      <c r="L8" s="294"/>
      <c r="M8" s="294"/>
      <c r="N8" s="294"/>
      <c r="O8" s="294"/>
      <c r="P8" s="108"/>
      <c r="Q8" s="108"/>
      <c r="R8" s="108"/>
      <c r="S8" s="108"/>
      <c r="T8" s="108"/>
      <c r="U8" s="108"/>
      <c r="V8" s="108"/>
      <c r="W8" s="108"/>
      <c r="X8" s="108"/>
      <c r="Y8" s="108"/>
      <c r="Z8" s="108"/>
    </row>
    <row r="9" spans="1:28" s="14" customFormat="1" ht="18.75" x14ac:dyDescent="0.2">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c r="L9" s="292"/>
      <c r="M9" s="292"/>
      <c r="N9" s="292"/>
      <c r="O9" s="292"/>
      <c r="P9" s="108"/>
      <c r="Q9" s="108"/>
      <c r="R9" s="108"/>
      <c r="S9" s="108"/>
      <c r="T9" s="108"/>
      <c r="U9" s="108"/>
      <c r="V9" s="108"/>
      <c r="W9" s="108"/>
      <c r="X9" s="108"/>
      <c r="Y9" s="108"/>
      <c r="Z9" s="108"/>
    </row>
    <row r="10" spans="1:28" s="14" customFormat="1" ht="18.75" x14ac:dyDescent="0.2">
      <c r="A10" s="298" t="s">
        <v>6</v>
      </c>
      <c r="B10" s="298"/>
      <c r="C10" s="298"/>
      <c r="D10" s="298"/>
      <c r="E10" s="298"/>
      <c r="F10" s="298"/>
      <c r="G10" s="298"/>
      <c r="H10" s="298"/>
      <c r="I10" s="298"/>
      <c r="J10" s="298"/>
      <c r="K10" s="298"/>
      <c r="L10" s="298"/>
      <c r="M10" s="298"/>
      <c r="N10" s="298"/>
      <c r="O10" s="298"/>
      <c r="P10" s="108"/>
      <c r="Q10" s="108"/>
      <c r="R10" s="108"/>
      <c r="S10" s="108"/>
      <c r="T10" s="108"/>
      <c r="U10" s="108"/>
      <c r="V10" s="108"/>
      <c r="W10" s="108"/>
      <c r="X10" s="108"/>
      <c r="Y10" s="108"/>
      <c r="Z10" s="108"/>
    </row>
    <row r="11" spans="1:28" s="14" customFormat="1" ht="18.75" x14ac:dyDescent="0.2">
      <c r="A11" s="294"/>
      <c r="B11" s="294"/>
      <c r="C11" s="294"/>
      <c r="D11" s="294"/>
      <c r="E11" s="294"/>
      <c r="F11" s="294"/>
      <c r="G11" s="294"/>
      <c r="H11" s="294"/>
      <c r="I11" s="294"/>
      <c r="J11" s="294"/>
      <c r="K11" s="294"/>
      <c r="L11" s="294"/>
      <c r="M11" s="294"/>
      <c r="N11" s="294"/>
      <c r="O11" s="294"/>
      <c r="P11" s="108"/>
      <c r="Q11" s="108"/>
      <c r="R11" s="108"/>
      <c r="S11" s="108"/>
      <c r="T11" s="108"/>
      <c r="U11" s="108"/>
      <c r="V11" s="108"/>
      <c r="W11" s="108"/>
      <c r="X11" s="108"/>
      <c r="Y11" s="108"/>
      <c r="Z11" s="108"/>
    </row>
    <row r="12" spans="1:28" s="14" customFormat="1" ht="18.75" x14ac:dyDescent="0.2">
      <c r="A12" s="292" t="str">
        <f>'1. паспорт местоположение'!A12:C12</f>
        <v>J 19-10</v>
      </c>
      <c r="B12" s="292"/>
      <c r="C12" s="292"/>
      <c r="D12" s="292"/>
      <c r="E12" s="292"/>
      <c r="F12" s="292"/>
      <c r="G12" s="292"/>
      <c r="H12" s="292"/>
      <c r="I12" s="292"/>
      <c r="J12" s="292"/>
      <c r="K12" s="292"/>
      <c r="L12" s="292"/>
      <c r="M12" s="292"/>
      <c r="N12" s="292"/>
      <c r="O12" s="292"/>
      <c r="P12" s="108"/>
      <c r="Q12" s="108"/>
      <c r="R12" s="108"/>
      <c r="S12" s="108"/>
      <c r="T12" s="108"/>
      <c r="U12" s="108"/>
      <c r="V12" s="108"/>
      <c r="W12" s="108"/>
      <c r="X12" s="108"/>
      <c r="Y12" s="108"/>
      <c r="Z12" s="108"/>
    </row>
    <row r="13" spans="1:28" s="14" customFormat="1" ht="18.75" x14ac:dyDescent="0.2">
      <c r="A13" s="298" t="s">
        <v>5</v>
      </c>
      <c r="B13" s="298"/>
      <c r="C13" s="298"/>
      <c r="D13" s="298"/>
      <c r="E13" s="298"/>
      <c r="F13" s="298"/>
      <c r="G13" s="298"/>
      <c r="H13" s="298"/>
      <c r="I13" s="298"/>
      <c r="J13" s="298"/>
      <c r="K13" s="298"/>
      <c r="L13" s="298"/>
      <c r="M13" s="298"/>
      <c r="N13" s="298"/>
      <c r="O13" s="298"/>
      <c r="P13" s="108"/>
      <c r="Q13" s="108"/>
      <c r="R13" s="108"/>
      <c r="S13" s="108"/>
      <c r="T13" s="108"/>
      <c r="U13" s="108"/>
      <c r="V13" s="108"/>
      <c r="W13" s="108"/>
      <c r="X13" s="108"/>
      <c r="Y13" s="108"/>
      <c r="Z13" s="108"/>
    </row>
    <row r="14" spans="1:28" s="14" customFormat="1" ht="15.75" customHeight="1" x14ac:dyDescent="0.2">
      <c r="A14" s="299"/>
      <c r="B14" s="299"/>
      <c r="C14" s="299"/>
      <c r="D14" s="299"/>
      <c r="E14" s="299"/>
      <c r="F14" s="299"/>
      <c r="G14" s="299"/>
      <c r="H14" s="299"/>
      <c r="I14" s="299"/>
      <c r="J14" s="299"/>
      <c r="K14" s="299"/>
      <c r="L14" s="299"/>
      <c r="M14" s="299"/>
      <c r="N14" s="299"/>
      <c r="O14" s="299"/>
      <c r="P14" s="109"/>
      <c r="Q14" s="109"/>
      <c r="R14" s="109"/>
      <c r="S14" s="109"/>
      <c r="T14" s="109"/>
      <c r="U14" s="109"/>
      <c r="V14" s="109"/>
      <c r="W14" s="109"/>
      <c r="X14" s="109"/>
      <c r="Y14" s="109"/>
      <c r="Z14" s="109"/>
    </row>
    <row r="15" spans="1:28" s="107" customFormat="1" ht="15.75" x14ac:dyDescent="0.2">
      <c r="A15" s="292" t="str">
        <f>'1. паспорт местоположение'!A15:C15</f>
        <v>Реконструкция ТП-12 15/0,4кВ п.Южный, Багратионовского р-на</v>
      </c>
      <c r="B15" s="292"/>
      <c r="C15" s="292"/>
      <c r="D15" s="292"/>
      <c r="E15" s="292"/>
      <c r="F15" s="292"/>
      <c r="G15" s="292"/>
      <c r="H15" s="292"/>
      <c r="I15" s="292"/>
      <c r="J15" s="292"/>
      <c r="K15" s="292"/>
      <c r="L15" s="292"/>
      <c r="M15" s="292"/>
      <c r="N15" s="292"/>
      <c r="O15" s="292"/>
      <c r="P15" s="110"/>
      <c r="Q15" s="110"/>
      <c r="R15" s="110"/>
      <c r="S15" s="110"/>
      <c r="T15" s="110"/>
      <c r="U15" s="110"/>
      <c r="V15" s="110"/>
      <c r="W15" s="110"/>
      <c r="X15" s="110"/>
      <c r="Y15" s="110"/>
      <c r="Z15" s="110"/>
    </row>
    <row r="16" spans="1:28" s="107" customFormat="1" ht="15" customHeight="1" x14ac:dyDescent="0.2">
      <c r="A16" s="298" t="s">
        <v>4</v>
      </c>
      <c r="B16" s="298"/>
      <c r="C16" s="298"/>
      <c r="D16" s="298"/>
      <c r="E16" s="298"/>
      <c r="F16" s="298"/>
      <c r="G16" s="298"/>
      <c r="H16" s="298"/>
      <c r="I16" s="298"/>
      <c r="J16" s="298"/>
      <c r="K16" s="298"/>
      <c r="L16" s="298"/>
      <c r="M16" s="298"/>
      <c r="N16" s="298"/>
      <c r="O16" s="298"/>
      <c r="P16" s="111"/>
      <c r="Q16" s="111"/>
      <c r="R16" s="111"/>
      <c r="S16" s="111"/>
      <c r="T16" s="111"/>
      <c r="U16" s="111"/>
      <c r="V16" s="111"/>
      <c r="W16" s="111"/>
      <c r="X16" s="111"/>
      <c r="Y16" s="111"/>
      <c r="Z16" s="111"/>
    </row>
    <row r="17" spans="1:26" s="107" customFormat="1" ht="15" customHeight="1" x14ac:dyDescent="0.2">
      <c r="A17" s="299"/>
      <c r="B17" s="299"/>
      <c r="C17" s="299"/>
      <c r="D17" s="299"/>
      <c r="E17" s="299"/>
      <c r="F17" s="299"/>
      <c r="G17" s="299"/>
      <c r="H17" s="299"/>
      <c r="I17" s="299"/>
      <c r="J17" s="299"/>
      <c r="K17" s="299"/>
      <c r="L17" s="299"/>
      <c r="M17" s="299"/>
      <c r="N17" s="299"/>
      <c r="O17" s="299"/>
      <c r="P17" s="109"/>
      <c r="Q17" s="109"/>
      <c r="R17" s="109"/>
      <c r="S17" s="109"/>
      <c r="T17" s="109"/>
      <c r="U17" s="109"/>
      <c r="V17" s="109"/>
      <c r="W17" s="109"/>
    </row>
    <row r="18" spans="1:26" s="107" customFormat="1" ht="91.5" customHeight="1" x14ac:dyDescent="0.2">
      <c r="A18" s="329" t="s">
        <v>390</v>
      </c>
      <c r="B18" s="329"/>
      <c r="C18" s="329"/>
      <c r="D18" s="329"/>
      <c r="E18" s="329"/>
      <c r="F18" s="329"/>
      <c r="G18" s="329"/>
      <c r="H18" s="329"/>
      <c r="I18" s="329"/>
      <c r="J18" s="329"/>
      <c r="K18" s="329"/>
      <c r="L18" s="329"/>
      <c r="M18" s="329"/>
      <c r="N18" s="329"/>
      <c r="O18" s="329"/>
      <c r="P18" s="112"/>
      <c r="Q18" s="112"/>
      <c r="R18" s="112"/>
      <c r="S18" s="112"/>
      <c r="T18" s="112"/>
      <c r="U18" s="112"/>
      <c r="V18" s="112"/>
      <c r="W18" s="112"/>
      <c r="X18" s="112"/>
      <c r="Y18" s="112"/>
      <c r="Z18" s="112"/>
    </row>
    <row r="19" spans="1:26" s="107" customFormat="1" ht="78" customHeight="1" x14ac:dyDescent="0.2">
      <c r="A19" s="325" t="s">
        <v>3</v>
      </c>
      <c r="B19" s="325" t="s">
        <v>82</v>
      </c>
      <c r="C19" s="325" t="s">
        <v>81</v>
      </c>
      <c r="D19" s="325" t="s">
        <v>73</v>
      </c>
      <c r="E19" s="326" t="s">
        <v>80</v>
      </c>
      <c r="F19" s="327"/>
      <c r="G19" s="327"/>
      <c r="H19" s="327"/>
      <c r="I19" s="328"/>
      <c r="J19" s="325" t="s">
        <v>79</v>
      </c>
      <c r="K19" s="325"/>
      <c r="L19" s="325"/>
      <c r="M19" s="325"/>
      <c r="N19" s="325"/>
      <c r="O19" s="325"/>
      <c r="P19" s="109"/>
      <c r="Q19" s="109"/>
      <c r="R19" s="109"/>
      <c r="S19" s="109"/>
      <c r="T19" s="109"/>
      <c r="U19" s="109"/>
      <c r="V19" s="109"/>
      <c r="W19" s="109"/>
    </row>
    <row r="20" spans="1:26" s="107" customFormat="1" ht="51" customHeight="1" x14ac:dyDescent="0.2">
      <c r="A20" s="325"/>
      <c r="B20" s="325"/>
      <c r="C20" s="325"/>
      <c r="D20" s="325"/>
      <c r="E20" s="178" t="s">
        <v>78</v>
      </c>
      <c r="F20" s="178" t="s">
        <v>77</v>
      </c>
      <c r="G20" s="178" t="s">
        <v>76</v>
      </c>
      <c r="H20" s="178" t="s">
        <v>75</v>
      </c>
      <c r="I20" s="178" t="s">
        <v>74</v>
      </c>
      <c r="J20" s="178">
        <v>2018</v>
      </c>
      <c r="K20" s="178">
        <v>2019</v>
      </c>
      <c r="L20" s="178">
        <v>2020</v>
      </c>
      <c r="M20" s="178">
        <v>2021</v>
      </c>
      <c r="N20" s="178">
        <v>2022</v>
      </c>
      <c r="O20" s="178">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79" t="s">
        <v>543</v>
      </c>
      <c r="C22" s="17">
        <v>0</v>
      </c>
      <c r="D22" s="17">
        <v>0</v>
      </c>
      <c r="E22" s="17">
        <v>0</v>
      </c>
      <c r="F22" s="17">
        <v>0</v>
      </c>
      <c r="G22" s="17">
        <v>0</v>
      </c>
      <c r="H22" s="17">
        <v>0</v>
      </c>
      <c r="I22" s="17">
        <v>0</v>
      </c>
      <c r="J22" s="180">
        <v>0</v>
      </c>
      <c r="K22" s="180">
        <v>0</v>
      </c>
      <c r="L22" s="181">
        <v>0</v>
      </c>
      <c r="M22" s="181">
        <v>0</v>
      </c>
      <c r="N22" s="181">
        <v>0</v>
      </c>
      <c r="O22" s="181">
        <v>0</v>
      </c>
      <c r="P22" s="109"/>
      <c r="Q22" s="109"/>
      <c r="R22" s="109"/>
      <c r="S22" s="109"/>
      <c r="T22" s="109"/>
      <c r="U22" s="10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E56" sqref="E56"/>
    </sheetView>
  </sheetViews>
  <sheetFormatPr defaultRowHeight="12.75" x14ac:dyDescent="0.2"/>
  <cols>
    <col min="1" max="1" width="66.140625" style="208" customWidth="1"/>
    <col min="2" max="2" width="17.140625" style="208" customWidth="1"/>
    <col min="3" max="3" width="13.85546875" style="208" customWidth="1"/>
    <col min="4" max="5" width="13.5703125" style="208" customWidth="1"/>
    <col min="6" max="6" width="14.5703125" style="208" customWidth="1"/>
    <col min="7" max="7" width="13.42578125" style="208" customWidth="1"/>
    <col min="8" max="12" width="15.42578125" style="208" customWidth="1"/>
    <col min="13" max="13" width="15.42578125" style="208" hidden="1" customWidth="1"/>
    <col min="14" max="14" width="15.42578125" style="281" hidden="1" customWidth="1"/>
    <col min="15" max="19" width="15.42578125" style="208" hidden="1" customWidth="1"/>
    <col min="20" max="29" width="17.28515625" style="208" hidden="1" customWidth="1"/>
    <col min="30" max="31" width="17.28515625" style="198" hidden="1" customWidth="1"/>
    <col min="32" max="32" width="0" style="198" hidden="1" customWidth="1"/>
    <col min="33" max="16384" width="9.140625" style="198"/>
  </cols>
  <sheetData>
    <row r="1" spans="1:45" x14ac:dyDescent="0.2">
      <c r="A1" s="195"/>
      <c r="B1" s="196"/>
      <c r="C1" s="196"/>
      <c r="D1" s="196"/>
      <c r="E1" s="196"/>
      <c r="F1" s="196"/>
      <c r="G1" s="196"/>
      <c r="H1" s="196"/>
      <c r="I1" s="196"/>
      <c r="J1" s="196"/>
      <c r="K1" s="197"/>
      <c r="L1" s="196"/>
      <c r="M1" s="196"/>
      <c r="N1" s="196"/>
      <c r="O1" s="196"/>
      <c r="P1" s="197" t="s">
        <v>66</v>
      </c>
      <c r="Q1" s="196"/>
      <c r="R1" s="196"/>
      <c r="S1" s="196"/>
      <c r="T1" s="196"/>
      <c r="U1" s="196"/>
      <c r="V1" s="196"/>
      <c r="W1" s="196"/>
      <c r="X1" s="196"/>
      <c r="Y1" s="196"/>
      <c r="Z1" s="196"/>
      <c r="AA1" s="196"/>
      <c r="AB1" s="196"/>
      <c r="AC1" s="196"/>
      <c r="AD1" s="196"/>
      <c r="AE1" s="196"/>
      <c r="AF1" s="196"/>
      <c r="AG1" s="196"/>
      <c r="AH1" s="196"/>
      <c r="AI1" s="196"/>
      <c r="AJ1" s="196"/>
      <c r="AK1" s="196"/>
      <c r="AL1" s="196"/>
      <c r="AM1" s="196"/>
      <c r="AN1" s="196"/>
      <c r="AP1" s="199"/>
      <c r="AQ1" s="199"/>
      <c r="AR1" s="200"/>
      <c r="AS1" s="200"/>
    </row>
    <row r="2" spans="1:45" x14ac:dyDescent="0.2">
      <c r="A2" s="195"/>
      <c r="B2" s="196"/>
      <c r="C2" s="196"/>
      <c r="D2" s="196"/>
      <c r="E2" s="196"/>
      <c r="F2" s="196"/>
      <c r="G2" s="196"/>
      <c r="H2" s="196"/>
      <c r="I2" s="196"/>
      <c r="J2" s="196"/>
      <c r="K2" s="201"/>
      <c r="L2" s="196"/>
      <c r="M2" s="196"/>
      <c r="N2" s="196"/>
      <c r="O2" s="196"/>
      <c r="P2" s="201" t="s">
        <v>8</v>
      </c>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P2" s="199"/>
      <c r="AQ2" s="199"/>
      <c r="AR2" s="200"/>
      <c r="AS2" s="200"/>
    </row>
    <row r="3" spans="1:45" x14ac:dyDescent="0.2">
      <c r="A3" s="202"/>
      <c r="B3" s="196"/>
      <c r="C3" s="196"/>
      <c r="D3" s="196"/>
      <c r="E3" s="196"/>
      <c r="F3" s="196"/>
      <c r="G3" s="196"/>
      <c r="H3" s="196"/>
      <c r="I3" s="196"/>
      <c r="J3" s="196"/>
      <c r="K3" s="201"/>
      <c r="L3" s="196"/>
      <c r="M3" s="196"/>
      <c r="N3" s="196"/>
      <c r="O3" s="196"/>
      <c r="P3" s="201" t="s">
        <v>441</v>
      </c>
      <c r="Q3" s="196"/>
      <c r="R3" s="196"/>
      <c r="S3" s="196"/>
      <c r="T3" s="196"/>
      <c r="U3" s="196"/>
      <c r="V3" s="196"/>
      <c r="W3" s="196"/>
      <c r="X3" s="196"/>
      <c r="Y3" s="196"/>
      <c r="Z3" s="196"/>
      <c r="AA3" s="196"/>
      <c r="AB3" s="196"/>
      <c r="AC3" s="196"/>
      <c r="AD3" s="196"/>
      <c r="AE3" s="196"/>
      <c r="AF3" s="196"/>
      <c r="AG3" s="196"/>
      <c r="AH3" s="196"/>
      <c r="AI3" s="196"/>
      <c r="AJ3" s="196"/>
      <c r="AK3" s="196"/>
      <c r="AL3" s="196"/>
      <c r="AM3" s="196"/>
      <c r="AN3" s="196"/>
      <c r="AP3" s="199"/>
      <c r="AQ3" s="199"/>
      <c r="AR3" s="200"/>
      <c r="AS3" s="200"/>
    </row>
    <row r="4" spans="1:45" x14ac:dyDescent="0.2">
      <c r="A4" s="203"/>
      <c r="B4" s="195"/>
      <c r="C4" s="195"/>
      <c r="D4" s="195"/>
      <c r="E4" s="195"/>
      <c r="F4" s="195"/>
      <c r="G4" s="195"/>
      <c r="H4" s="195"/>
      <c r="I4" s="195"/>
      <c r="J4" s="195"/>
      <c r="K4" s="201"/>
      <c r="L4" s="195"/>
      <c r="M4" s="195"/>
      <c r="N4" s="195"/>
      <c r="O4" s="195"/>
      <c r="P4" s="195"/>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6"/>
      <c r="AP4" s="199"/>
      <c r="AQ4" s="199"/>
      <c r="AR4" s="200"/>
      <c r="AS4" s="200"/>
    </row>
    <row r="5" spans="1:45"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199"/>
      <c r="AQ5" s="199"/>
      <c r="AR5" s="200"/>
      <c r="AS5" s="200"/>
    </row>
    <row r="6" spans="1:45" x14ac:dyDescent="0.2">
      <c r="A6" s="203"/>
      <c r="B6" s="195"/>
      <c r="C6" s="195"/>
      <c r="D6" s="195"/>
      <c r="E6" s="195"/>
      <c r="F6" s="195"/>
      <c r="G6" s="195"/>
      <c r="H6" s="195"/>
      <c r="I6" s="195"/>
      <c r="J6" s="195"/>
      <c r="K6" s="201"/>
      <c r="L6" s="195"/>
      <c r="M6" s="195"/>
      <c r="N6" s="195"/>
      <c r="O6" s="195"/>
      <c r="P6" s="195"/>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9"/>
      <c r="AQ6" s="199"/>
      <c r="AR6" s="200"/>
      <c r="AS6" s="200"/>
    </row>
    <row r="7" spans="1:45" x14ac:dyDescent="0.2">
      <c r="A7" s="331" t="s">
        <v>7</v>
      </c>
      <c r="B7" s="331"/>
      <c r="C7" s="331"/>
      <c r="D7" s="331"/>
      <c r="E7" s="331"/>
      <c r="F7" s="331"/>
      <c r="G7" s="331"/>
      <c r="H7" s="331"/>
      <c r="I7" s="331"/>
      <c r="J7" s="331"/>
      <c r="K7" s="331"/>
      <c r="L7" s="331"/>
      <c r="M7" s="331"/>
      <c r="N7" s="331"/>
      <c r="O7" s="331"/>
      <c r="P7" s="331"/>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199"/>
      <c r="AQ7" s="199"/>
      <c r="AR7" s="200"/>
      <c r="AS7" s="200"/>
    </row>
    <row r="8" spans="1:45" x14ac:dyDescent="0.2">
      <c r="A8" s="206"/>
      <c r="B8" s="206"/>
      <c r="C8" s="206"/>
      <c r="D8" s="206"/>
      <c r="E8" s="206"/>
      <c r="F8" s="206"/>
      <c r="G8" s="206"/>
      <c r="H8" s="206"/>
      <c r="I8" s="206"/>
      <c r="J8" s="206"/>
      <c r="K8" s="206"/>
      <c r="L8" s="204"/>
      <c r="M8" s="204"/>
      <c r="N8" s="204"/>
      <c r="O8" s="204"/>
      <c r="P8" s="204"/>
      <c r="Q8" s="205"/>
      <c r="R8" s="205"/>
      <c r="S8" s="205"/>
      <c r="T8" s="205"/>
      <c r="U8" s="205"/>
      <c r="V8" s="205"/>
      <c r="W8" s="205"/>
      <c r="X8" s="205"/>
      <c r="Y8" s="205"/>
      <c r="Z8" s="196"/>
      <c r="AA8" s="196"/>
      <c r="AB8" s="196"/>
      <c r="AC8" s="196"/>
      <c r="AD8" s="196"/>
      <c r="AE8" s="196"/>
      <c r="AF8" s="196"/>
      <c r="AG8" s="196"/>
      <c r="AH8" s="196"/>
      <c r="AI8" s="196"/>
      <c r="AJ8" s="196"/>
      <c r="AK8" s="196"/>
      <c r="AL8" s="196"/>
      <c r="AM8" s="196"/>
      <c r="AN8" s="196"/>
      <c r="AO8" s="196"/>
      <c r="AP8" s="199"/>
      <c r="AQ8" s="199"/>
      <c r="AR8" s="200"/>
      <c r="AS8" s="200"/>
    </row>
    <row r="9" spans="1:45" x14ac:dyDescent="0.2">
      <c r="A9" s="332" t="str">
        <f>'1. паспорт местоположение'!A9:C9</f>
        <v xml:space="preserve">Акционерное общество "Западная энергетическая компания" </v>
      </c>
      <c r="B9" s="332"/>
      <c r="C9" s="332"/>
      <c r="D9" s="332"/>
      <c r="E9" s="332"/>
      <c r="F9" s="332"/>
      <c r="G9" s="332"/>
      <c r="H9" s="332"/>
      <c r="I9" s="332"/>
      <c r="J9" s="332"/>
      <c r="K9" s="332"/>
      <c r="L9" s="332"/>
      <c r="M9" s="332"/>
      <c r="N9" s="332"/>
      <c r="O9" s="332"/>
      <c r="P9" s="332"/>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199"/>
      <c r="AQ9" s="199"/>
      <c r="AR9" s="200"/>
      <c r="AS9" s="200"/>
    </row>
    <row r="10" spans="1:45" x14ac:dyDescent="0.2">
      <c r="A10" s="330" t="s">
        <v>6</v>
      </c>
      <c r="B10" s="330"/>
      <c r="C10" s="330"/>
      <c r="D10" s="330"/>
      <c r="E10" s="330"/>
      <c r="F10" s="330"/>
      <c r="G10" s="330"/>
      <c r="H10" s="330"/>
      <c r="I10" s="330"/>
      <c r="J10" s="330"/>
      <c r="K10" s="330"/>
      <c r="L10" s="330"/>
      <c r="M10" s="330"/>
      <c r="N10" s="330"/>
      <c r="O10" s="330"/>
      <c r="P10" s="330"/>
      <c r="AD10" s="208"/>
      <c r="AE10" s="208"/>
      <c r="AF10" s="208"/>
      <c r="AG10" s="208"/>
      <c r="AH10" s="208"/>
      <c r="AI10" s="208"/>
      <c r="AJ10" s="208"/>
      <c r="AK10" s="208"/>
      <c r="AL10" s="208"/>
      <c r="AM10" s="208"/>
      <c r="AN10" s="208"/>
      <c r="AO10" s="208"/>
      <c r="AP10" s="199"/>
      <c r="AQ10" s="199"/>
      <c r="AR10" s="200"/>
      <c r="AS10" s="200"/>
    </row>
    <row r="11" spans="1:45" x14ac:dyDescent="0.2">
      <c r="A11" s="206"/>
      <c r="B11" s="206"/>
      <c r="C11" s="206"/>
      <c r="D11" s="206"/>
      <c r="E11" s="206"/>
      <c r="F11" s="206"/>
      <c r="G11" s="206"/>
      <c r="H11" s="206"/>
      <c r="I11" s="206"/>
      <c r="J11" s="206"/>
      <c r="K11" s="206"/>
      <c r="L11" s="204"/>
      <c r="M11" s="204"/>
      <c r="N11" s="204"/>
      <c r="O11" s="204"/>
      <c r="P11" s="204"/>
      <c r="Q11" s="205"/>
      <c r="R11" s="205"/>
      <c r="S11" s="205"/>
      <c r="T11" s="205"/>
      <c r="U11" s="205"/>
      <c r="V11" s="205"/>
      <c r="W11" s="205"/>
      <c r="X11" s="205"/>
      <c r="Y11" s="205"/>
      <c r="Z11" s="196"/>
      <c r="AA11" s="196"/>
      <c r="AB11" s="196"/>
      <c r="AC11" s="196"/>
      <c r="AD11" s="196"/>
      <c r="AE11" s="196"/>
      <c r="AF11" s="196"/>
      <c r="AG11" s="196"/>
      <c r="AH11" s="196"/>
      <c r="AI11" s="196"/>
      <c r="AJ11" s="196"/>
      <c r="AK11" s="196"/>
      <c r="AL11" s="196"/>
      <c r="AM11" s="196"/>
      <c r="AN11" s="196"/>
      <c r="AO11" s="196"/>
      <c r="AP11" s="199"/>
      <c r="AQ11" s="199"/>
      <c r="AR11" s="200"/>
      <c r="AS11" s="200"/>
    </row>
    <row r="12" spans="1:45" x14ac:dyDescent="0.2">
      <c r="A12" s="332" t="str">
        <f>'1. паспорт местоположение'!A12:C12</f>
        <v>J 19-10</v>
      </c>
      <c r="B12" s="332"/>
      <c r="C12" s="332"/>
      <c r="D12" s="332"/>
      <c r="E12" s="332"/>
      <c r="F12" s="332"/>
      <c r="G12" s="332"/>
      <c r="H12" s="332"/>
      <c r="I12" s="332"/>
      <c r="J12" s="332"/>
      <c r="K12" s="332"/>
      <c r="L12" s="332"/>
      <c r="M12" s="332"/>
      <c r="N12" s="332"/>
      <c r="O12" s="332"/>
      <c r="P12" s="332"/>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199"/>
      <c r="AQ12" s="199"/>
      <c r="AR12" s="200"/>
      <c r="AS12" s="200"/>
    </row>
    <row r="13" spans="1:45" x14ac:dyDescent="0.2">
      <c r="A13" s="330" t="s">
        <v>5</v>
      </c>
      <c r="B13" s="330"/>
      <c r="C13" s="330"/>
      <c r="D13" s="330"/>
      <c r="E13" s="330"/>
      <c r="F13" s="330"/>
      <c r="G13" s="330"/>
      <c r="H13" s="330"/>
      <c r="I13" s="330"/>
      <c r="J13" s="330"/>
      <c r="K13" s="330"/>
      <c r="L13" s="330"/>
      <c r="M13" s="330"/>
      <c r="N13" s="330"/>
      <c r="O13" s="330"/>
      <c r="P13" s="330"/>
      <c r="AD13" s="208"/>
      <c r="AE13" s="208"/>
      <c r="AF13" s="208"/>
      <c r="AG13" s="208"/>
      <c r="AH13" s="208"/>
      <c r="AI13" s="208"/>
      <c r="AJ13" s="208"/>
      <c r="AK13" s="208"/>
      <c r="AL13" s="208"/>
      <c r="AM13" s="208"/>
      <c r="AN13" s="208"/>
      <c r="AO13" s="208"/>
      <c r="AP13" s="199"/>
      <c r="AQ13" s="199"/>
      <c r="AR13" s="200"/>
      <c r="AS13" s="200"/>
    </row>
    <row r="14" spans="1:45" x14ac:dyDescent="0.2">
      <c r="A14" s="209"/>
      <c r="B14" s="209"/>
      <c r="C14" s="209"/>
      <c r="D14" s="209"/>
      <c r="E14" s="209"/>
      <c r="F14" s="209"/>
      <c r="G14" s="209"/>
      <c r="H14" s="209"/>
      <c r="I14" s="209"/>
      <c r="J14" s="209"/>
      <c r="K14" s="209"/>
      <c r="L14" s="209"/>
      <c r="M14" s="209"/>
      <c r="N14" s="209"/>
      <c r="O14" s="209"/>
      <c r="P14" s="209"/>
      <c r="Q14" s="210"/>
      <c r="R14" s="210"/>
      <c r="S14" s="210"/>
      <c r="T14" s="210"/>
      <c r="U14" s="210"/>
      <c r="V14" s="210"/>
      <c r="W14" s="210"/>
      <c r="X14" s="210"/>
      <c r="Y14" s="210"/>
      <c r="Z14" s="196"/>
      <c r="AA14" s="196"/>
      <c r="AB14" s="196"/>
      <c r="AC14" s="196"/>
      <c r="AD14" s="196"/>
      <c r="AE14" s="196"/>
      <c r="AF14" s="196"/>
      <c r="AG14" s="196"/>
      <c r="AH14" s="196"/>
      <c r="AI14" s="196"/>
      <c r="AJ14" s="196"/>
      <c r="AK14" s="196"/>
      <c r="AL14" s="196"/>
      <c r="AM14" s="196"/>
      <c r="AN14" s="196"/>
      <c r="AO14" s="196"/>
      <c r="AP14" s="199"/>
      <c r="AQ14" s="199"/>
      <c r="AR14" s="200"/>
      <c r="AS14" s="200"/>
    </row>
    <row r="15" spans="1:45" x14ac:dyDescent="0.2">
      <c r="A15" s="337" t="str">
        <f>'1. паспорт местоположение'!A15:C15</f>
        <v>Реконструкция ТП-12 15/0,4кВ п.Южный, Багратионовского р-на</v>
      </c>
      <c r="B15" s="337"/>
      <c r="C15" s="337"/>
      <c r="D15" s="337"/>
      <c r="E15" s="337"/>
      <c r="F15" s="337"/>
      <c r="G15" s="337"/>
      <c r="H15" s="337"/>
      <c r="I15" s="337"/>
      <c r="J15" s="337"/>
      <c r="K15" s="337"/>
      <c r="L15" s="337"/>
      <c r="M15" s="337"/>
      <c r="N15" s="337"/>
      <c r="O15" s="337"/>
      <c r="P15" s="337"/>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199"/>
      <c r="AQ15" s="199"/>
      <c r="AR15" s="200"/>
      <c r="AS15" s="200"/>
    </row>
    <row r="16" spans="1:45" x14ac:dyDescent="0.2">
      <c r="A16" s="338" t="s">
        <v>4</v>
      </c>
      <c r="B16" s="338"/>
      <c r="C16" s="338"/>
      <c r="D16" s="338"/>
      <c r="E16" s="338"/>
      <c r="F16" s="338"/>
      <c r="G16" s="338"/>
      <c r="H16" s="338"/>
      <c r="I16" s="338"/>
      <c r="J16" s="338"/>
      <c r="K16" s="338"/>
      <c r="L16" s="338"/>
      <c r="M16" s="338"/>
      <c r="N16" s="338"/>
      <c r="O16" s="338"/>
      <c r="P16" s="338"/>
      <c r="AD16" s="208"/>
      <c r="AE16" s="208"/>
      <c r="AF16" s="208"/>
      <c r="AG16" s="208"/>
      <c r="AH16" s="208"/>
      <c r="AI16" s="208"/>
      <c r="AJ16" s="208"/>
      <c r="AK16" s="208"/>
      <c r="AL16" s="208"/>
      <c r="AM16" s="208"/>
      <c r="AN16" s="208"/>
      <c r="AO16" s="208"/>
      <c r="AP16" s="199"/>
      <c r="AQ16" s="199"/>
      <c r="AR16" s="200"/>
      <c r="AS16" s="200"/>
    </row>
    <row r="17" spans="1:45" x14ac:dyDescent="0.2">
      <c r="A17" s="210"/>
      <c r="B17" s="210"/>
      <c r="C17" s="210"/>
      <c r="D17" s="210"/>
      <c r="E17" s="210"/>
      <c r="F17" s="210"/>
      <c r="G17" s="210"/>
      <c r="H17" s="210"/>
      <c r="I17" s="210"/>
      <c r="J17" s="210"/>
      <c r="K17" s="210"/>
      <c r="L17" s="210"/>
      <c r="M17" s="210"/>
      <c r="N17" s="210"/>
      <c r="O17" s="210"/>
      <c r="P17" s="210"/>
      <c r="Q17" s="210"/>
      <c r="R17" s="210"/>
      <c r="S17" s="210"/>
      <c r="T17" s="210"/>
      <c r="U17" s="210"/>
      <c r="V17" s="210"/>
      <c r="W17" s="212"/>
      <c r="X17" s="212"/>
      <c r="Y17" s="212"/>
      <c r="Z17" s="212"/>
      <c r="AA17" s="212"/>
      <c r="AB17" s="212"/>
      <c r="AC17" s="212"/>
      <c r="AD17" s="212"/>
      <c r="AE17" s="212"/>
      <c r="AF17" s="212"/>
      <c r="AG17" s="212"/>
      <c r="AH17" s="212"/>
      <c r="AI17" s="212"/>
      <c r="AJ17" s="212"/>
      <c r="AK17" s="212"/>
      <c r="AL17" s="212"/>
      <c r="AM17" s="212"/>
      <c r="AN17" s="212"/>
      <c r="AO17" s="212"/>
      <c r="AP17" s="199"/>
      <c r="AQ17" s="199"/>
      <c r="AR17" s="200"/>
      <c r="AS17" s="200"/>
    </row>
    <row r="18" spans="1:45" x14ac:dyDescent="0.2">
      <c r="A18" s="339" t="s">
        <v>391</v>
      </c>
      <c r="B18" s="339"/>
      <c r="C18" s="339"/>
      <c r="D18" s="339"/>
      <c r="E18" s="339"/>
      <c r="F18" s="339"/>
      <c r="G18" s="339"/>
      <c r="H18" s="339"/>
      <c r="I18" s="339"/>
      <c r="J18" s="339"/>
      <c r="K18" s="339"/>
      <c r="L18" s="339"/>
      <c r="M18" s="339"/>
      <c r="N18" s="339"/>
      <c r="O18" s="339"/>
      <c r="P18" s="339"/>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199"/>
      <c r="AQ18" s="199"/>
      <c r="AR18" s="200"/>
      <c r="AS18" s="200"/>
    </row>
    <row r="19" spans="1:45" x14ac:dyDescent="0.2">
      <c r="A19" s="213"/>
      <c r="B19" s="213"/>
      <c r="C19" s="213"/>
      <c r="D19" s="213"/>
      <c r="E19" s="213"/>
      <c r="F19" s="213"/>
      <c r="G19" s="213"/>
      <c r="H19" s="213"/>
      <c r="I19" s="213"/>
      <c r="J19" s="213"/>
      <c r="K19" s="213"/>
      <c r="L19" s="213"/>
      <c r="M19" s="213"/>
      <c r="N19" s="213"/>
      <c r="O19" s="213"/>
      <c r="P19" s="213"/>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199"/>
      <c r="AQ19" s="199"/>
      <c r="AR19" s="200"/>
      <c r="AS19" s="200"/>
    </row>
    <row r="20" spans="1:45" x14ac:dyDescent="0.2">
      <c r="A20" s="213"/>
      <c r="B20" s="213"/>
      <c r="C20" s="213"/>
      <c r="D20" s="213"/>
      <c r="E20" s="213"/>
      <c r="F20" s="213"/>
      <c r="G20" s="213"/>
      <c r="H20" s="213"/>
      <c r="I20" s="213"/>
      <c r="J20" s="213"/>
      <c r="K20" s="213"/>
      <c r="L20" s="213"/>
      <c r="M20" s="213"/>
      <c r="N20" s="213"/>
      <c r="O20" s="213"/>
      <c r="P20" s="213"/>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199"/>
      <c r="AQ20" s="199"/>
      <c r="AR20" s="200"/>
      <c r="AS20" s="200"/>
    </row>
    <row r="21" spans="1:45" x14ac:dyDescent="0.2">
      <c r="A21" s="214"/>
      <c r="N21" s="208"/>
      <c r="AP21" s="199"/>
      <c r="AQ21" s="199"/>
      <c r="AR21" s="200"/>
      <c r="AS21" s="200"/>
    </row>
    <row r="22" spans="1:45" x14ac:dyDescent="0.2">
      <c r="A22" s="205"/>
      <c r="N22" s="208"/>
      <c r="AP22" s="199"/>
      <c r="AQ22" s="199"/>
      <c r="AR22" s="200"/>
      <c r="AS22" s="200"/>
    </row>
    <row r="23" spans="1:45" ht="13.5" thickBot="1" x14ac:dyDescent="0.25">
      <c r="A23" s="215" t="s">
        <v>288</v>
      </c>
      <c r="B23" s="215" t="s">
        <v>1</v>
      </c>
      <c r="D23" s="216"/>
      <c r="N23" s="208"/>
    </row>
    <row r="24" spans="1:45" ht="15" x14ac:dyDescent="0.2">
      <c r="A24" s="217" t="s">
        <v>427</v>
      </c>
      <c r="B24" s="185">
        <f>'6.2. Паспорт фин осв ввод'!D30*1000000</f>
        <v>0</v>
      </c>
      <c r="N24" s="208"/>
    </row>
    <row r="25" spans="1:45" x14ac:dyDescent="0.2">
      <c r="A25" s="218" t="s">
        <v>286</v>
      </c>
      <c r="B25" s="219">
        <v>0</v>
      </c>
      <c r="N25" s="208"/>
    </row>
    <row r="26" spans="1:45" x14ac:dyDescent="0.2">
      <c r="A26" s="220" t="s">
        <v>284</v>
      </c>
      <c r="B26" s="219">
        <v>30</v>
      </c>
      <c r="D26" s="205" t="s">
        <v>287</v>
      </c>
      <c r="N26" s="208"/>
    </row>
    <row r="27" spans="1:45" ht="13.5" thickBot="1" x14ac:dyDescent="0.25">
      <c r="A27" s="221" t="s">
        <v>282</v>
      </c>
      <c r="B27" s="222">
        <v>1</v>
      </c>
      <c r="D27" s="333" t="s">
        <v>285</v>
      </c>
      <c r="E27" s="334"/>
      <c r="F27" s="335"/>
      <c r="G27" s="223" t="str">
        <f>IF(SUM(B89:AG89)=0,"не окупается",SUM(B89:AG89))</f>
        <v>не окупается</v>
      </c>
      <c r="H27" s="224"/>
      <c r="N27" s="208"/>
    </row>
    <row r="28" spans="1:45" ht="15" x14ac:dyDescent="0.2">
      <c r="A28" s="217" t="s">
        <v>281</v>
      </c>
      <c r="B28" s="185">
        <f>B24*0.001</f>
        <v>0</v>
      </c>
      <c r="D28" s="333" t="s">
        <v>283</v>
      </c>
      <c r="E28" s="334"/>
      <c r="F28" s="335"/>
      <c r="G28" s="223" t="str">
        <f>IF(SUM(B90:AG90)=0,"не окупается",SUM(B90:AG90))</f>
        <v>не окупается</v>
      </c>
      <c r="H28" s="224"/>
      <c r="N28" s="208"/>
    </row>
    <row r="29" spans="1:45" x14ac:dyDescent="0.2">
      <c r="A29" s="220" t="s">
        <v>428</v>
      </c>
      <c r="B29" s="219">
        <v>6</v>
      </c>
      <c r="D29" s="333" t="s">
        <v>603</v>
      </c>
      <c r="E29" s="334"/>
      <c r="F29" s="335"/>
      <c r="G29" s="225">
        <f>L87</f>
        <v>0</v>
      </c>
      <c r="H29" s="226"/>
      <c r="N29" s="208"/>
    </row>
    <row r="30" spans="1:45" x14ac:dyDescent="0.2">
      <c r="A30" s="220" t="s">
        <v>280</v>
      </c>
      <c r="B30" s="219">
        <v>6</v>
      </c>
      <c r="D30" s="333"/>
      <c r="E30" s="334"/>
      <c r="F30" s="335"/>
      <c r="G30" s="227"/>
      <c r="H30" s="228"/>
      <c r="N30" s="208"/>
    </row>
    <row r="31" spans="1:45" x14ac:dyDescent="0.2">
      <c r="A31" s="220" t="s">
        <v>259</v>
      </c>
      <c r="B31" s="219">
        <v>0</v>
      </c>
      <c r="N31" s="208"/>
    </row>
    <row r="32" spans="1:45" x14ac:dyDescent="0.2">
      <c r="A32" s="220" t="s">
        <v>279</v>
      </c>
      <c r="B32" s="219">
        <v>1</v>
      </c>
      <c r="N32" s="208"/>
    </row>
    <row r="33" spans="1:31" x14ac:dyDescent="0.2">
      <c r="A33" s="220" t="s">
        <v>278</v>
      </c>
      <c r="B33" s="219">
        <v>1</v>
      </c>
      <c r="N33" s="208"/>
    </row>
    <row r="34" spans="1:31" x14ac:dyDescent="0.2">
      <c r="A34" s="229" t="s">
        <v>604</v>
      </c>
      <c r="B34" s="219">
        <f>B24*0.03</f>
        <v>0</v>
      </c>
      <c r="N34" s="208"/>
    </row>
    <row r="35" spans="1:31" ht="13.5" thickBot="1" x14ac:dyDescent="0.25">
      <c r="A35" s="230" t="s">
        <v>253</v>
      </c>
      <c r="B35" s="231">
        <v>0.2</v>
      </c>
      <c r="N35" s="208"/>
    </row>
    <row r="36" spans="1:31" x14ac:dyDescent="0.2">
      <c r="A36" s="217" t="s">
        <v>429</v>
      </c>
      <c r="B36" s="232">
        <v>0</v>
      </c>
      <c r="N36" s="208"/>
    </row>
    <row r="37" spans="1:31" x14ac:dyDescent="0.2">
      <c r="A37" s="218" t="s">
        <v>277</v>
      </c>
      <c r="B37" s="219"/>
      <c r="N37" s="208"/>
    </row>
    <row r="38" spans="1:31" ht="13.5" thickBot="1" x14ac:dyDescent="0.25">
      <c r="A38" s="229" t="s">
        <v>276</v>
      </c>
      <c r="B38" s="233"/>
      <c r="N38" s="208"/>
    </row>
    <row r="39" spans="1:31" x14ac:dyDescent="0.2">
      <c r="A39" s="234" t="s">
        <v>430</v>
      </c>
      <c r="B39" s="235">
        <v>1</v>
      </c>
      <c r="N39" s="208"/>
    </row>
    <row r="40" spans="1:31" x14ac:dyDescent="0.2">
      <c r="A40" s="236" t="s">
        <v>275</v>
      </c>
      <c r="B40" s="237"/>
      <c r="N40" s="208"/>
    </row>
    <row r="41" spans="1:31" x14ac:dyDescent="0.2">
      <c r="A41" s="236" t="s">
        <v>274</v>
      </c>
      <c r="B41" s="238"/>
      <c r="N41" s="208"/>
    </row>
    <row r="42" spans="1:31" x14ac:dyDescent="0.2">
      <c r="A42" s="236" t="s">
        <v>273</v>
      </c>
      <c r="B42" s="238">
        <v>0</v>
      </c>
      <c r="N42" s="208"/>
    </row>
    <row r="43" spans="1:31" x14ac:dyDescent="0.2">
      <c r="A43" s="236" t="s">
        <v>272</v>
      </c>
      <c r="B43" s="239">
        <v>9.8699999999999996E-2</v>
      </c>
      <c r="N43" s="208"/>
    </row>
    <row r="44" spans="1:31" x14ac:dyDescent="0.2">
      <c r="A44" s="236" t="s">
        <v>271</v>
      </c>
      <c r="B44" s="240">
        <v>1</v>
      </c>
      <c r="N44" s="208"/>
    </row>
    <row r="45" spans="1:31" ht="13.5" thickBot="1" x14ac:dyDescent="0.25">
      <c r="A45" s="241" t="s">
        <v>605</v>
      </c>
      <c r="B45" s="240">
        <f>B44*B43+B42*B41*(1-B35)</f>
        <v>9.8699999999999996E-2</v>
      </c>
      <c r="C45" s="242"/>
      <c r="N45" s="208"/>
    </row>
    <row r="46" spans="1:31" x14ac:dyDescent="0.2">
      <c r="A46" s="243" t="s">
        <v>270</v>
      </c>
      <c r="B46" s="244">
        <v>1</v>
      </c>
      <c r="C46" s="244">
        <v>2</v>
      </c>
      <c r="D46" s="244">
        <v>3</v>
      </c>
      <c r="E46" s="244">
        <v>4</v>
      </c>
      <c r="F46" s="244">
        <v>5</v>
      </c>
      <c r="G46" s="244">
        <v>6</v>
      </c>
      <c r="H46" s="244">
        <v>7</v>
      </c>
      <c r="I46" s="244">
        <v>8</v>
      </c>
      <c r="J46" s="244">
        <v>9</v>
      </c>
      <c r="K46" s="244">
        <v>10</v>
      </c>
      <c r="L46" s="244">
        <v>11</v>
      </c>
      <c r="M46" s="244">
        <v>12</v>
      </c>
      <c r="N46" s="244">
        <v>13</v>
      </c>
      <c r="O46" s="244">
        <v>14</v>
      </c>
      <c r="P46" s="244">
        <v>15</v>
      </c>
      <c r="Q46" s="244">
        <v>16</v>
      </c>
      <c r="R46" s="244">
        <v>17</v>
      </c>
      <c r="S46" s="244">
        <v>18</v>
      </c>
      <c r="T46" s="244">
        <v>19</v>
      </c>
      <c r="U46" s="244">
        <v>20</v>
      </c>
      <c r="V46" s="244">
        <v>21</v>
      </c>
      <c r="W46" s="244">
        <v>22</v>
      </c>
      <c r="X46" s="244">
        <v>23</v>
      </c>
      <c r="Y46" s="244">
        <v>24</v>
      </c>
      <c r="Z46" s="244">
        <v>25</v>
      </c>
      <c r="AA46" s="244">
        <v>26</v>
      </c>
      <c r="AB46" s="244">
        <v>27</v>
      </c>
      <c r="AC46" s="245">
        <v>28</v>
      </c>
      <c r="AD46" s="245">
        <v>29</v>
      </c>
      <c r="AE46" s="245">
        <v>30</v>
      </c>
    </row>
    <row r="47" spans="1:31" x14ac:dyDescent="0.2">
      <c r="A47" s="246" t="s">
        <v>269</v>
      </c>
      <c r="B47" s="247">
        <v>4.9000000000000002E-2</v>
      </c>
      <c r="C47" s="247">
        <v>4.7E-2</v>
      </c>
      <c r="D47" s="247">
        <v>4.7E-2</v>
      </c>
      <c r="E47" s="247">
        <v>4.7E-2</v>
      </c>
      <c r="F47" s="248">
        <v>4.7E-2</v>
      </c>
      <c r="G47" s="248">
        <v>4.7E-2</v>
      </c>
      <c r="H47" s="248">
        <v>4.7E-2</v>
      </c>
      <c r="I47" s="248">
        <v>4.7E-2</v>
      </c>
      <c r="J47" s="248">
        <v>4.7E-2</v>
      </c>
      <c r="K47" s="248">
        <v>4.7E-2</v>
      </c>
      <c r="L47" s="248">
        <v>4.7E-2</v>
      </c>
      <c r="M47" s="248">
        <v>4.7E-2</v>
      </c>
      <c r="N47" s="248">
        <v>4.7E-2</v>
      </c>
      <c r="O47" s="248">
        <v>4.7E-2</v>
      </c>
      <c r="P47" s="248">
        <v>4.7E-2</v>
      </c>
      <c r="Q47" s="248">
        <v>4.7E-2</v>
      </c>
      <c r="R47" s="248">
        <v>4.7E-2</v>
      </c>
      <c r="S47" s="248">
        <v>4.7E-2</v>
      </c>
      <c r="T47" s="248">
        <v>4.7E-2</v>
      </c>
      <c r="U47" s="248">
        <v>4.7E-2</v>
      </c>
      <c r="V47" s="248">
        <v>4.7E-2</v>
      </c>
      <c r="W47" s="248">
        <v>4.7E-2</v>
      </c>
      <c r="X47" s="248">
        <v>4.7E-2</v>
      </c>
      <c r="Y47" s="248">
        <v>4.7E-2</v>
      </c>
      <c r="Z47" s="248">
        <v>4.7E-2</v>
      </c>
      <c r="AA47" s="248">
        <v>4.7E-2</v>
      </c>
      <c r="AB47" s="248">
        <v>4.7E-2</v>
      </c>
      <c r="AC47" s="248">
        <v>4.7E-2</v>
      </c>
      <c r="AD47" s="248">
        <v>4.7E-2</v>
      </c>
      <c r="AE47" s="248">
        <v>4.7E-2</v>
      </c>
    </row>
    <row r="48" spans="1:31" x14ac:dyDescent="0.2">
      <c r="A48" s="246" t="s">
        <v>268</v>
      </c>
      <c r="B48" s="248">
        <f>B47</f>
        <v>4.9000000000000002E-2</v>
      </c>
      <c r="C48" s="248">
        <f t="shared" ref="C48:AE48" si="0">(1+B48)*(1+C47)-1</f>
        <v>9.8302999999999807E-2</v>
      </c>
      <c r="D48" s="248">
        <f t="shared" si="0"/>
        <v>0.14992324099999976</v>
      </c>
      <c r="E48" s="248">
        <f t="shared" si="0"/>
        <v>0.20396963332699958</v>
      </c>
      <c r="F48" s="248">
        <f t="shared" si="0"/>
        <v>0.26055620609336838</v>
      </c>
      <c r="G48" s="248">
        <f t="shared" si="0"/>
        <v>0.31980234777975669</v>
      </c>
      <c r="H48" s="248">
        <f t="shared" si="0"/>
        <v>0.38183305812540524</v>
      </c>
      <c r="I48" s="248">
        <f t="shared" si="0"/>
        <v>0.4467792118572993</v>
      </c>
      <c r="J48" s="248">
        <f t="shared" si="0"/>
        <v>0.51477783481459216</v>
      </c>
      <c r="K48" s="248">
        <f t="shared" si="0"/>
        <v>0.58597239305087778</v>
      </c>
      <c r="L48" s="248">
        <f t="shared" si="0"/>
        <v>0.66051309552426885</v>
      </c>
      <c r="M48" s="248">
        <f t="shared" si="0"/>
        <v>0.73855721101390936</v>
      </c>
      <c r="N48" s="248">
        <f t="shared" si="0"/>
        <v>0.82026939993156289</v>
      </c>
      <c r="O48" s="248">
        <f t="shared" si="0"/>
        <v>0.90582206172834612</v>
      </c>
      <c r="P48" s="248">
        <f t="shared" si="0"/>
        <v>0.99539569862957822</v>
      </c>
      <c r="Q48" s="248">
        <f t="shared" si="0"/>
        <v>1.0891792964651681</v>
      </c>
      <c r="R48" s="248">
        <f t="shared" si="0"/>
        <v>1.1873707233990309</v>
      </c>
      <c r="S48" s="248">
        <f t="shared" si="0"/>
        <v>1.2901771473987851</v>
      </c>
      <c r="T48" s="248">
        <f t="shared" si="0"/>
        <v>1.3978154733265278</v>
      </c>
      <c r="U48" s="248">
        <f t="shared" si="0"/>
        <v>1.5105128005728745</v>
      </c>
      <c r="V48" s="248">
        <f t="shared" si="0"/>
        <v>1.6285069021997995</v>
      </c>
      <c r="W48" s="248">
        <f t="shared" si="0"/>
        <v>1.7520467266031901</v>
      </c>
      <c r="X48" s="248">
        <f t="shared" si="0"/>
        <v>1.8813929227535398</v>
      </c>
      <c r="Y48" s="248">
        <f t="shared" si="0"/>
        <v>2.0168183901229559</v>
      </c>
      <c r="Z48" s="248">
        <f t="shared" si="0"/>
        <v>2.1586088544587345</v>
      </c>
      <c r="AA48" s="248">
        <f t="shared" si="0"/>
        <v>2.3070634706182949</v>
      </c>
      <c r="AB48" s="248">
        <f t="shared" si="0"/>
        <v>2.4624954537373545</v>
      </c>
      <c r="AC48" s="248">
        <f t="shared" si="0"/>
        <v>2.62523274006301</v>
      </c>
      <c r="AD48" s="248">
        <f t="shared" si="0"/>
        <v>2.7956186788459712</v>
      </c>
      <c r="AE48" s="248">
        <f t="shared" si="0"/>
        <v>2.9740127567517316</v>
      </c>
    </row>
    <row r="49" spans="1:31" ht="13.5" thickBot="1" x14ac:dyDescent="0.25">
      <c r="A49" s="249" t="s">
        <v>431</v>
      </c>
      <c r="B49" s="250">
        <f>B24*1.2/2*0</f>
        <v>0</v>
      </c>
      <c r="C49" s="250">
        <v>0</v>
      </c>
      <c r="D49" s="250">
        <v>0</v>
      </c>
      <c r="E49" s="250">
        <v>0</v>
      </c>
      <c r="F49" s="250">
        <v>0</v>
      </c>
      <c r="G49" s="250">
        <v>0</v>
      </c>
      <c r="H49" s="250">
        <v>0</v>
      </c>
      <c r="I49" s="250">
        <v>0</v>
      </c>
      <c r="J49" s="250">
        <v>0</v>
      </c>
      <c r="K49" s="250">
        <v>0</v>
      </c>
      <c r="L49" s="250">
        <v>0</v>
      </c>
      <c r="M49" s="250">
        <v>0</v>
      </c>
      <c r="N49" s="250">
        <v>0</v>
      </c>
      <c r="O49" s="250">
        <v>0</v>
      </c>
      <c r="P49" s="250">
        <v>0</v>
      </c>
      <c r="Q49" s="250">
        <v>0</v>
      </c>
      <c r="R49" s="250">
        <v>0</v>
      </c>
      <c r="S49" s="250">
        <v>0</v>
      </c>
      <c r="T49" s="250">
        <v>0</v>
      </c>
      <c r="U49" s="250">
        <v>0</v>
      </c>
      <c r="V49" s="250">
        <v>0</v>
      </c>
      <c r="W49" s="250">
        <v>0</v>
      </c>
      <c r="X49" s="250">
        <v>0</v>
      </c>
      <c r="Y49" s="250">
        <v>0</v>
      </c>
      <c r="Z49" s="250">
        <v>0</v>
      </c>
      <c r="AA49" s="250">
        <v>0</v>
      </c>
      <c r="AB49" s="250">
        <v>0</v>
      </c>
      <c r="AC49" s="250">
        <v>0</v>
      </c>
      <c r="AD49" s="250">
        <v>0</v>
      </c>
      <c r="AE49" s="250">
        <v>0</v>
      </c>
    </row>
    <row r="50" spans="1:31" ht="13.5" thickBot="1" x14ac:dyDescent="0.25">
      <c r="A50" s="251"/>
      <c r="N50" s="208"/>
      <c r="AC50" s="252"/>
      <c r="AD50" s="252"/>
      <c r="AE50" s="252"/>
    </row>
    <row r="51" spans="1:31" x14ac:dyDescent="0.2">
      <c r="A51" s="253" t="s">
        <v>267</v>
      </c>
      <c r="B51" s="244">
        <v>1</v>
      </c>
      <c r="C51" s="244">
        <v>2</v>
      </c>
      <c r="D51" s="244">
        <v>3</v>
      </c>
      <c r="E51" s="244">
        <v>4</v>
      </c>
      <c r="F51" s="244">
        <v>5</v>
      </c>
      <c r="G51" s="244">
        <v>6</v>
      </c>
      <c r="H51" s="244">
        <v>7</v>
      </c>
      <c r="I51" s="244">
        <v>8</v>
      </c>
      <c r="J51" s="244">
        <v>9</v>
      </c>
      <c r="K51" s="244">
        <v>10</v>
      </c>
      <c r="L51" s="244">
        <v>11</v>
      </c>
      <c r="M51" s="244">
        <v>12</v>
      </c>
      <c r="N51" s="244">
        <v>13</v>
      </c>
      <c r="O51" s="244">
        <v>14</v>
      </c>
      <c r="P51" s="244">
        <v>15</v>
      </c>
      <c r="Q51" s="244">
        <v>16</v>
      </c>
      <c r="R51" s="244">
        <v>17</v>
      </c>
      <c r="S51" s="244">
        <v>18</v>
      </c>
      <c r="T51" s="244">
        <v>19</v>
      </c>
      <c r="U51" s="244">
        <v>20</v>
      </c>
      <c r="V51" s="244">
        <v>21</v>
      </c>
      <c r="W51" s="244">
        <v>22</v>
      </c>
      <c r="X51" s="244">
        <v>23</v>
      </c>
      <c r="Y51" s="244">
        <v>24</v>
      </c>
      <c r="Z51" s="244">
        <v>25</v>
      </c>
      <c r="AA51" s="244">
        <v>26</v>
      </c>
      <c r="AB51" s="244">
        <v>27</v>
      </c>
      <c r="AC51" s="244">
        <v>28</v>
      </c>
      <c r="AD51" s="244">
        <v>29</v>
      </c>
      <c r="AE51" s="244">
        <v>30</v>
      </c>
    </row>
    <row r="52" spans="1:31" x14ac:dyDescent="0.2">
      <c r="A52" s="246" t="s">
        <v>266</v>
      </c>
      <c r="B52" s="254">
        <v>0</v>
      </c>
      <c r="C52" s="254">
        <v>0</v>
      </c>
      <c r="D52" s="254">
        <v>0</v>
      </c>
      <c r="E52" s="254">
        <v>0</v>
      </c>
      <c r="F52" s="254">
        <v>0</v>
      </c>
      <c r="G52" s="254">
        <v>0</v>
      </c>
      <c r="H52" s="254">
        <v>0</v>
      </c>
      <c r="I52" s="254">
        <v>0</v>
      </c>
      <c r="J52" s="254">
        <v>0</v>
      </c>
      <c r="K52" s="254">
        <v>0</v>
      </c>
      <c r="L52" s="254">
        <v>0</v>
      </c>
      <c r="M52" s="254">
        <v>0</v>
      </c>
      <c r="N52" s="254">
        <v>0</v>
      </c>
      <c r="O52" s="254">
        <v>0</v>
      </c>
      <c r="P52" s="254">
        <v>0</v>
      </c>
      <c r="Q52" s="254">
        <v>0</v>
      </c>
      <c r="R52" s="254">
        <v>0</v>
      </c>
      <c r="S52" s="254">
        <v>0</v>
      </c>
      <c r="T52" s="254">
        <v>0</v>
      </c>
      <c r="U52" s="254">
        <v>0</v>
      </c>
      <c r="V52" s="254">
        <v>0</v>
      </c>
      <c r="W52" s="254">
        <v>0</v>
      </c>
      <c r="X52" s="254">
        <v>0</v>
      </c>
      <c r="Y52" s="254">
        <v>0</v>
      </c>
      <c r="Z52" s="254">
        <v>0</v>
      </c>
      <c r="AA52" s="254">
        <v>0</v>
      </c>
      <c r="AB52" s="254">
        <v>0</v>
      </c>
      <c r="AC52" s="255">
        <v>0</v>
      </c>
      <c r="AD52" s="255">
        <v>0</v>
      </c>
      <c r="AE52" s="255">
        <v>0</v>
      </c>
    </row>
    <row r="53" spans="1:31" x14ac:dyDescent="0.2">
      <c r="A53" s="246" t="s">
        <v>265</v>
      </c>
      <c r="B53" s="254">
        <v>0</v>
      </c>
      <c r="C53" s="254">
        <v>0</v>
      </c>
      <c r="D53" s="254">
        <v>0</v>
      </c>
      <c r="E53" s="254">
        <v>0</v>
      </c>
      <c r="F53" s="254">
        <v>0</v>
      </c>
      <c r="G53" s="254">
        <v>0</v>
      </c>
      <c r="H53" s="254">
        <v>0</v>
      </c>
      <c r="I53" s="254">
        <v>0</v>
      </c>
      <c r="J53" s="254">
        <v>0</v>
      </c>
      <c r="K53" s="254">
        <v>0</v>
      </c>
      <c r="L53" s="254">
        <v>0</v>
      </c>
      <c r="M53" s="254">
        <v>0</v>
      </c>
      <c r="N53" s="254">
        <v>0</v>
      </c>
      <c r="O53" s="254">
        <v>0</v>
      </c>
      <c r="P53" s="254">
        <v>0</v>
      </c>
      <c r="Q53" s="254">
        <v>0</v>
      </c>
      <c r="R53" s="254">
        <v>0</v>
      </c>
      <c r="S53" s="254">
        <v>0</v>
      </c>
      <c r="T53" s="254">
        <v>0</v>
      </c>
      <c r="U53" s="254">
        <v>0</v>
      </c>
      <c r="V53" s="254">
        <v>0</v>
      </c>
      <c r="W53" s="254">
        <v>0</v>
      </c>
      <c r="X53" s="254">
        <v>0</v>
      </c>
      <c r="Y53" s="254">
        <v>0</v>
      </c>
      <c r="Z53" s="254">
        <v>0</v>
      </c>
      <c r="AA53" s="254">
        <v>0</v>
      </c>
      <c r="AB53" s="254">
        <v>0</v>
      </c>
      <c r="AC53" s="255">
        <v>0</v>
      </c>
      <c r="AD53" s="255">
        <v>0</v>
      </c>
      <c r="AE53" s="255">
        <v>0</v>
      </c>
    </row>
    <row r="54" spans="1:31" x14ac:dyDescent="0.2">
      <c r="A54" s="246" t="s">
        <v>264</v>
      </c>
      <c r="B54" s="254">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5">
        <v>0</v>
      </c>
      <c r="AD54" s="255">
        <v>0</v>
      </c>
      <c r="AE54" s="255">
        <v>0</v>
      </c>
    </row>
    <row r="55" spans="1:31" ht="13.5" thickBot="1" x14ac:dyDescent="0.25">
      <c r="A55" s="249" t="s">
        <v>263</v>
      </c>
      <c r="B55" s="256">
        <v>0</v>
      </c>
      <c r="C55" s="256">
        <v>0</v>
      </c>
      <c r="D55" s="256">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256">
        <v>0</v>
      </c>
      <c r="AC55" s="257">
        <v>0</v>
      </c>
      <c r="AD55" s="257">
        <v>0</v>
      </c>
      <c r="AE55" s="257">
        <v>0</v>
      </c>
    </row>
    <row r="56" spans="1:31" ht="13.5" thickBot="1" x14ac:dyDescent="0.25">
      <c r="A56" s="251"/>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9"/>
      <c r="AD56" s="259"/>
      <c r="AE56" s="259"/>
    </row>
    <row r="57" spans="1:31" ht="13.5" thickBot="1" x14ac:dyDescent="0.25">
      <c r="A57" s="253" t="s">
        <v>432</v>
      </c>
      <c r="B57" s="244">
        <v>1</v>
      </c>
      <c r="C57" s="244">
        <v>2</v>
      </c>
      <c r="D57" s="244">
        <v>3</v>
      </c>
      <c r="E57" s="244">
        <v>4</v>
      </c>
      <c r="F57" s="244">
        <v>5</v>
      </c>
      <c r="G57" s="244">
        <v>6</v>
      </c>
      <c r="H57" s="244">
        <v>7</v>
      </c>
      <c r="I57" s="244">
        <v>8</v>
      </c>
      <c r="J57" s="244">
        <v>9</v>
      </c>
      <c r="K57" s="244">
        <v>10</v>
      </c>
      <c r="L57" s="244">
        <v>11</v>
      </c>
      <c r="M57" s="244">
        <v>12</v>
      </c>
      <c r="N57" s="244">
        <v>13</v>
      </c>
      <c r="O57" s="244">
        <v>14</v>
      </c>
      <c r="P57" s="244">
        <v>15</v>
      </c>
      <c r="Q57" s="244">
        <v>16</v>
      </c>
      <c r="R57" s="244">
        <v>17</v>
      </c>
      <c r="S57" s="244">
        <v>18</v>
      </c>
      <c r="T57" s="244">
        <v>19</v>
      </c>
      <c r="U57" s="244">
        <v>20</v>
      </c>
      <c r="V57" s="244">
        <v>21</v>
      </c>
      <c r="W57" s="244">
        <v>22</v>
      </c>
      <c r="X57" s="244">
        <v>23</v>
      </c>
      <c r="Y57" s="244">
        <v>24</v>
      </c>
      <c r="Z57" s="244">
        <v>25</v>
      </c>
      <c r="AA57" s="244">
        <v>26</v>
      </c>
      <c r="AB57" s="244">
        <v>27</v>
      </c>
      <c r="AC57" s="244">
        <v>28</v>
      </c>
      <c r="AD57" s="244">
        <v>29</v>
      </c>
      <c r="AE57" s="244">
        <v>30</v>
      </c>
    </row>
    <row r="58" spans="1:31" x14ac:dyDescent="0.2">
      <c r="A58" s="253" t="s">
        <v>262</v>
      </c>
      <c r="B58" s="244">
        <f t="shared" ref="B58:AE58" si="1">B49*$B$27</f>
        <v>0</v>
      </c>
      <c r="C58" s="244">
        <f t="shared" si="1"/>
        <v>0</v>
      </c>
      <c r="D58" s="244">
        <f t="shared" si="1"/>
        <v>0</v>
      </c>
      <c r="E58" s="244">
        <f t="shared" si="1"/>
        <v>0</v>
      </c>
      <c r="F58" s="244">
        <f t="shared" si="1"/>
        <v>0</v>
      </c>
      <c r="G58" s="244">
        <f t="shared" si="1"/>
        <v>0</v>
      </c>
      <c r="H58" s="244">
        <f t="shared" si="1"/>
        <v>0</v>
      </c>
      <c r="I58" s="244">
        <f t="shared" si="1"/>
        <v>0</v>
      </c>
      <c r="J58" s="244">
        <f t="shared" si="1"/>
        <v>0</v>
      </c>
      <c r="K58" s="244">
        <f t="shared" si="1"/>
        <v>0</v>
      </c>
      <c r="L58" s="244">
        <f t="shared" si="1"/>
        <v>0</v>
      </c>
      <c r="M58" s="244">
        <f t="shared" si="1"/>
        <v>0</v>
      </c>
      <c r="N58" s="244">
        <f t="shared" si="1"/>
        <v>0</v>
      </c>
      <c r="O58" s="244">
        <f t="shared" si="1"/>
        <v>0</v>
      </c>
      <c r="P58" s="244">
        <f t="shared" si="1"/>
        <v>0</v>
      </c>
      <c r="Q58" s="244">
        <f t="shared" si="1"/>
        <v>0</v>
      </c>
      <c r="R58" s="244">
        <f t="shared" si="1"/>
        <v>0</v>
      </c>
      <c r="S58" s="244">
        <f t="shared" si="1"/>
        <v>0</v>
      </c>
      <c r="T58" s="244">
        <f t="shared" si="1"/>
        <v>0</v>
      </c>
      <c r="U58" s="244">
        <f t="shared" si="1"/>
        <v>0</v>
      </c>
      <c r="V58" s="244">
        <f t="shared" si="1"/>
        <v>0</v>
      </c>
      <c r="W58" s="244">
        <f t="shared" si="1"/>
        <v>0</v>
      </c>
      <c r="X58" s="244">
        <f t="shared" si="1"/>
        <v>0</v>
      </c>
      <c r="Y58" s="244">
        <f t="shared" si="1"/>
        <v>0</v>
      </c>
      <c r="Z58" s="244">
        <f t="shared" si="1"/>
        <v>0</v>
      </c>
      <c r="AA58" s="244">
        <f t="shared" si="1"/>
        <v>0</v>
      </c>
      <c r="AB58" s="244">
        <f t="shared" si="1"/>
        <v>0</v>
      </c>
      <c r="AC58" s="244">
        <f t="shared" si="1"/>
        <v>0</v>
      </c>
      <c r="AD58" s="244">
        <f t="shared" si="1"/>
        <v>0</v>
      </c>
      <c r="AE58" s="244">
        <f t="shared" si="1"/>
        <v>0</v>
      </c>
    </row>
    <row r="59" spans="1:31" x14ac:dyDescent="0.2">
      <c r="A59" s="246" t="s">
        <v>261</v>
      </c>
      <c r="B59" s="260">
        <f t="shared" ref="B59:AE59" si="2">SUM(B60:B65)</f>
        <v>0</v>
      </c>
      <c r="C59" s="260">
        <f t="shared" si="2"/>
        <v>0</v>
      </c>
      <c r="D59" s="260">
        <f t="shared" si="2"/>
        <v>0</v>
      </c>
      <c r="E59" s="260">
        <f t="shared" si="2"/>
        <v>0</v>
      </c>
      <c r="F59" s="260">
        <f t="shared" si="2"/>
        <v>0</v>
      </c>
      <c r="G59" s="260">
        <f t="shared" si="2"/>
        <v>0</v>
      </c>
      <c r="H59" s="260">
        <f t="shared" si="2"/>
        <v>0</v>
      </c>
      <c r="I59" s="260">
        <f t="shared" si="2"/>
        <v>0</v>
      </c>
      <c r="J59" s="260">
        <f t="shared" si="2"/>
        <v>0</v>
      </c>
      <c r="K59" s="260">
        <f t="shared" si="2"/>
        <v>0</v>
      </c>
      <c r="L59" s="260">
        <f t="shared" si="2"/>
        <v>0</v>
      </c>
      <c r="M59" s="260">
        <f t="shared" si="2"/>
        <v>0</v>
      </c>
      <c r="N59" s="260">
        <f t="shared" si="2"/>
        <v>0</v>
      </c>
      <c r="O59" s="260">
        <f t="shared" si="2"/>
        <v>0</v>
      </c>
      <c r="P59" s="260">
        <f t="shared" si="2"/>
        <v>0</v>
      </c>
      <c r="Q59" s="260">
        <f t="shared" si="2"/>
        <v>0</v>
      </c>
      <c r="R59" s="260">
        <f t="shared" si="2"/>
        <v>0</v>
      </c>
      <c r="S59" s="260">
        <f t="shared" si="2"/>
        <v>0</v>
      </c>
      <c r="T59" s="260">
        <f t="shared" si="2"/>
        <v>0</v>
      </c>
      <c r="U59" s="260">
        <f t="shared" si="2"/>
        <v>0</v>
      </c>
      <c r="V59" s="260">
        <f t="shared" si="2"/>
        <v>0</v>
      </c>
      <c r="W59" s="260">
        <f t="shared" si="2"/>
        <v>0</v>
      </c>
      <c r="X59" s="260">
        <f t="shared" si="2"/>
        <v>0</v>
      </c>
      <c r="Y59" s="260">
        <f t="shared" si="2"/>
        <v>0</v>
      </c>
      <c r="Z59" s="260">
        <f t="shared" si="2"/>
        <v>0</v>
      </c>
      <c r="AA59" s="260">
        <f t="shared" si="2"/>
        <v>0</v>
      </c>
      <c r="AB59" s="260">
        <f t="shared" si="2"/>
        <v>0</v>
      </c>
      <c r="AC59" s="260">
        <f t="shared" si="2"/>
        <v>0</v>
      </c>
      <c r="AD59" s="260">
        <f t="shared" si="2"/>
        <v>0</v>
      </c>
      <c r="AE59" s="260">
        <f t="shared" si="2"/>
        <v>0</v>
      </c>
    </row>
    <row r="60" spans="1:31" x14ac:dyDescent="0.2">
      <c r="A60" s="261" t="s">
        <v>260</v>
      </c>
      <c r="B60" s="254"/>
      <c r="C60" s="254"/>
      <c r="D60" s="254"/>
      <c r="E60" s="254"/>
      <c r="F60" s="254"/>
      <c r="G60" s="254"/>
      <c r="H60" s="254"/>
      <c r="I60" s="254">
        <f>-B28</f>
        <v>0</v>
      </c>
      <c r="J60" s="254"/>
      <c r="K60" s="254"/>
      <c r="L60" s="254"/>
      <c r="M60" s="254"/>
      <c r="N60" s="254"/>
      <c r="O60" s="254">
        <f>I60</f>
        <v>0</v>
      </c>
      <c r="P60" s="254"/>
      <c r="Q60" s="254"/>
      <c r="R60" s="254"/>
      <c r="S60" s="254"/>
      <c r="T60" s="254"/>
      <c r="U60" s="254">
        <f>O60</f>
        <v>0</v>
      </c>
      <c r="V60" s="254"/>
      <c r="W60" s="254"/>
      <c r="X60" s="254"/>
      <c r="Y60" s="254"/>
      <c r="Z60" s="254"/>
      <c r="AA60" s="254"/>
      <c r="AB60" s="254"/>
      <c r="AC60" s="254"/>
      <c r="AD60" s="254"/>
      <c r="AE60" s="254"/>
    </row>
    <row r="61" spans="1:31" x14ac:dyDescent="0.2">
      <c r="A61" s="261" t="s">
        <v>259</v>
      </c>
      <c r="B61" s="254"/>
      <c r="C61" s="254"/>
      <c r="D61" s="254"/>
      <c r="E61" s="254"/>
      <c r="F61" s="254"/>
      <c r="G61" s="254"/>
      <c r="H61" s="254"/>
      <c r="I61" s="254"/>
      <c r="J61" s="254"/>
      <c r="K61" s="254">
        <f>-B34*1.2</f>
        <v>0</v>
      </c>
      <c r="L61" s="254"/>
      <c r="M61" s="254"/>
      <c r="N61" s="254"/>
      <c r="O61" s="254"/>
      <c r="P61" s="254"/>
      <c r="Q61" s="254"/>
      <c r="R61" s="254"/>
      <c r="S61" s="254">
        <f>K61</f>
        <v>0</v>
      </c>
      <c r="T61" s="254"/>
      <c r="U61" s="254"/>
      <c r="V61" s="254"/>
      <c r="W61" s="254"/>
      <c r="X61" s="254"/>
      <c r="Y61" s="254"/>
      <c r="Z61" s="254"/>
      <c r="AA61" s="262">
        <f>S61</f>
        <v>0</v>
      </c>
      <c r="AB61" s="254"/>
      <c r="AC61" s="254"/>
      <c r="AD61" s="254"/>
      <c r="AE61" s="254"/>
    </row>
    <row r="62" spans="1:31" x14ac:dyDescent="0.2">
      <c r="A62" s="261" t="s">
        <v>604</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row>
    <row r="63" spans="1:31" x14ac:dyDescent="0.2">
      <c r="A63" s="261" t="s">
        <v>429</v>
      </c>
      <c r="B63" s="263">
        <v>0</v>
      </c>
      <c r="C63" s="263">
        <v>0</v>
      </c>
      <c r="D63" s="263">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63">
        <v>0</v>
      </c>
      <c r="AC63" s="263">
        <v>0</v>
      </c>
      <c r="AD63" s="263">
        <v>0</v>
      </c>
      <c r="AE63" s="263">
        <v>0</v>
      </c>
    </row>
    <row r="64" spans="1:31" x14ac:dyDescent="0.2">
      <c r="A64" s="261" t="s">
        <v>429</v>
      </c>
      <c r="B64" s="263">
        <v>0</v>
      </c>
      <c r="C64" s="263">
        <v>0</v>
      </c>
      <c r="D64" s="263">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63">
        <v>0</v>
      </c>
      <c r="AC64" s="263">
        <v>0</v>
      </c>
      <c r="AD64" s="263">
        <v>0</v>
      </c>
      <c r="AE64" s="263">
        <v>0</v>
      </c>
    </row>
    <row r="65" spans="1:31" x14ac:dyDescent="0.2">
      <c r="A65" s="261" t="s">
        <v>606</v>
      </c>
      <c r="B65" s="263">
        <v>0</v>
      </c>
      <c r="C65" s="263">
        <v>0</v>
      </c>
      <c r="D65" s="263">
        <f>-($B$24+D67)*0.022</f>
        <v>0</v>
      </c>
      <c r="E65" s="263">
        <f>-($B$24+E67+D67)*0.022</f>
        <v>0</v>
      </c>
      <c r="F65" s="267">
        <f>-($B$24+F67+D67+E67)*0.022</f>
        <v>0</v>
      </c>
      <c r="G65" s="267">
        <f>-($B$24+G67+E67+F67+D67)*0.022</f>
        <v>0</v>
      </c>
      <c r="H65" s="267">
        <f>-($B$24+H67+F67+G67+E67+D67)*0.022</f>
        <v>0</v>
      </c>
      <c r="I65" s="267">
        <f>-($B$24+I67+G67+H67+F67+D67+E67)*0.022</f>
        <v>0</v>
      </c>
      <c r="J65" s="267">
        <f>-($B$24+D67+J67+H67+I67+G67+E67+F67)*0.022</f>
        <v>0</v>
      </c>
      <c r="K65" s="267">
        <f>-($B$24+E67+K67+I67+J67+H67+F67+G67+D67)*0.022</f>
        <v>0</v>
      </c>
      <c r="L65" s="267">
        <f>-($B$24+F67+L67+J67+K67+I67+G67+H67+D67+E67)*0.022</f>
        <v>0</v>
      </c>
      <c r="M65" s="267">
        <f>-($B$24+G67+M67+K67+L67+J67+H67+I67+F67+E67+D67)*0.022</f>
        <v>0</v>
      </c>
      <c r="N65" s="267">
        <f>(-$B$24+H67+N67+L67+M67+K67+I67+J67+G67+F67+E67+D67)*0.022</f>
        <v>0</v>
      </c>
      <c r="O65" s="267">
        <f>-($B$24+I67+O67+M67+N67+L67+J67+K67+H67+G67+F67+D67+E67)*0.022</f>
        <v>0</v>
      </c>
      <c r="P65" s="267">
        <f>-($B$24+J67+P67+N67+O67+M67+K67+L67+I67+H67+G67+E67+D67+F67)*0.022</f>
        <v>0</v>
      </c>
      <c r="Q65" s="267">
        <f>-($B$24+K67+Q67+O67+P67+N67+L67+M67+J67+I67+H67+F67+G67+D67+E67)*0.022</f>
        <v>0</v>
      </c>
      <c r="R65" s="267">
        <f>-($B$24+L67+R67+P67+Q67+O67+M67+N67+K67+J67+I67+G67+H67+E67+D67+F67)*0.022</f>
        <v>0</v>
      </c>
      <c r="S65" s="267">
        <f>-($B$24+M67+S67+Q67+R67+P67+N67+O67+L67+K67+J67+H67+I67+F67+E67+D67+G67)*0.022</f>
        <v>0</v>
      </c>
      <c r="T65" s="267">
        <f>-($B$24+N67+T67+R67+S67+Q67+O67+P67+M67+L67+K67+I67+J67+G67+F67+E67+D67+H67)*0.022</f>
        <v>0</v>
      </c>
      <c r="U65" s="267">
        <f>-($B$24+O67+U67+S67+T67+R67+P67+Q67+N67+M67+L67+J67+K67+H67+G67+F67+E67+D67+I67)*0.022</f>
        <v>0</v>
      </c>
      <c r="V65" s="267">
        <f>-($B$24+P67+V67+T67+U67+S67+Q67+R67+O67+N67+M67+K67+L67+I67+H67+G67+F67+D67+E67++J67)*0.022</f>
        <v>0</v>
      </c>
      <c r="W65" s="267">
        <f>-($B$24+Q67+W67+U67+V67+T67+R67+S67+P67+O67+N67+L67+M67+J67+I67+H67+G67+E67+F67+D67+K67)*0.022</f>
        <v>0</v>
      </c>
      <c r="X65" s="267">
        <f>-($B$24+R67+X67+V67+W67+U67+S67+T67+Q67+P67+O67+M67+N67+K67+J67+I67+H67+F67+G67+E67+D67+L67)*0.022</f>
        <v>0</v>
      </c>
      <c r="Y65" s="267">
        <f>-($B$24+S67+Y67+W67+X67+V67+T67+U67+R67+Q67+P67+N67+O67+L67+K67+J67+I67+G67+H67+F67+E67+D67+M67)*0.022</f>
        <v>0</v>
      </c>
      <c r="Z65" s="267">
        <f>-($B$24+T67+Z67+X67+Y67+W67+U67+V67+S67+R67+Q67+O67+P67+M67+L67+K67+J67+H67+I67+G67+F67+E67+D67+N67)*0.022</f>
        <v>0</v>
      </c>
      <c r="AA65" s="267">
        <f>-($B$24+U67+AA67+Y67+Z67+X67+V67+W67+T67+S67+R67+P67+Q67+N67+M67+L67+K67+I67+J67+H67+G67+F67+E67+D67+O67)*0.022</f>
        <v>0</v>
      </c>
      <c r="AB65" s="267">
        <f>-($B$24+V67+AB67+Z67+AA67+Y67+W67+X67+U67+T67+S67+Q67+R67+O67+N67+M67+L67+J67+K67+I67+H67+G67+F67+E67+D67+P67)*0.022</f>
        <v>0</v>
      </c>
      <c r="AC65" s="267">
        <f>-($B$24+W67+AC67+AA67+AB67+Z67+X67+Y67+V67+U67+T67+R67+S67+P67+O67+N67+M67+K67+L67+J67+I67+H67+G67+F67+E67+D67+Q67)*0.022</f>
        <v>0</v>
      </c>
      <c r="AD65" s="267">
        <f>-($B$24+X67+AD67+AB67+AC67+AA67+Y67+Z67+W67+V67+U67+S67+T67+Q67+P67+O67+N67+L67+M67+K67+J67+I67+H67+G67+F67+E67+D67+R67)*0.022</f>
        <v>0</v>
      </c>
      <c r="AE65" s="267">
        <f>-($B$24+Y67+AE67+AC67+AD67+AB67+Z67+AA67+X67+W67+V67+T67+U67+R67+Q67+P67+O67+M67+N67+L67+K67+J67+I67+H67+G67+F67+E67+D67+S67)*0.022</f>
        <v>0</v>
      </c>
    </row>
    <row r="66" spans="1:31" x14ac:dyDescent="0.2">
      <c r="A66" s="264" t="s">
        <v>607</v>
      </c>
      <c r="B66" s="265">
        <f t="shared" ref="B66:AE66" si="3">B58+B59</f>
        <v>0</v>
      </c>
      <c r="C66" s="265">
        <f t="shared" si="3"/>
        <v>0</v>
      </c>
      <c r="D66" s="265">
        <f t="shared" si="3"/>
        <v>0</v>
      </c>
      <c r="E66" s="265">
        <f t="shared" si="3"/>
        <v>0</v>
      </c>
      <c r="F66" s="265">
        <f t="shared" si="3"/>
        <v>0</v>
      </c>
      <c r="G66" s="265">
        <f t="shared" si="3"/>
        <v>0</v>
      </c>
      <c r="H66" s="265">
        <f t="shared" si="3"/>
        <v>0</v>
      </c>
      <c r="I66" s="265">
        <f t="shared" si="3"/>
        <v>0</v>
      </c>
      <c r="J66" s="265">
        <f t="shared" si="3"/>
        <v>0</v>
      </c>
      <c r="K66" s="265">
        <f t="shared" si="3"/>
        <v>0</v>
      </c>
      <c r="L66" s="265">
        <f t="shared" si="3"/>
        <v>0</v>
      </c>
      <c r="M66" s="265">
        <f t="shared" si="3"/>
        <v>0</v>
      </c>
      <c r="N66" s="265">
        <f t="shared" si="3"/>
        <v>0</v>
      </c>
      <c r="O66" s="265">
        <f t="shared" si="3"/>
        <v>0</v>
      </c>
      <c r="P66" s="265">
        <f t="shared" si="3"/>
        <v>0</v>
      </c>
      <c r="Q66" s="265">
        <f t="shared" si="3"/>
        <v>0</v>
      </c>
      <c r="R66" s="265">
        <f t="shared" si="3"/>
        <v>0</v>
      </c>
      <c r="S66" s="265">
        <f t="shared" si="3"/>
        <v>0</v>
      </c>
      <c r="T66" s="265">
        <f t="shared" si="3"/>
        <v>0</v>
      </c>
      <c r="U66" s="265">
        <f t="shared" si="3"/>
        <v>0</v>
      </c>
      <c r="V66" s="265">
        <f t="shared" si="3"/>
        <v>0</v>
      </c>
      <c r="W66" s="265">
        <f t="shared" si="3"/>
        <v>0</v>
      </c>
      <c r="X66" s="265">
        <f t="shared" si="3"/>
        <v>0</v>
      </c>
      <c r="Y66" s="265">
        <f t="shared" si="3"/>
        <v>0</v>
      </c>
      <c r="Z66" s="265">
        <f t="shared" si="3"/>
        <v>0</v>
      </c>
      <c r="AA66" s="265">
        <f t="shared" si="3"/>
        <v>0</v>
      </c>
      <c r="AB66" s="265">
        <f t="shared" si="3"/>
        <v>0</v>
      </c>
      <c r="AC66" s="265">
        <f t="shared" si="3"/>
        <v>0</v>
      </c>
      <c r="AD66" s="265">
        <f t="shared" si="3"/>
        <v>0</v>
      </c>
      <c r="AE66" s="265">
        <f t="shared" si="3"/>
        <v>0</v>
      </c>
    </row>
    <row r="67" spans="1:31" x14ac:dyDescent="0.2">
      <c r="A67" s="261" t="s">
        <v>255</v>
      </c>
      <c r="B67" s="266">
        <v>0</v>
      </c>
      <c r="C67" s="266">
        <v>0</v>
      </c>
      <c r="D67" s="266">
        <f>-(B24)*$B$27/$B$26</f>
        <v>0</v>
      </c>
      <c r="E67" s="267">
        <f t="shared" ref="E67:AE67" si="4">D67</f>
        <v>0</v>
      </c>
      <c r="F67" s="267">
        <f t="shared" si="4"/>
        <v>0</v>
      </c>
      <c r="G67" s="267">
        <f t="shared" si="4"/>
        <v>0</v>
      </c>
      <c r="H67" s="267">
        <f t="shared" si="4"/>
        <v>0</v>
      </c>
      <c r="I67" s="267">
        <f t="shared" si="4"/>
        <v>0</v>
      </c>
      <c r="J67" s="267">
        <f t="shared" si="4"/>
        <v>0</v>
      </c>
      <c r="K67" s="267">
        <f t="shared" si="4"/>
        <v>0</v>
      </c>
      <c r="L67" s="267">
        <f t="shared" si="4"/>
        <v>0</v>
      </c>
      <c r="M67" s="267">
        <f t="shared" si="4"/>
        <v>0</v>
      </c>
      <c r="N67" s="267">
        <f t="shared" si="4"/>
        <v>0</v>
      </c>
      <c r="O67" s="267">
        <f t="shared" si="4"/>
        <v>0</v>
      </c>
      <c r="P67" s="267">
        <f t="shared" si="4"/>
        <v>0</v>
      </c>
      <c r="Q67" s="267">
        <f t="shared" si="4"/>
        <v>0</v>
      </c>
      <c r="R67" s="267">
        <f t="shared" si="4"/>
        <v>0</v>
      </c>
      <c r="S67" s="267">
        <f t="shared" si="4"/>
        <v>0</v>
      </c>
      <c r="T67" s="267">
        <f t="shared" si="4"/>
        <v>0</v>
      </c>
      <c r="U67" s="267">
        <f t="shared" si="4"/>
        <v>0</v>
      </c>
      <c r="V67" s="267">
        <f t="shared" si="4"/>
        <v>0</v>
      </c>
      <c r="W67" s="267">
        <f t="shared" si="4"/>
        <v>0</v>
      </c>
      <c r="X67" s="267">
        <f t="shared" si="4"/>
        <v>0</v>
      </c>
      <c r="Y67" s="267">
        <f t="shared" si="4"/>
        <v>0</v>
      </c>
      <c r="Z67" s="267">
        <f t="shared" si="4"/>
        <v>0</v>
      </c>
      <c r="AA67" s="267">
        <f t="shared" si="4"/>
        <v>0</v>
      </c>
      <c r="AB67" s="267">
        <f t="shared" si="4"/>
        <v>0</v>
      </c>
      <c r="AC67" s="267">
        <f t="shared" si="4"/>
        <v>0</v>
      </c>
      <c r="AD67" s="267">
        <f t="shared" si="4"/>
        <v>0</v>
      </c>
      <c r="AE67" s="267">
        <f t="shared" si="4"/>
        <v>0</v>
      </c>
    </row>
    <row r="68" spans="1:31" x14ac:dyDescent="0.2">
      <c r="A68" s="264" t="s">
        <v>608</v>
      </c>
      <c r="B68" s="265">
        <f t="shared" ref="B68:AE68" si="5">B66+B67</f>
        <v>0</v>
      </c>
      <c r="C68" s="265">
        <f>C66+C67</f>
        <v>0</v>
      </c>
      <c r="D68" s="265">
        <f t="shared" si="5"/>
        <v>0</v>
      </c>
      <c r="E68" s="265">
        <f>E66+E67</f>
        <v>0</v>
      </c>
      <c r="F68" s="265">
        <f t="shared" si="5"/>
        <v>0</v>
      </c>
      <c r="G68" s="265">
        <f t="shared" si="5"/>
        <v>0</v>
      </c>
      <c r="H68" s="265">
        <f t="shared" si="5"/>
        <v>0</v>
      </c>
      <c r="I68" s="265">
        <f t="shared" si="5"/>
        <v>0</v>
      </c>
      <c r="J68" s="265">
        <f t="shared" si="5"/>
        <v>0</v>
      </c>
      <c r="K68" s="265">
        <f t="shared" si="5"/>
        <v>0</v>
      </c>
      <c r="L68" s="265">
        <f t="shared" si="5"/>
        <v>0</v>
      </c>
      <c r="M68" s="265">
        <f t="shared" si="5"/>
        <v>0</v>
      </c>
      <c r="N68" s="265">
        <f t="shared" si="5"/>
        <v>0</v>
      </c>
      <c r="O68" s="265">
        <f t="shared" si="5"/>
        <v>0</v>
      </c>
      <c r="P68" s="265">
        <f t="shared" si="5"/>
        <v>0</v>
      </c>
      <c r="Q68" s="265">
        <f t="shared" si="5"/>
        <v>0</v>
      </c>
      <c r="R68" s="265">
        <f t="shared" si="5"/>
        <v>0</v>
      </c>
      <c r="S68" s="265">
        <f t="shared" si="5"/>
        <v>0</v>
      </c>
      <c r="T68" s="265">
        <f t="shared" si="5"/>
        <v>0</v>
      </c>
      <c r="U68" s="265">
        <f t="shared" si="5"/>
        <v>0</v>
      </c>
      <c r="V68" s="265">
        <f t="shared" si="5"/>
        <v>0</v>
      </c>
      <c r="W68" s="265">
        <f t="shared" si="5"/>
        <v>0</v>
      </c>
      <c r="X68" s="265">
        <f t="shared" si="5"/>
        <v>0</v>
      </c>
      <c r="Y68" s="265">
        <f t="shared" si="5"/>
        <v>0</v>
      </c>
      <c r="Z68" s="265">
        <f t="shared" si="5"/>
        <v>0</v>
      </c>
      <c r="AA68" s="265">
        <f t="shared" si="5"/>
        <v>0</v>
      </c>
      <c r="AB68" s="265">
        <f t="shared" si="5"/>
        <v>0</v>
      </c>
      <c r="AC68" s="265">
        <f t="shared" si="5"/>
        <v>0</v>
      </c>
      <c r="AD68" s="265">
        <f t="shared" si="5"/>
        <v>0</v>
      </c>
      <c r="AE68" s="265">
        <f t="shared" si="5"/>
        <v>0</v>
      </c>
    </row>
    <row r="69" spans="1:31" x14ac:dyDescent="0.2">
      <c r="A69" s="261" t="s">
        <v>254</v>
      </c>
      <c r="B69" s="263">
        <v>0</v>
      </c>
      <c r="C69" s="263">
        <v>0</v>
      </c>
      <c r="D69" s="263">
        <v>0</v>
      </c>
      <c r="E69" s="263">
        <v>0</v>
      </c>
      <c r="F69" s="263">
        <v>0</v>
      </c>
      <c r="G69" s="263">
        <v>0</v>
      </c>
      <c r="H69" s="263">
        <v>0</v>
      </c>
      <c r="I69" s="263">
        <v>0</v>
      </c>
      <c r="J69" s="263">
        <v>0</v>
      </c>
      <c r="K69" s="263">
        <v>0</v>
      </c>
      <c r="L69" s="263">
        <v>0</v>
      </c>
      <c r="M69" s="263">
        <v>0</v>
      </c>
      <c r="N69" s="263">
        <v>0</v>
      </c>
      <c r="O69" s="263">
        <v>0</v>
      </c>
      <c r="P69" s="263">
        <v>0</v>
      </c>
      <c r="Q69" s="263">
        <v>0</v>
      </c>
      <c r="R69" s="263">
        <v>0</v>
      </c>
      <c r="S69" s="263">
        <v>0</v>
      </c>
      <c r="T69" s="263">
        <v>0</v>
      </c>
      <c r="U69" s="263">
        <v>0</v>
      </c>
      <c r="V69" s="263">
        <v>0</v>
      </c>
      <c r="W69" s="263">
        <v>0</v>
      </c>
      <c r="X69" s="263">
        <v>0</v>
      </c>
      <c r="Y69" s="263">
        <v>0</v>
      </c>
      <c r="Z69" s="263">
        <v>0</v>
      </c>
      <c r="AA69" s="263">
        <v>0</v>
      </c>
      <c r="AB69" s="263">
        <v>0</v>
      </c>
      <c r="AC69" s="263">
        <v>0</v>
      </c>
      <c r="AD69" s="263">
        <v>0</v>
      </c>
      <c r="AE69" s="263">
        <v>0</v>
      </c>
    </row>
    <row r="70" spans="1:31" x14ac:dyDescent="0.2">
      <c r="A70" s="264" t="s">
        <v>258</v>
      </c>
      <c r="B70" s="265">
        <f t="shared" ref="B70:AE70" si="6">B68+B69</f>
        <v>0</v>
      </c>
      <c r="C70" s="265">
        <f t="shared" si="6"/>
        <v>0</v>
      </c>
      <c r="D70" s="265">
        <f t="shared" si="6"/>
        <v>0</v>
      </c>
      <c r="E70" s="265">
        <f t="shared" si="6"/>
        <v>0</v>
      </c>
      <c r="F70" s="265">
        <f t="shared" si="6"/>
        <v>0</v>
      </c>
      <c r="G70" s="265">
        <f t="shared" si="6"/>
        <v>0</v>
      </c>
      <c r="H70" s="265">
        <f t="shared" si="6"/>
        <v>0</v>
      </c>
      <c r="I70" s="265">
        <f t="shared" si="6"/>
        <v>0</v>
      </c>
      <c r="J70" s="265">
        <f t="shared" si="6"/>
        <v>0</v>
      </c>
      <c r="K70" s="265">
        <f t="shared" si="6"/>
        <v>0</v>
      </c>
      <c r="L70" s="265">
        <f t="shared" si="6"/>
        <v>0</v>
      </c>
      <c r="M70" s="265">
        <f t="shared" si="6"/>
        <v>0</v>
      </c>
      <c r="N70" s="265">
        <f t="shared" si="6"/>
        <v>0</v>
      </c>
      <c r="O70" s="265">
        <f t="shared" si="6"/>
        <v>0</v>
      </c>
      <c r="P70" s="265">
        <f t="shared" si="6"/>
        <v>0</v>
      </c>
      <c r="Q70" s="265">
        <f t="shared" si="6"/>
        <v>0</v>
      </c>
      <c r="R70" s="265">
        <f t="shared" si="6"/>
        <v>0</v>
      </c>
      <c r="S70" s="265">
        <f t="shared" si="6"/>
        <v>0</v>
      </c>
      <c r="T70" s="265">
        <f t="shared" si="6"/>
        <v>0</v>
      </c>
      <c r="U70" s="265">
        <f t="shared" si="6"/>
        <v>0</v>
      </c>
      <c r="V70" s="265">
        <f t="shared" si="6"/>
        <v>0</v>
      </c>
      <c r="W70" s="265">
        <f t="shared" si="6"/>
        <v>0</v>
      </c>
      <c r="X70" s="265">
        <f t="shared" si="6"/>
        <v>0</v>
      </c>
      <c r="Y70" s="265">
        <f t="shared" si="6"/>
        <v>0</v>
      </c>
      <c r="Z70" s="265">
        <f t="shared" si="6"/>
        <v>0</v>
      </c>
      <c r="AA70" s="265">
        <f t="shared" si="6"/>
        <v>0</v>
      </c>
      <c r="AB70" s="265">
        <f t="shared" si="6"/>
        <v>0</v>
      </c>
      <c r="AC70" s="265">
        <f t="shared" si="6"/>
        <v>0</v>
      </c>
      <c r="AD70" s="265">
        <f t="shared" si="6"/>
        <v>0</v>
      </c>
      <c r="AE70" s="265">
        <f t="shared" si="6"/>
        <v>0</v>
      </c>
    </row>
    <row r="71" spans="1:31" x14ac:dyDescent="0.2">
      <c r="A71" s="261" t="s">
        <v>253</v>
      </c>
      <c r="B71" s="266">
        <f t="shared" ref="B71:AE71" si="7">-B70*$B$35</f>
        <v>0</v>
      </c>
      <c r="C71" s="266">
        <f t="shared" si="7"/>
        <v>0</v>
      </c>
      <c r="D71" s="266">
        <f t="shared" si="7"/>
        <v>0</v>
      </c>
      <c r="E71" s="266">
        <f t="shared" si="7"/>
        <v>0</v>
      </c>
      <c r="F71" s="266">
        <f t="shared" si="7"/>
        <v>0</v>
      </c>
      <c r="G71" s="266">
        <f t="shared" si="7"/>
        <v>0</v>
      </c>
      <c r="H71" s="266">
        <f t="shared" si="7"/>
        <v>0</v>
      </c>
      <c r="I71" s="266">
        <f t="shared" si="7"/>
        <v>0</v>
      </c>
      <c r="J71" s="266">
        <f t="shared" si="7"/>
        <v>0</v>
      </c>
      <c r="K71" s="266">
        <f t="shared" si="7"/>
        <v>0</v>
      </c>
      <c r="L71" s="266">
        <f t="shared" si="7"/>
        <v>0</v>
      </c>
      <c r="M71" s="266">
        <f t="shared" si="7"/>
        <v>0</v>
      </c>
      <c r="N71" s="266">
        <f t="shared" si="7"/>
        <v>0</v>
      </c>
      <c r="O71" s="266">
        <f t="shared" si="7"/>
        <v>0</v>
      </c>
      <c r="P71" s="266">
        <f t="shared" si="7"/>
        <v>0</v>
      </c>
      <c r="Q71" s="266">
        <f t="shared" si="7"/>
        <v>0</v>
      </c>
      <c r="R71" s="266">
        <f t="shared" si="7"/>
        <v>0</v>
      </c>
      <c r="S71" s="266">
        <f t="shared" si="7"/>
        <v>0</v>
      </c>
      <c r="T71" s="266">
        <f t="shared" si="7"/>
        <v>0</v>
      </c>
      <c r="U71" s="266">
        <f t="shared" si="7"/>
        <v>0</v>
      </c>
      <c r="V71" s="266">
        <f t="shared" si="7"/>
        <v>0</v>
      </c>
      <c r="W71" s="266">
        <f t="shared" si="7"/>
        <v>0</v>
      </c>
      <c r="X71" s="266">
        <f t="shared" si="7"/>
        <v>0</v>
      </c>
      <c r="Y71" s="266">
        <f t="shared" si="7"/>
        <v>0</v>
      </c>
      <c r="Z71" s="266">
        <f t="shared" si="7"/>
        <v>0</v>
      </c>
      <c r="AA71" s="266">
        <f t="shared" si="7"/>
        <v>0</v>
      </c>
      <c r="AB71" s="266">
        <f t="shared" si="7"/>
        <v>0</v>
      </c>
      <c r="AC71" s="266">
        <f t="shared" si="7"/>
        <v>0</v>
      </c>
      <c r="AD71" s="266">
        <f t="shared" si="7"/>
        <v>0</v>
      </c>
      <c r="AE71" s="266">
        <f t="shared" si="7"/>
        <v>0</v>
      </c>
    </row>
    <row r="72" spans="1:31" ht="13.5" thickBot="1" x14ac:dyDescent="0.25">
      <c r="A72" s="268" t="s">
        <v>257</v>
      </c>
      <c r="B72" s="269">
        <f t="shared" ref="B72:AE72" si="8">B70+B71</f>
        <v>0</v>
      </c>
      <c r="C72" s="269">
        <f t="shared" si="8"/>
        <v>0</v>
      </c>
      <c r="D72" s="269">
        <f t="shared" si="8"/>
        <v>0</v>
      </c>
      <c r="E72" s="269">
        <f t="shared" si="8"/>
        <v>0</v>
      </c>
      <c r="F72" s="269">
        <f t="shared" si="8"/>
        <v>0</v>
      </c>
      <c r="G72" s="269">
        <f t="shared" si="8"/>
        <v>0</v>
      </c>
      <c r="H72" s="269">
        <f t="shared" si="8"/>
        <v>0</v>
      </c>
      <c r="I72" s="269">
        <f t="shared" si="8"/>
        <v>0</v>
      </c>
      <c r="J72" s="269">
        <f t="shared" si="8"/>
        <v>0</v>
      </c>
      <c r="K72" s="269">
        <f t="shared" si="8"/>
        <v>0</v>
      </c>
      <c r="L72" s="269">
        <f t="shared" si="8"/>
        <v>0</v>
      </c>
      <c r="M72" s="269">
        <f t="shared" si="8"/>
        <v>0</v>
      </c>
      <c r="N72" s="269">
        <f t="shared" si="8"/>
        <v>0</v>
      </c>
      <c r="O72" s="269">
        <f t="shared" si="8"/>
        <v>0</v>
      </c>
      <c r="P72" s="269">
        <f t="shared" si="8"/>
        <v>0</v>
      </c>
      <c r="Q72" s="269">
        <f t="shared" si="8"/>
        <v>0</v>
      </c>
      <c r="R72" s="269">
        <f t="shared" si="8"/>
        <v>0</v>
      </c>
      <c r="S72" s="269">
        <f t="shared" si="8"/>
        <v>0</v>
      </c>
      <c r="T72" s="269">
        <f t="shared" si="8"/>
        <v>0</v>
      </c>
      <c r="U72" s="269">
        <f t="shared" si="8"/>
        <v>0</v>
      </c>
      <c r="V72" s="269">
        <f t="shared" si="8"/>
        <v>0</v>
      </c>
      <c r="W72" s="269">
        <f t="shared" si="8"/>
        <v>0</v>
      </c>
      <c r="X72" s="269">
        <f t="shared" si="8"/>
        <v>0</v>
      </c>
      <c r="Y72" s="269">
        <f t="shared" si="8"/>
        <v>0</v>
      </c>
      <c r="Z72" s="269">
        <f t="shared" si="8"/>
        <v>0</v>
      </c>
      <c r="AA72" s="269">
        <f t="shared" si="8"/>
        <v>0</v>
      </c>
      <c r="AB72" s="269">
        <f t="shared" si="8"/>
        <v>0</v>
      </c>
      <c r="AC72" s="269">
        <f t="shared" si="8"/>
        <v>0</v>
      </c>
      <c r="AD72" s="269">
        <f t="shared" si="8"/>
        <v>0</v>
      </c>
      <c r="AE72" s="269">
        <f t="shared" si="8"/>
        <v>0</v>
      </c>
    </row>
    <row r="73" spans="1:31" ht="13.5" thickBot="1" x14ac:dyDescent="0.25">
      <c r="A73" s="251"/>
      <c r="B73" s="270">
        <v>0.5</v>
      </c>
      <c r="C73" s="270">
        <v>1.5</v>
      </c>
      <c r="D73" s="270">
        <v>2.5</v>
      </c>
      <c r="E73" s="270">
        <v>3.5</v>
      </c>
      <c r="F73" s="270">
        <v>4.5</v>
      </c>
      <c r="G73" s="270">
        <v>5.5</v>
      </c>
      <c r="H73" s="270">
        <v>6.5</v>
      </c>
      <c r="I73" s="270">
        <v>7.5</v>
      </c>
      <c r="J73" s="270">
        <v>8.5</v>
      </c>
      <c r="K73" s="270">
        <v>9.5</v>
      </c>
      <c r="L73" s="270">
        <v>10.5</v>
      </c>
      <c r="M73" s="270">
        <v>11.5</v>
      </c>
      <c r="N73" s="270">
        <v>12.5</v>
      </c>
      <c r="O73" s="270">
        <v>13.5</v>
      </c>
      <c r="P73" s="270">
        <v>14.5</v>
      </c>
      <c r="Q73" s="270">
        <v>15.5</v>
      </c>
      <c r="R73" s="270">
        <v>16.5</v>
      </c>
      <c r="S73" s="270">
        <v>17.5</v>
      </c>
      <c r="T73" s="270">
        <v>18.5</v>
      </c>
      <c r="U73" s="270">
        <v>19.5</v>
      </c>
      <c r="V73" s="270">
        <v>20.5</v>
      </c>
      <c r="W73" s="270">
        <v>21.5</v>
      </c>
      <c r="X73" s="270">
        <v>22.5</v>
      </c>
      <c r="Y73" s="270">
        <v>23.5</v>
      </c>
      <c r="Z73" s="270">
        <v>24.5</v>
      </c>
      <c r="AA73" s="270">
        <v>25.5</v>
      </c>
      <c r="AB73" s="270">
        <v>26.5</v>
      </c>
      <c r="AC73" s="270">
        <v>27.5</v>
      </c>
      <c r="AD73" s="270">
        <v>28.5</v>
      </c>
      <c r="AE73" s="270">
        <v>29.5</v>
      </c>
    </row>
    <row r="74" spans="1:31" x14ac:dyDescent="0.2">
      <c r="A74" s="253" t="s">
        <v>256</v>
      </c>
      <c r="B74" s="244">
        <v>1</v>
      </c>
      <c r="C74" s="244">
        <v>2</v>
      </c>
      <c r="D74" s="244">
        <v>3</v>
      </c>
      <c r="E74" s="244">
        <v>4</v>
      </c>
      <c r="F74" s="244">
        <v>5</v>
      </c>
      <c r="G74" s="244">
        <v>6</v>
      </c>
      <c r="H74" s="244">
        <v>7</v>
      </c>
      <c r="I74" s="244">
        <v>8</v>
      </c>
      <c r="J74" s="244">
        <v>9</v>
      </c>
      <c r="K74" s="244">
        <v>10</v>
      </c>
      <c r="L74" s="244">
        <v>11</v>
      </c>
      <c r="M74" s="244">
        <v>12</v>
      </c>
      <c r="N74" s="244">
        <v>13</v>
      </c>
      <c r="O74" s="244">
        <v>14</v>
      </c>
      <c r="P74" s="244">
        <v>15</v>
      </c>
      <c r="Q74" s="244">
        <v>16</v>
      </c>
      <c r="R74" s="244">
        <v>17</v>
      </c>
      <c r="S74" s="244">
        <v>18</v>
      </c>
      <c r="T74" s="244">
        <v>19</v>
      </c>
      <c r="U74" s="244">
        <v>20</v>
      </c>
      <c r="V74" s="244">
        <v>21</v>
      </c>
      <c r="W74" s="244">
        <v>22</v>
      </c>
      <c r="X74" s="244">
        <v>23</v>
      </c>
      <c r="Y74" s="244">
        <v>24</v>
      </c>
      <c r="Z74" s="244">
        <v>25</v>
      </c>
      <c r="AA74" s="244">
        <v>26</v>
      </c>
      <c r="AB74" s="244">
        <v>27</v>
      </c>
      <c r="AC74" s="244">
        <v>28</v>
      </c>
      <c r="AD74" s="244">
        <v>29</v>
      </c>
      <c r="AE74" s="244">
        <v>30</v>
      </c>
    </row>
    <row r="75" spans="1:31" x14ac:dyDescent="0.2">
      <c r="A75" s="271" t="s">
        <v>608</v>
      </c>
      <c r="B75" s="265">
        <f t="shared" ref="B75:AE75" si="9">B68</f>
        <v>0</v>
      </c>
      <c r="C75" s="265">
        <f t="shared" si="9"/>
        <v>0</v>
      </c>
      <c r="D75" s="265">
        <f t="shared" si="9"/>
        <v>0</v>
      </c>
      <c r="E75" s="265">
        <f t="shared" si="9"/>
        <v>0</v>
      </c>
      <c r="F75" s="265">
        <f t="shared" si="9"/>
        <v>0</v>
      </c>
      <c r="G75" s="265">
        <f t="shared" si="9"/>
        <v>0</v>
      </c>
      <c r="H75" s="265">
        <f t="shared" si="9"/>
        <v>0</v>
      </c>
      <c r="I75" s="265">
        <f t="shared" si="9"/>
        <v>0</v>
      </c>
      <c r="J75" s="265">
        <f t="shared" si="9"/>
        <v>0</v>
      </c>
      <c r="K75" s="265">
        <f t="shared" si="9"/>
        <v>0</v>
      </c>
      <c r="L75" s="265">
        <f t="shared" si="9"/>
        <v>0</v>
      </c>
      <c r="M75" s="265">
        <f t="shared" si="9"/>
        <v>0</v>
      </c>
      <c r="N75" s="265">
        <f t="shared" si="9"/>
        <v>0</v>
      </c>
      <c r="O75" s="265">
        <f t="shared" si="9"/>
        <v>0</v>
      </c>
      <c r="P75" s="265">
        <f t="shared" si="9"/>
        <v>0</v>
      </c>
      <c r="Q75" s="265">
        <f t="shared" si="9"/>
        <v>0</v>
      </c>
      <c r="R75" s="265">
        <f t="shared" si="9"/>
        <v>0</v>
      </c>
      <c r="S75" s="265">
        <f t="shared" si="9"/>
        <v>0</v>
      </c>
      <c r="T75" s="265">
        <f t="shared" si="9"/>
        <v>0</v>
      </c>
      <c r="U75" s="265">
        <f t="shared" si="9"/>
        <v>0</v>
      </c>
      <c r="V75" s="265">
        <f t="shared" si="9"/>
        <v>0</v>
      </c>
      <c r="W75" s="265">
        <f t="shared" si="9"/>
        <v>0</v>
      </c>
      <c r="X75" s="265">
        <f t="shared" si="9"/>
        <v>0</v>
      </c>
      <c r="Y75" s="265">
        <f t="shared" si="9"/>
        <v>0</v>
      </c>
      <c r="Z75" s="265">
        <f t="shared" si="9"/>
        <v>0</v>
      </c>
      <c r="AA75" s="265">
        <f t="shared" si="9"/>
        <v>0</v>
      </c>
      <c r="AB75" s="265">
        <f t="shared" si="9"/>
        <v>0</v>
      </c>
      <c r="AC75" s="265">
        <f t="shared" si="9"/>
        <v>0</v>
      </c>
      <c r="AD75" s="265">
        <f t="shared" si="9"/>
        <v>0</v>
      </c>
      <c r="AE75" s="265">
        <f t="shared" si="9"/>
        <v>0</v>
      </c>
    </row>
    <row r="76" spans="1:31" x14ac:dyDescent="0.2">
      <c r="A76" s="261" t="s">
        <v>255</v>
      </c>
      <c r="B76" s="266">
        <f t="shared" ref="B76:AE76" si="10">-B67</f>
        <v>0</v>
      </c>
      <c r="C76" s="266">
        <f t="shared" si="10"/>
        <v>0</v>
      </c>
      <c r="D76" s="266">
        <f t="shared" si="10"/>
        <v>0</v>
      </c>
      <c r="E76" s="266">
        <f t="shared" si="10"/>
        <v>0</v>
      </c>
      <c r="F76" s="266">
        <f t="shared" si="10"/>
        <v>0</v>
      </c>
      <c r="G76" s="266">
        <f t="shared" si="10"/>
        <v>0</v>
      </c>
      <c r="H76" s="266">
        <f t="shared" si="10"/>
        <v>0</v>
      </c>
      <c r="I76" s="266">
        <f t="shared" si="10"/>
        <v>0</v>
      </c>
      <c r="J76" s="266">
        <f t="shared" si="10"/>
        <v>0</v>
      </c>
      <c r="K76" s="266">
        <f t="shared" si="10"/>
        <v>0</v>
      </c>
      <c r="L76" s="266">
        <f t="shared" si="10"/>
        <v>0</v>
      </c>
      <c r="M76" s="266">
        <f t="shared" si="10"/>
        <v>0</v>
      </c>
      <c r="N76" s="266">
        <f t="shared" si="10"/>
        <v>0</v>
      </c>
      <c r="O76" s="266">
        <f t="shared" si="10"/>
        <v>0</v>
      </c>
      <c r="P76" s="266">
        <f t="shared" si="10"/>
        <v>0</v>
      </c>
      <c r="Q76" s="266">
        <f t="shared" si="10"/>
        <v>0</v>
      </c>
      <c r="R76" s="266">
        <f t="shared" si="10"/>
        <v>0</v>
      </c>
      <c r="S76" s="266">
        <f t="shared" si="10"/>
        <v>0</v>
      </c>
      <c r="T76" s="266">
        <f t="shared" si="10"/>
        <v>0</v>
      </c>
      <c r="U76" s="266">
        <f t="shared" si="10"/>
        <v>0</v>
      </c>
      <c r="V76" s="266">
        <f t="shared" si="10"/>
        <v>0</v>
      </c>
      <c r="W76" s="266">
        <f t="shared" si="10"/>
        <v>0</v>
      </c>
      <c r="X76" s="266">
        <f t="shared" si="10"/>
        <v>0</v>
      </c>
      <c r="Y76" s="266">
        <f t="shared" si="10"/>
        <v>0</v>
      </c>
      <c r="Z76" s="266">
        <f t="shared" si="10"/>
        <v>0</v>
      </c>
      <c r="AA76" s="266">
        <f t="shared" si="10"/>
        <v>0</v>
      </c>
      <c r="AB76" s="266">
        <f t="shared" si="10"/>
        <v>0</v>
      </c>
      <c r="AC76" s="266">
        <f t="shared" si="10"/>
        <v>0</v>
      </c>
      <c r="AD76" s="266">
        <f t="shared" si="10"/>
        <v>0</v>
      </c>
      <c r="AE76" s="266">
        <f t="shared" si="10"/>
        <v>0</v>
      </c>
    </row>
    <row r="77" spans="1:31" x14ac:dyDescent="0.2">
      <c r="A77" s="261" t="s">
        <v>254</v>
      </c>
      <c r="B77" s="266">
        <f t="shared" ref="B77:AE77" si="11">B69</f>
        <v>0</v>
      </c>
      <c r="C77" s="266">
        <f t="shared" si="11"/>
        <v>0</v>
      </c>
      <c r="D77" s="266">
        <f t="shared" si="11"/>
        <v>0</v>
      </c>
      <c r="E77" s="266">
        <f t="shared" si="11"/>
        <v>0</v>
      </c>
      <c r="F77" s="266">
        <f t="shared" si="11"/>
        <v>0</v>
      </c>
      <c r="G77" s="266">
        <f t="shared" si="11"/>
        <v>0</v>
      </c>
      <c r="H77" s="266">
        <f t="shared" si="11"/>
        <v>0</v>
      </c>
      <c r="I77" s="266">
        <f t="shared" si="11"/>
        <v>0</v>
      </c>
      <c r="J77" s="266">
        <f t="shared" si="11"/>
        <v>0</v>
      </c>
      <c r="K77" s="266">
        <f t="shared" si="11"/>
        <v>0</v>
      </c>
      <c r="L77" s="266">
        <f t="shared" si="11"/>
        <v>0</v>
      </c>
      <c r="M77" s="266">
        <f t="shared" si="11"/>
        <v>0</v>
      </c>
      <c r="N77" s="266">
        <f t="shared" si="11"/>
        <v>0</v>
      </c>
      <c r="O77" s="266">
        <f t="shared" si="11"/>
        <v>0</v>
      </c>
      <c r="P77" s="266">
        <f t="shared" si="11"/>
        <v>0</v>
      </c>
      <c r="Q77" s="266">
        <f t="shared" si="11"/>
        <v>0</v>
      </c>
      <c r="R77" s="266">
        <f t="shared" si="11"/>
        <v>0</v>
      </c>
      <c r="S77" s="266">
        <f t="shared" si="11"/>
        <v>0</v>
      </c>
      <c r="T77" s="266">
        <f t="shared" si="11"/>
        <v>0</v>
      </c>
      <c r="U77" s="266">
        <f t="shared" si="11"/>
        <v>0</v>
      </c>
      <c r="V77" s="266">
        <f t="shared" si="11"/>
        <v>0</v>
      </c>
      <c r="W77" s="266">
        <f t="shared" si="11"/>
        <v>0</v>
      </c>
      <c r="X77" s="266">
        <f t="shared" si="11"/>
        <v>0</v>
      </c>
      <c r="Y77" s="266">
        <f t="shared" si="11"/>
        <v>0</v>
      </c>
      <c r="Z77" s="266">
        <f t="shared" si="11"/>
        <v>0</v>
      </c>
      <c r="AA77" s="266">
        <f t="shared" si="11"/>
        <v>0</v>
      </c>
      <c r="AB77" s="266">
        <f t="shared" si="11"/>
        <v>0</v>
      </c>
      <c r="AC77" s="266">
        <f t="shared" si="11"/>
        <v>0</v>
      </c>
      <c r="AD77" s="266">
        <f t="shared" si="11"/>
        <v>0</v>
      </c>
      <c r="AE77" s="266">
        <f t="shared" si="11"/>
        <v>0</v>
      </c>
    </row>
    <row r="78" spans="1:31" x14ac:dyDescent="0.2">
      <c r="A78" s="261" t="s">
        <v>253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266">
        <f>IF(SUM($B$71:M71)+SUM($A$78:L78)&gt;0,0,SUM($B$71:M71)-SUM($A$78:L78))</f>
        <v>0</v>
      </c>
      <c r="N78" s="266">
        <f>IF(SUM($B$71:N71)+SUM($A$78:M78)&gt;0,0,SUM($B$71:N71)-SUM($A$78:M78))</f>
        <v>0</v>
      </c>
      <c r="O78" s="266">
        <f>IF(SUM($B$71:O71)+SUM($A$78:N78)&gt;0,0,SUM($B$71:O71)-SUM($A$78:N78))</f>
        <v>0</v>
      </c>
      <c r="P78" s="266">
        <f>IF(SUM($B$71:P71)+SUM($A$78:O78)&gt;0,0,SUM($B$71:P71)-SUM($A$78:O78))</f>
        <v>0</v>
      </c>
      <c r="Q78" s="266">
        <f>IF(SUM($B$71:Q71)+SUM($A$78:P78)&gt;0,0,SUM($B$71:Q71)-SUM($A$78:P78))</f>
        <v>0</v>
      </c>
      <c r="R78" s="266">
        <f>IF(SUM($B$71:R71)+SUM($A$78:Q78)&gt;0,0,SUM($B$71:R71)-SUM($A$78:Q78))</f>
        <v>0</v>
      </c>
      <c r="S78" s="266">
        <f>IF(SUM($B$71:S71)+SUM($A$78:R78)&gt;0,0,SUM($B$71:S71)-SUM($A$78:R78))</f>
        <v>0</v>
      </c>
      <c r="T78" s="266">
        <f>IF(SUM($B$71:T71)+SUM($A$78:S78)&gt;0,0,SUM($B$71:T71)-SUM($A$78:S78))</f>
        <v>0</v>
      </c>
      <c r="U78" s="266">
        <f>IF(SUM($B$71:U71)+SUM($A$78:T78)&gt;0,0,SUM($B$71:U71)-SUM($A$78:T78))</f>
        <v>0</v>
      </c>
      <c r="V78" s="266">
        <f>IF(SUM($B$71:V71)+SUM($A$78:U78)&gt;0,0,SUM($B$71:V71)-SUM($A$78:U78))</f>
        <v>0</v>
      </c>
      <c r="W78" s="266">
        <f>IF(SUM($B$71:W71)+SUM($A$78:V78)&gt;0,0,SUM($B$71:W71)-SUM($A$78:V78))</f>
        <v>0</v>
      </c>
      <c r="X78" s="266">
        <f>IF(SUM($B$71:X71)+SUM($A$78:W78)&gt;0,0,SUM($B$71:X71)-SUM($A$78:W78))</f>
        <v>0</v>
      </c>
      <c r="Y78" s="266">
        <f>IF(SUM($B$71:Y71)+SUM($A$78:X78)&gt;0,0,SUM($B$71:Y71)-SUM($A$78:X78))</f>
        <v>0</v>
      </c>
      <c r="Z78" s="266">
        <f>IF(SUM($B$71:Z71)+SUM($A$78:Y78)&gt;0,0,SUM($B$71:Z71)-SUM($A$78:Y78))</f>
        <v>0</v>
      </c>
      <c r="AA78" s="266">
        <f>IF(SUM($B$71:AA71)+SUM($A$78:Z78)&gt;0,0,SUM($B$71:AA71)-SUM($A$78:Z78))</f>
        <v>0</v>
      </c>
      <c r="AB78" s="266">
        <f>IF(SUM($B$71:AB71)+SUM($A$78:AA78)&gt;0,0,SUM($B$71:AB71)-SUM($A$78:AA78))</f>
        <v>0</v>
      </c>
      <c r="AC78" s="266">
        <f>IF(SUM($B$71:AC71)+SUM($A$78:AB78)&gt;0,0,SUM($B$71:AC71)-SUM($A$78:AB78))</f>
        <v>0</v>
      </c>
      <c r="AD78" s="266">
        <f>IF(SUM($B$71:AD71)+SUM($A$78:AC78)&gt;0,0,SUM($B$71:AD71)-SUM($A$78:AC78))</f>
        <v>0</v>
      </c>
      <c r="AE78" s="266">
        <f>IF(SUM($B$71:AE71)+SUM($A$78:AD78)&gt;0,0,SUM($B$71:AE71)-SUM($A$78:AD78))</f>
        <v>0</v>
      </c>
    </row>
    <row r="79" spans="1:31" x14ac:dyDescent="0.2">
      <c r="A79" s="261" t="s">
        <v>252</v>
      </c>
      <c r="B79" s="266">
        <f>IF(((SUM($B$58:B58)+SUM($B$60:B64))+SUM($B$81:B81))&lt;0,((SUM($B$58:B58)+SUM($B$60:B64))+SUM($B$81:B81))*0.2-SUM($A$79:A79),IF(SUM(A$79:$A79)&lt;0,0-SUM(A$79:$A79),0))</f>
        <v>0</v>
      </c>
      <c r="C79" s="266">
        <f>IF(((SUM($B$58:C58)+SUM($B$60:C64))+SUM($B$81:C81))&lt;0,((SUM($B$58:C58)+SUM($B$60:C64))+SUM($B$81:C81))*0.2-SUM($A$79:B79),IF(SUM($A$79:B79)&lt;0,0-SUM($A$79:B79),0))</f>
        <v>0</v>
      </c>
      <c r="D79" s="266">
        <f>IF(((SUM($B$58:D58)+SUM($B$60:D64))+SUM($B$81:D81))&lt;0,((SUM($B$58:D58)+SUM($B$60:D64))+SUM($B$81:D81))*0.2-SUM($A$79:C79),IF(SUM($A$79:C79)&lt;0,0-SUM($A$79:C79),0))</f>
        <v>0</v>
      </c>
      <c r="E79" s="266">
        <f>IF(((SUM($B$58:E58)+SUM($B$60:E64))+SUM($B$81:E81))&lt;0,((SUM($B$58:E58)+SUM($B$60:E64))+SUM($B$81:E81))*0.2-SUM($A$79:D79),IF(SUM($A$79:D79)&lt;0,0-SUM($A$79:D79),0))</f>
        <v>0</v>
      </c>
      <c r="F79" s="266">
        <f>IF(((SUM($B$58:F58)+SUM($B$60:F64))+SUM($B$81:F81))&lt;0,((SUM($B$58:F58)+SUM($B$60:F64))+SUM($B$81:F81))*0.2-SUM($A$79:E79),IF(SUM($A$79:E79)&lt;0,0-SUM($A$79:E79),0))</f>
        <v>0</v>
      </c>
      <c r="G79" s="266">
        <f>IF(((SUM($B$58:G58)+SUM($B$60:G64))+SUM($B$81:G81))&lt;0,((SUM($B$58:G58)+SUM($B$60:G64))+SUM($B$81:G81))*0.2-SUM($A$79:F79),IF(SUM($A$79:F79)&lt;0,0-SUM($A$79:F79),0))</f>
        <v>0</v>
      </c>
      <c r="H79" s="266">
        <f>IF(((SUM($B$58:H58)+SUM($B$60:H64))+SUM($B$81:H81))&lt;0,((SUM($B$58:H58)+SUM($B$60:H64))+SUM($B$81:H81))*0.2-SUM($A$79:G79),IF(SUM($A$79:G79)&lt;0,0-SUM($A$79:G79),0))</f>
        <v>0</v>
      </c>
      <c r="I79" s="266">
        <f>IF(((SUM($B$58:I58)+SUM($B$60:I64))+SUM($B$81:I81))&lt;0,((SUM($B$58:I58)+SUM($B$60:I64))+SUM($B$81:I81))*0.2-SUM($A$79:H79),IF(SUM($A$79:H79)&lt;0,0-SUM($A$79:H79),0))</f>
        <v>0</v>
      </c>
      <c r="J79" s="266">
        <f>IF(((SUM($B$58:J58)+SUM($B$60:J64))+SUM($B$81:J81))&lt;0,((SUM($B$58:J58)+SUM($B$60:J64))+SUM($B$81:J81))*0.2-SUM($A$79:I79),IF(SUM($A$79:I79)&lt;0,0-SUM($A$79:I79),0))</f>
        <v>0</v>
      </c>
      <c r="K79" s="266">
        <f>IF(((SUM($B$58:K58)+SUM($B$60:K64))+SUM($B$81:K81))&lt;0,((SUM($B$58:K58)+SUM($B$60:K64))+SUM($B$81:K81))*0.2-SUM($A$79:J79),IF(SUM($A$79:J79)&lt;0,0-SUM($A$79:J79),0))</f>
        <v>0</v>
      </c>
      <c r="L79" s="266">
        <f>IF(((SUM($B$58:L58)+SUM($B$60:L64))+SUM($B$81:L81))&lt;0,((SUM($B$58:L58)+SUM($B$60:L64))+SUM($B$81:L81))*0.2-SUM($A$79:K79),IF(SUM($A$79:K79)&lt;0,0-SUM($A$79:K79),0))</f>
        <v>0</v>
      </c>
      <c r="M79" s="266">
        <f>IF(((SUM($B$58:M58)+SUM($B$60:M64))+SUM($B$81:M81))&lt;0,((SUM($B$58:M58)+SUM($B$60:M64))+SUM($B$81:M81))*0.2-SUM($A$79:L79),IF(SUM($A$79:L79)&lt;0,0-SUM($A$79:L79),0))</f>
        <v>0</v>
      </c>
      <c r="N79" s="266">
        <f>IF(((SUM($B$58:N58)+SUM($B$60:N64))+SUM($B$81:N81))&lt;0,((SUM($B$58:N58)+SUM($B$60:N64))+SUM($B$81:N81))*0.2-SUM($A$79:M79),IF(SUM($A$79:M79)&lt;0,0-SUM($A$79:M79),0))</f>
        <v>0</v>
      </c>
      <c r="O79" s="266">
        <f>IF(((SUM($B$58:O58)+SUM($B$60:O64))+SUM($B$81:O81))&lt;0,((SUM($B$58:O58)+SUM($B$60:O64))+SUM($B$81:O81))*0.2-SUM($A$79:N79),IF(SUM($A$79:N79)&lt;0,0-SUM($A$79:N79),0))</f>
        <v>0</v>
      </c>
      <c r="P79" s="266">
        <f>IF(((SUM($B$58:P58)+SUM($B$60:P64))+SUM($B$81:P81))&lt;0,((SUM($B$58:P58)+SUM($B$60:P64))+SUM($B$81:P81))*0.2-SUM($A$79:O79),IF(SUM($A$79:O79)&lt;0,0-SUM($A$79:O79),0))</f>
        <v>0</v>
      </c>
      <c r="Q79" s="266">
        <f>IF(((SUM($B$58:Q58)+SUM($B$60:Q64))+SUM($B$81:Q81))&lt;0,((SUM($B$58:Q58)+SUM($B$60:Q64))+SUM($B$81:Q81))*0.2-SUM($A$79:P79),IF(SUM($A$79:P79)&lt;0,0-SUM($A$79:P79),0))</f>
        <v>0</v>
      </c>
      <c r="R79" s="266">
        <f>IF(((SUM($B$58:R58)+SUM($B$60:R64))+SUM($B$81:R81))&lt;0,((SUM($B$58:R58)+SUM($B$60:R64))+SUM($B$81:R81))*0.2-SUM($A$79:Q79),IF(SUM($A$79:Q79)&lt;0,0-SUM($A$79:Q79),0))</f>
        <v>0</v>
      </c>
      <c r="S79" s="266">
        <f>IF(((SUM($B$58:S58)+SUM($B$60:S64))+SUM($B$81:S81))&lt;0,((SUM($B$58:S58)+SUM($B$60:S64))+SUM($B$81:S81))*0.2-SUM($A$79:R79),IF(SUM($A$79:R79)&lt;0,0-SUM($A$79:R79),0))</f>
        <v>0</v>
      </c>
      <c r="T79" s="266">
        <f>IF(((SUM($B$58:T58)+SUM($B$60:T64))+SUM($B$81:T81))&lt;0,((SUM($B$58:T58)+SUM($B$60:T64))+SUM($B$81:T81))*0.2-SUM($A$79:S79),IF(SUM($A$79:S79)&lt;0,0-SUM($A$79:S79),0))</f>
        <v>0</v>
      </c>
      <c r="U79" s="266">
        <f>IF(((SUM($B$58:U58)+SUM($B$60:U64))+SUM($B$81:U81))&lt;0,((SUM($B$58:U58)+SUM($B$60:U64))+SUM($B$81:U81))*0.2-SUM($A$79:T79),IF(SUM($A$79:T79)&lt;0,0-SUM($A$79:T79),0))</f>
        <v>0</v>
      </c>
      <c r="V79" s="266">
        <f>IF(((SUM($B$58:V58)+SUM($B$60:V64))+SUM($B$81:V81))&lt;0,((SUM($B$58:V58)+SUM($B$60:V64))+SUM($B$81:V81))*0.2-SUM($A$79:U79),IF(SUM($A$79:U79)&lt;0,0-SUM($A$79:U79),0))</f>
        <v>0</v>
      </c>
      <c r="W79" s="266">
        <f>IF(((SUM($B$58:W58)+SUM($B$60:W64))+SUM($B$81:W81))&lt;0,((SUM($B$58:W58)+SUM($B$60:W64))+SUM($B$81:W81))*0.2-SUM($A$79:V79),IF(SUM($A$79:V79)&lt;0,0-SUM($A$79:V79),0))</f>
        <v>0</v>
      </c>
      <c r="X79" s="266">
        <f>IF(((SUM($B$58:X58)+SUM($B$60:X64))+SUM($B$81:X81))&lt;0,((SUM($B$58:X58)+SUM($B$60:X64))+SUM($B$81:X81))*0.2-SUM($A$79:W79),IF(SUM($A$79:W79)&lt;0,0-SUM($A$79:W79),0))</f>
        <v>0</v>
      </c>
      <c r="Y79" s="266">
        <f>IF(((SUM($B$58:Y58)+SUM($B$60:Y64))+SUM($B$81:Y81))&lt;0,((SUM($B$58:Y58)+SUM($B$60:Y64))+SUM($B$81:Y81))*0.2-SUM($A$79:X79),IF(SUM($A$79:X79)&lt;0,0-SUM($A$79:X79),0))</f>
        <v>0</v>
      </c>
      <c r="Z79" s="266">
        <f>IF(((SUM($B$58:Z58)+SUM($B$60:Z64))+SUM($B$81:Z81))&lt;0,((SUM($B$58:Z58)+SUM($B$60:Z64))+SUM($B$81:Z81))*0.2-SUM($A$79:Y79),IF(SUM($A$79:Y79)&lt;0,0-SUM($A$79:Y79),0))</f>
        <v>0</v>
      </c>
      <c r="AA79" s="266">
        <f>IF(((SUM($B$58:AA58)+SUM($B$60:AA64))+SUM($B$81:AA81))&lt;0,((SUM($B$58:AA58)+SUM($B$60:AA64))+SUM($B$81:AA81))*0.2-SUM($A$79:Z79),IF(SUM($A$79:Z79)&lt;0,0-SUM($A$79:Z79),0))</f>
        <v>0</v>
      </c>
      <c r="AB79" s="266">
        <f>IF(((SUM($B$58:AB58)+SUM($B$60:AB64))+SUM($B$81:AB81))&lt;0,((SUM($B$58:AB58)+SUM($B$60:AB64))+SUM($B$81:AB81))*0.2-SUM($A$79:AA79),IF(SUM($A$79:AA79)&lt;0,0-SUM($A$79:AA79),0))</f>
        <v>0</v>
      </c>
      <c r="AC79" s="266">
        <f>IF(((SUM($B$58:AC58)+SUM($B$60:AC64))+SUM($B$81:AC81))&lt;0,((SUM($B$58:AC58)+SUM($B$60:AC64))+SUM($B$81:AC81))*0.2-SUM($A$79:AB79),IF(SUM($A$79:AB79)&lt;0,0-SUM($A$79:AB79),0))</f>
        <v>0</v>
      </c>
      <c r="AD79" s="266">
        <f>IF(((SUM($B$58:AD58)+SUM($B$60:AD64))+SUM($B$81:AD81))&lt;0,((SUM($B$58:AD58)+SUM($B$60:AD64))+SUM($B$81:AD81))*0.2-SUM($A$79:AC79),IF(SUM($A$79:AC79)&lt;0,0-SUM($A$79:AC79),0))</f>
        <v>0</v>
      </c>
      <c r="AE79" s="266">
        <f>IF(((SUM($B$58:AE58)+SUM($B$60:AE64))+SUM($B$81:AE81))&lt;0,((SUM($B$58:AE58)+SUM($B$60:AE64))+SUM($B$81:AE81))*0.2-SUM($A$79:AD79),IF(SUM($A$79:AD79)&lt;0,0-SUM($A$79:AD79),0))</f>
        <v>0</v>
      </c>
    </row>
    <row r="80" spans="1:31" x14ac:dyDescent="0.2">
      <c r="A80" s="261" t="s">
        <v>251</v>
      </c>
      <c r="B80" s="266">
        <f>-B58*($B$38)</f>
        <v>0</v>
      </c>
      <c r="C80" s="266">
        <f t="shared" ref="C80:AE80" si="12">-C58*($B$38)</f>
        <v>0</v>
      </c>
      <c r="D80" s="266">
        <f t="shared" si="12"/>
        <v>0</v>
      </c>
      <c r="E80" s="266">
        <f t="shared" si="12"/>
        <v>0</v>
      </c>
      <c r="F80" s="266">
        <f t="shared" si="12"/>
        <v>0</v>
      </c>
      <c r="G80" s="266">
        <f t="shared" si="12"/>
        <v>0</v>
      </c>
      <c r="H80" s="266">
        <f t="shared" si="12"/>
        <v>0</v>
      </c>
      <c r="I80" s="266">
        <f t="shared" si="12"/>
        <v>0</v>
      </c>
      <c r="J80" s="266">
        <f t="shared" si="12"/>
        <v>0</v>
      </c>
      <c r="K80" s="266">
        <f t="shared" si="12"/>
        <v>0</v>
      </c>
      <c r="L80" s="266">
        <f t="shared" si="12"/>
        <v>0</v>
      </c>
      <c r="M80" s="266">
        <f t="shared" si="12"/>
        <v>0</v>
      </c>
      <c r="N80" s="266">
        <f t="shared" si="12"/>
        <v>0</v>
      </c>
      <c r="O80" s="266">
        <f t="shared" si="12"/>
        <v>0</v>
      </c>
      <c r="P80" s="266">
        <f t="shared" si="12"/>
        <v>0</v>
      </c>
      <c r="Q80" s="266">
        <f t="shared" si="12"/>
        <v>0</v>
      </c>
      <c r="R80" s="266">
        <f t="shared" si="12"/>
        <v>0</v>
      </c>
      <c r="S80" s="266">
        <f t="shared" si="12"/>
        <v>0</v>
      </c>
      <c r="T80" s="266">
        <f t="shared" si="12"/>
        <v>0</v>
      </c>
      <c r="U80" s="266">
        <f t="shared" si="12"/>
        <v>0</v>
      </c>
      <c r="V80" s="266">
        <f t="shared" si="12"/>
        <v>0</v>
      </c>
      <c r="W80" s="266">
        <f t="shared" si="12"/>
        <v>0</v>
      </c>
      <c r="X80" s="266">
        <f t="shared" si="12"/>
        <v>0</v>
      </c>
      <c r="Y80" s="266">
        <f t="shared" si="12"/>
        <v>0</v>
      </c>
      <c r="Z80" s="266">
        <f t="shared" si="12"/>
        <v>0</v>
      </c>
      <c r="AA80" s="266">
        <f t="shared" si="12"/>
        <v>0</v>
      </c>
      <c r="AB80" s="266">
        <f t="shared" si="12"/>
        <v>0</v>
      </c>
      <c r="AC80" s="266">
        <f t="shared" si="12"/>
        <v>0</v>
      </c>
      <c r="AD80" s="266">
        <f t="shared" si="12"/>
        <v>0</v>
      </c>
      <c r="AE80" s="266">
        <f t="shared" si="12"/>
        <v>0</v>
      </c>
    </row>
    <row r="81" spans="1:31" x14ac:dyDescent="0.2">
      <c r="A81" s="261" t="s">
        <v>433</v>
      </c>
      <c r="B81" s="272">
        <f>-'6.2. Паспорт фин осв ввод'!V24*1000000</f>
        <v>0</v>
      </c>
      <c r="C81" s="272">
        <f>-'6.2. Паспорт фин осв ввод'!Z24*1000000</f>
        <v>0</v>
      </c>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row>
    <row r="82" spans="1:31" x14ac:dyDescent="0.2">
      <c r="A82" s="261" t="s">
        <v>250</v>
      </c>
      <c r="B82" s="263">
        <v>0</v>
      </c>
      <c r="C82" s="263">
        <v>0</v>
      </c>
      <c r="D82" s="263">
        <v>0</v>
      </c>
      <c r="E82" s="263">
        <v>0</v>
      </c>
      <c r="F82" s="263">
        <v>0</v>
      </c>
      <c r="G82" s="263">
        <v>0</v>
      </c>
      <c r="H82" s="263">
        <v>0</v>
      </c>
      <c r="I82" s="263">
        <v>0</v>
      </c>
      <c r="J82" s="263">
        <v>0</v>
      </c>
      <c r="K82" s="263">
        <v>0</v>
      </c>
      <c r="L82" s="263">
        <v>0</v>
      </c>
      <c r="M82" s="263">
        <v>0</v>
      </c>
      <c r="N82" s="263">
        <v>0</v>
      </c>
      <c r="O82" s="263">
        <v>0</v>
      </c>
      <c r="P82" s="263">
        <v>0</v>
      </c>
      <c r="Q82" s="263">
        <v>0</v>
      </c>
      <c r="R82" s="263">
        <v>0</v>
      </c>
      <c r="S82" s="263">
        <v>0</v>
      </c>
      <c r="T82" s="263">
        <v>0</v>
      </c>
      <c r="U82" s="263">
        <v>0</v>
      </c>
      <c r="V82" s="263">
        <v>0</v>
      </c>
      <c r="W82" s="263">
        <v>0</v>
      </c>
      <c r="X82" s="263">
        <v>0</v>
      </c>
      <c r="Y82" s="263">
        <v>0</v>
      </c>
      <c r="Z82" s="263">
        <v>0</v>
      </c>
      <c r="AA82" s="263">
        <v>0</v>
      </c>
      <c r="AB82" s="263">
        <v>0</v>
      </c>
      <c r="AC82" s="263">
        <v>0</v>
      </c>
      <c r="AD82" s="263">
        <v>0</v>
      </c>
      <c r="AE82" s="263">
        <v>0</v>
      </c>
    </row>
    <row r="83" spans="1:31" x14ac:dyDescent="0.2">
      <c r="A83" s="264" t="s">
        <v>249</v>
      </c>
      <c r="B83" s="265">
        <f t="shared" ref="B83:AE83" si="13">SUM(B75:B82)</f>
        <v>0</v>
      </c>
      <c r="C83" s="265">
        <f t="shared" si="13"/>
        <v>0</v>
      </c>
      <c r="D83" s="265">
        <f t="shared" si="13"/>
        <v>0</v>
      </c>
      <c r="E83" s="265">
        <f t="shared" si="13"/>
        <v>0</v>
      </c>
      <c r="F83" s="265">
        <f t="shared" si="13"/>
        <v>0</v>
      </c>
      <c r="G83" s="265">
        <f t="shared" si="13"/>
        <v>0</v>
      </c>
      <c r="H83" s="265">
        <f t="shared" si="13"/>
        <v>0</v>
      </c>
      <c r="I83" s="265">
        <f t="shared" si="13"/>
        <v>0</v>
      </c>
      <c r="J83" s="265">
        <f t="shared" si="13"/>
        <v>0</v>
      </c>
      <c r="K83" s="265">
        <f t="shared" si="13"/>
        <v>0</v>
      </c>
      <c r="L83" s="265">
        <f t="shared" si="13"/>
        <v>0</v>
      </c>
      <c r="M83" s="265">
        <f t="shared" si="13"/>
        <v>0</v>
      </c>
      <c r="N83" s="265">
        <f t="shared" si="13"/>
        <v>0</v>
      </c>
      <c r="O83" s="265">
        <f t="shared" si="13"/>
        <v>0</v>
      </c>
      <c r="P83" s="265">
        <f t="shared" si="13"/>
        <v>0</v>
      </c>
      <c r="Q83" s="265">
        <f t="shared" si="13"/>
        <v>0</v>
      </c>
      <c r="R83" s="265">
        <f t="shared" si="13"/>
        <v>0</v>
      </c>
      <c r="S83" s="265">
        <f t="shared" si="13"/>
        <v>0</v>
      </c>
      <c r="T83" s="265">
        <f t="shared" si="13"/>
        <v>0</v>
      </c>
      <c r="U83" s="265">
        <f t="shared" si="13"/>
        <v>0</v>
      </c>
      <c r="V83" s="265">
        <f t="shared" si="13"/>
        <v>0</v>
      </c>
      <c r="W83" s="265">
        <f t="shared" si="13"/>
        <v>0</v>
      </c>
      <c r="X83" s="265">
        <f t="shared" si="13"/>
        <v>0</v>
      </c>
      <c r="Y83" s="265">
        <f t="shared" si="13"/>
        <v>0</v>
      </c>
      <c r="Z83" s="265">
        <f t="shared" si="13"/>
        <v>0</v>
      </c>
      <c r="AA83" s="265">
        <f t="shared" si="13"/>
        <v>0</v>
      </c>
      <c r="AB83" s="265">
        <f t="shared" si="13"/>
        <v>0</v>
      </c>
      <c r="AC83" s="265">
        <f t="shared" si="13"/>
        <v>0</v>
      </c>
      <c r="AD83" s="265">
        <f t="shared" si="13"/>
        <v>0</v>
      </c>
      <c r="AE83" s="265">
        <f t="shared" si="13"/>
        <v>0</v>
      </c>
    </row>
    <row r="84" spans="1:31" x14ac:dyDescent="0.2">
      <c r="A84" s="264" t="s">
        <v>609</v>
      </c>
      <c r="B84" s="265">
        <f>SUM($B$83:B83)</f>
        <v>0</v>
      </c>
      <c r="C84" s="265">
        <f>SUM($B$83:C83)</f>
        <v>0</v>
      </c>
      <c r="D84" s="265">
        <f>SUM($B$83:D83)</f>
        <v>0</v>
      </c>
      <c r="E84" s="265">
        <f>SUM($B$83:E83)</f>
        <v>0</v>
      </c>
      <c r="F84" s="265">
        <f>SUM($B$83:F83)</f>
        <v>0</v>
      </c>
      <c r="G84" s="265">
        <f>SUM($B$83:G83)</f>
        <v>0</v>
      </c>
      <c r="H84" s="265">
        <f>SUM($B$83:H83)</f>
        <v>0</v>
      </c>
      <c r="I84" s="265">
        <f>SUM($B$83:I83)</f>
        <v>0</v>
      </c>
      <c r="J84" s="265">
        <f>SUM($B$83:J83)</f>
        <v>0</v>
      </c>
      <c r="K84" s="265">
        <f>SUM($B$83:K83)</f>
        <v>0</v>
      </c>
      <c r="L84" s="265">
        <f>SUM($B$83:L83)</f>
        <v>0</v>
      </c>
      <c r="M84" s="265">
        <f>SUM($B$83:M83)</f>
        <v>0</v>
      </c>
      <c r="N84" s="265">
        <f>SUM($B$83:N83)</f>
        <v>0</v>
      </c>
      <c r="O84" s="265">
        <f>SUM($B$83:O83)</f>
        <v>0</v>
      </c>
      <c r="P84" s="265">
        <f>SUM($B$83:P83)</f>
        <v>0</v>
      </c>
      <c r="Q84" s="265">
        <f>SUM($B$83:Q83)</f>
        <v>0</v>
      </c>
      <c r="R84" s="265">
        <f>SUM($B$83:R83)</f>
        <v>0</v>
      </c>
      <c r="S84" s="265">
        <f>SUM($B$83:S83)</f>
        <v>0</v>
      </c>
      <c r="T84" s="265">
        <f>SUM($B$83:T83)</f>
        <v>0</v>
      </c>
      <c r="U84" s="265">
        <f>SUM($B$83:U83)</f>
        <v>0</v>
      </c>
      <c r="V84" s="265">
        <f>SUM($B$83:V83)</f>
        <v>0</v>
      </c>
      <c r="W84" s="265">
        <f>SUM($B$83:W83)</f>
        <v>0</v>
      </c>
      <c r="X84" s="265">
        <f>SUM($B$83:X83)</f>
        <v>0</v>
      </c>
      <c r="Y84" s="265">
        <f>SUM($B$83:Y83)</f>
        <v>0</v>
      </c>
      <c r="Z84" s="265">
        <f>SUM($B$83:Z83)</f>
        <v>0</v>
      </c>
      <c r="AA84" s="265">
        <f>SUM($B$83:AA83)</f>
        <v>0</v>
      </c>
      <c r="AB84" s="265">
        <f>SUM($B$83:AB83)</f>
        <v>0</v>
      </c>
      <c r="AC84" s="265">
        <f>SUM($B$83:AC83)</f>
        <v>0</v>
      </c>
      <c r="AD84" s="265">
        <f>SUM($B$83:AD83)</f>
        <v>0</v>
      </c>
      <c r="AE84" s="265">
        <f>SUM($B$83:AE83)</f>
        <v>0</v>
      </c>
    </row>
    <row r="85" spans="1:31" x14ac:dyDescent="0.2">
      <c r="A85" s="273" t="s">
        <v>434</v>
      </c>
      <c r="B85" s="274">
        <f t="shared" ref="B85:AE85" si="14">1/POWER((1+$B$43),B73)</f>
        <v>0.95402649883562884</v>
      </c>
      <c r="C85" s="274">
        <f t="shared" si="14"/>
        <v>0.86832301705254278</v>
      </c>
      <c r="D85" s="274">
        <f t="shared" si="14"/>
        <v>0.79031857381682236</v>
      </c>
      <c r="E85" s="274">
        <f t="shared" si="14"/>
        <v>0.71932153801476506</v>
      </c>
      <c r="F85" s="274">
        <f t="shared" si="14"/>
        <v>0.65470241013449082</v>
      </c>
      <c r="G85" s="274">
        <f t="shared" si="14"/>
        <v>0.59588824077044755</v>
      </c>
      <c r="H85" s="274">
        <f t="shared" si="14"/>
        <v>0.54235755053285484</v>
      </c>
      <c r="I85" s="274">
        <f t="shared" si="14"/>
        <v>0.49363570631915432</v>
      </c>
      <c r="J85" s="274">
        <f t="shared" si="14"/>
        <v>0.44929071295090039</v>
      </c>
      <c r="K85" s="274">
        <f t="shared" si="14"/>
        <v>0.40892938286238317</v>
      </c>
      <c r="L85" s="274">
        <f t="shared" si="14"/>
        <v>0.37219384987929666</v>
      </c>
      <c r="M85" s="274">
        <f t="shared" si="14"/>
        <v>0.3387583961766602</v>
      </c>
      <c r="N85" s="274">
        <f t="shared" si="14"/>
        <v>0.30832656428202437</v>
      </c>
      <c r="O85" s="274">
        <f t="shared" si="14"/>
        <v>0.28062852851736092</v>
      </c>
      <c r="P85" s="274">
        <f t="shared" si="14"/>
        <v>0.25541870257336935</v>
      </c>
      <c r="Q85" s="274">
        <f t="shared" si="14"/>
        <v>0.23247356200361272</v>
      </c>
      <c r="R85" s="274">
        <f t="shared" si="14"/>
        <v>0.21158966233149432</v>
      </c>
      <c r="S85" s="274">
        <f t="shared" si="14"/>
        <v>0.19258183519750091</v>
      </c>
      <c r="T85" s="274">
        <f t="shared" si="14"/>
        <v>0.17528154655274497</v>
      </c>
      <c r="U85" s="274">
        <f t="shared" si="14"/>
        <v>0.15953540234162647</v>
      </c>
      <c r="V85" s="274">
        <f t="shared" si="14"/>
        <v>0.14520378842416171</v>
      </c>
      <c r="W85" s="274">
        <f t="shared" si="14"/>
        <v>0.13215963267876735</v>
      </c>
      <c r="X85" s="274">
        <f t="shared" si="14"/>
        <v>0.12028727830960895</v>
      </c>
      <c r="Y85" s="274">
        <f t="shared" si="14"/>
        <v>0.10948145836862559</v>
      </c>
      <c r="Z85" s="274">
        <f t="shared" si="14"/>
        <v>9.9646362399768443E-2</v>
      </c>
      <c r="AA85" s="274">
        <f t="shared" si="14"/>
        <v>9.0694786929797461E-2</v>
      </c>
      <c r="AB85" s="274">
        <f t="shared" si="14"/>
        <v>8.2547362273411681E-2</v>
      </c>
      <c r="AC85" s="274">
        <f t="shared" si="14"/>
        <v>7.5131848797134526E-2</v>
      </c>
      <c r="AD85" s="274">
        <f t="shared" si="14"/>
        <v>6.8382496402234039E-2</v>
      </c>
      <c r="AE85" s="274">
        <f t="shared" si="14"/>
        <v>6.2239461547496142E-2</v>
      </c>
    </row>
    <row r="86" spans="1:31" x14ac:dyDescent="0.2">
      <c r="A86" s="271" t="s">
        <v>610</v>
      </c>
      <c r="B86" s="265">
        <f t="shared" ref="B86:AE86" si="15">B83*B85</f>
        <v>0</v>
      </c>
      <c r="C86" s="265">
        <f t="shared" si="15"/>
        <v>0</v>
      </c>
      <c r="D86" s="265">
        <f t="shared" si="15"/>
        <v>0</v>
      </c>
      <c r="E86" s="265">
        <f t="shared" si="15"/>
        <v>0</v>
      </c>
      <c r="F86" s="265">
        <f t="shared" si="15"/>
        <v>0</v>
      </c>
      <c r="G86" s="265">
        <f t="shared" si="15"/>
        <v>0</v>
      </c>
      <c r="H86" s="265">
        <f t="shared" si="15"/>
        <v>0</v>
      </c>
      <c r="I86" s="265">
        <f t="shared" si="15"/>
        <v>0</v>
      </c>
      <c r="J86" s="265">
        <f t="shared" si="15"/>
        <v>0</v>
      </c>
      <c r="K86" s="265">
        <f t="shared" si="15"/>
        <v>0</v>
      </c>
      <c r="L86" s="265">
        <f t="shared" si="15"/>
        <v>0</v>
      </c>
      <c r="M86" s="265">
        <f t="shared" si="15"/>
        <v>0</v>
      </c>
      <c r="N86" s="265">
        <f t="shared" si="15"/>
        <v>0</v>
      </c>
      <c r="O86" s="265">
        <f t="shared" si="15"/>
        <v>0</v>
      </c>
      <c r="P86" s="265">
        <f t="shared" si="15"/>
        <v>0</v>
      </c>
      <c r="Q86" s="265">
        <f t="shared" si="15"/>
        <v>0</v>
      </c>
      <c r="R86" s="265">
        <f t="shared" si="15"/>
        <v>0</v>
      </c>
      <c r="S86" s="265">
        <f t="shared" si="15"/>
        <v>0</v>
      </c>
      <c r="T86" s="265">
        <f t="shared" si="15"/>
        <v>0</v>
      </c>
      <c r="U86" s="265">
        <f t="shared" si="15"/>
        <v>0</v>
      </c>
      <c r="V86" s="265">
        <f t="shared" si="15"/>
        <v>0</v>
      </c>
      <c r="W86" s="265">
        <f t="shared" si="15"/>
        <v>0</v>
      </c>
      <c r="X86" s="265">
        <f t="shared" si="15"/>
        <v>0</v>
      </c>
      <c r="Y86" s="265">
        <f t="shared" si="15"/>
        <v>0</v>
      </c>
      <c r="Z86" s="265">
        <f t="shared" si="15"/>
        <v>0</v>
      </c>
      <c r="AA86" s="265">
        <f t="shared" si="15"/>
        <v>0</v>
      </c>
      <c r="AB86" s="265">
        <f t="shared" si="15"/>
        <v>0</v>
      </c>
      <c r="AC86" s="265">
        <f t="shared" si="15"/>
        <v>0</v>
      </c>
      <c r="AD86" s="265">
        <f t="shared" si="15"/>
        <v>0</v>
      </c>
      <c r="AE86" s="265">
        <f t="shared" si="15"/>
        <v>0</v>
      </c>
    </row>
    <row r="87" spans="1:31" x14ac:dyDescent="0.2">
      <c r="A87" s="271" t="s">
        <v>611</v>
      </c>
      <c r="B87" s="265">
        <f>SUM($B$86:B86)</f>
        <v>0</v>
      </c>
      <c r="C87" s="265">
        <f>SUM($B$86:C86)</f>
        <v>0</v>
      </c>
      <c r="D87" s="265">
        <f>SUM($B$86:D86)</f>
        <v>0</v>
      </c>
      <c r="E87" s="265">
        <f>SUM($B$86:E86)</f>
        <v>0</v>
      </c>
      <c r="F87" s="265">
        <f>SUM($B$86:F86)</f>
        <v>0</v>
      </c>
      <c r="G87" s="265">
        <f>SUM($B$86:G86)</f>
        <v>0</v>
      </c>
      <c r="H87" s="265">
        <f>SUM($B$86:H86)</f>
        <v>0</v>
      </c>
      <c r="I87" s="265">
        <f>SUM($B$86:I86)</f>
        <v>0</v>
      </c>
      <c r="J87" s="265">
        <f>SUM($B$86:J86)</f>
        <v>0</v>
      </c>
      <c r="K87" s="265">
        <f>SUM($B$86:K86)</f>
        <v>0</v>
      </c>
      <c r="L87" s="265">
        <f>SUM($B$86:L86)</f>
        <v>0</v>
      </c>
      <c r="M87" s="265">
        <f>SUM($B$86:M86)</f>
        <v>0</v>
      </c>
      <c r="N87" s="265">
        <f>SUM($B$86:N86)</f>
        <v>0</v>
      </c>
      <c r="O87" s="265">
        <f>SUM($B$86:O86)</f>
        <v>0</v>
      </c>
      <c r="P87" s="265">
        <f>SUM($B$86:P86)</f>
        <v>0</v>
      </c>
      <c r="Q87" s="265">
        <f>SUM($B$86:Q86)</f>
        <v>0</v>
      </c>
      <c r="R87" s="265">
        <f>SUM($B$86:R86)</f>
        <v>0</v>
      </c>
      <c r="S87" s="265">
        <f>SUM($B$86:S86)</f>
        <v>0</v>
      </c>
      <c r="T87" s="265">
        <f>SUM($B$86:T86)</f>
        <v>0</v>
      </c>
      <c r="U87" s="265">
        <f>SUM($B$86:U86)</f>
        <v>0</v>
      </c>
      <c r="V87" s="265">
        <f>SUM($B$86:V86)</f>
        <v>0</v>
      </c>
      <c r="W87" s="265">
        <f>SUM($B$86:W86)</f>
        <v>0</v>
      </c>
      <c r="X87" s="265">
        <f>SUM($B$86:X86)</f>
        <v>0</v>
      </c>
      <c r="Y87" s="265">
        <f>SUM($B$86:Y86)</f>
        <v>0</v>
      </c>
      <c r="Z87" s="265">
        <f>SUM($B$86:Z86)</f>
        <v>0</v>
      </c>
      <c r="AA87" s="265">
        <f>SUM($B$86:AA86)</f>
        <v>0</v>
      </c>
      <c r="AB87" s="265">
        <f>SUM($B$86:AB86)</f>
        <v>0</v>
      </c>
      <c r="AC87" s="265">
        <f>SUM($B$86:AC86)</f>
        <v>0</v>
      </c>
      <c r="AD87" s="265">
        <f>SUM($B$86:AD86)</f>
        <v>0</v>
      </c>
      <c r="AE87" s="265">
        <f>SUM($B$86:AE86)</f>
        <v>0</v>
      </c>
    </row>
    <row r="88" spans="1:31" x14ac:dyDescent="0.2">
      <c r="A88" s="271" t="s">
        <v>612</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row>
    <row r="89" spans="1:31" x14ac:dyDescent="0.2">
      <c r="A89" s="271" t="s">
        <v>613</v>
      </c>
      <c r="B89" s="276">
        <f t="shared" ref="B89:AE89" si="16">IF(AND(B84&gt;0,A84&lt;0),(B74-(B84/(B84-A84))),0)</f>
        <v>0</v>
      </c>
      <c r="C89" s="276">
        <f t="shared" si="16"/>
        <v>0</v>
      </c>
      <c r="D89" s="276">
        <f t="shared" si="16"/>
        <v>0</v>
      </c>
      <c r="E89" s="276">
        <f t="shared" si="16"/>
        <v>0</v>
      </c>
      <c r="F89" s="276">
        <f t="shared" si="16"/>
        <v>0</v>
      </c>
      <c r="G89" s="276">
        <f t="shared" si="16"/>
        <v>0</v>
      </c>
      <c r="H89" s="276">
        <f t="shared" si="16"/>
        <v>0</v>
      </c>
      <c r="I89" s="276">
        <f t="shared" si="16"/>
        <v>0</v>
      </c>
      <c r="J89" s="276">
        <f t="shared" si="16"/>
        <v>0</v>
      </c>
      <c r="K89" s="276">
        <f t="shared" si="16"/>
        <v>0</v>
      </c>
      <c r="L89" s="276">
        <f t="shared" si="16"/>
        <v>0</v>
      </c>
      <c r="M89" s="276">
        <f t="shared" si="16"/>
        <v>0</v>
      </c>
      <c r="N89" s="276">
        <f t="shared" si="16"/>
        <v>0</v>
      </c>
      <c r="O89" s="276">
        <f t="shared" si="16"/>
        <v>0</v>
      </c>
      <c r="P89" s="276">
        <f t="shared" si="16"/>
        <v>0</v>
      </c>
      <c r="Q89" s="276">
        <f t="shared" si="16"/>
        <v>0</v>
      </c>
      <c r="R89" s="276">
        <f t="shared" si="16"/>
        <v>0</v>
      </c>
      <c r="S89" s="276">
        <f t="shared" si="16"/>
        <v>0</v>
      </c>
      <c r="T89" s="276">
        <f t="shared" si="16"/>
        <v>0</v>
      </c>
      <c r="U89" s="276">
        <f t="shared" si="16"/>
        <v>0</v>
      </c>
      <c r="V89" s="276">
        <f t="shared" si="16"/>
        <v>0</v>
      </c>
      <c r="W89" s="276">
        <f t="shared" si="16"/>
        <v>0</v>
      </c>
      <c r="X89" s="276">
        <f t="shared" si="16"/>
        <v>0</v>
      </c>
      <c r="Y89" s="276">
        <f t="shared" si="16"/>
        <v>0</v>
      </c>
      <c r="Z89" s="276">
        <f t="shared" si="16"/>
        <v>0</v>
      </c>
      <c r="AA89" s="276">
        <f t="shared" si="16"/>
        <v>0</v>
      </c>
      <c r="AB89" s="276">
        <f t="shared" si="16"/>
        <v>0</v>
      </c>
      <c r="AC89" s="276">
        <f t="shared" si="16"/>
        <v>0</v>
      </c>
      <c r="AD89" s="276">
        <f t="shared" si="16"/>
        <v>0</v>
      </c>
      <c r="AE89" s="276">
        <f t="shared" si="16"/>
        <v>0</v>
      </c>
    </row>
    <row r="90" spans="1:31" ht="13.5" thickBot="1" x14ac:dyDescent="0.25">
      <c r="A90" s="277" t="s">
        <v>614</v>
      </c>
      <c r="B90" s="278">
        <f t="shared" ref="B90:AE90" si="17">IF(AND(B87&gt;0,A87&lt;0),(B74-(B87/(B87-A87))),0)</f>
        <v>0</v>
      </c>
      <c r="C90" s="278">
        <f t="shared" si="17"/>
        <v>0</v>
      </c>
      <c r="D90" s="278">
        <f t="shared" si="17"/>
        <v>0</v>
      </c>
      <c r="E90" s="278">
        <f t="shared" si="17"/>
        <v>0</v>
      </c>
      <c r="F90" s="278">
        <f t="shared" si="17"/>
        <v>0</v>
      </c>
      <c r="G90" s="278">
        <f t="shared" si="17"/>
        <v>0</v>
      </c>
      <c r="H90" s="278">
        <f t="shared" si="17"/>
        <v>0</v>
      </c>
      <c r="I90" s="278">
        <f t="shared" si="17"/>
        <v>0</v>
      </c>
      <c r="J90" s="278">
        <f t="shared" si="17"/>
        <v>0</v>
      </c>
      <c r="K90" s="278">
        <f t="shared" si="17"/>
        <v>0</v>
      </c>
      <c r="L90" s="278">
        <f t="shared" si="17"/>
        <v>0</v>
      </c>
      <c r="M90" s="278">
        <f t="shared" si="17"/>
        <v>0</v>
      </c>
      <c r="N90" s="278">
        <f t="shared" si="17"/>
        <v>0</v>
      </c>
      <c r="O90" s="278">
        <f t="shared" si="17"/>
        <v>0</v>
      </c>
      <c r="P90" s="278">
        <f t="shared" si="17"/>
        <v>0</v>
      </c>
      <c r="Q90" s="278">
        <f t="shared" si="17"/>
        <v>0</v>
      </c>
      <c r="R90" s="278">
        <f t="shared" si="17"/>
        <v>0</v>
      </c>
      <c r="S90" s="278">
        <f t="shared" si="17"/>
        <v>0</v>
      </c>
      <c r="T90" s="278">
        <f t="shared" si="17"/>
        <v>0</v>
      </c>
      <c r="U90" s="278">
        <f t="shared" si="17"/>
        <v>0</v>
      </c>
      <c r="V90" s="278">
        <f t="shared" si="17"/>
        <v>0</v>
      </c>
      <c r="W90" s="278">
        <f t="shared" si="17"/>
        <v>0</v>
      </c>
      <c r="X90" s="278">
        <f t="shared" si="17"/>
        <v>0</v>
      </c>
      <c r="Y90" s="278">
        <f t="shared" si="17"/>
        <v>0</v>
      </c>
      <c r="Z90" s="278">
        <f t="shared" si="17"/>
        <v>0</v>
      </c>
      <c r="AA90" s="278">
        <f t="shared" si="17"/>
        <v>0</v>
      </c>
      <c r="AB90" s="278">
        <f t="shared" si="17"/>
        <v>0</v>
      </c>
      <c r="AC90" s="278">
        <f t="shared" si="17"/>
        <v>0</v>
      </c>
      <c r="AD90" s="278">
        <f t="shared" si="17"/>
        <v>0</v>
      </c>
      <c r="AE90" s="278">
        <f t="shared" si="17"/>
        <v>0</v>
      </c>
    </row>
    <row r="91" spans="1:31" x14ac:dyDescent="0.2">
      <c r="A91" s="279"/>
      <c r="B91" s="279">
        <v>2023</v>
      </c>
      <c r="C91" s="279">
        <f t="shared" ref="C91:R92" si="18">B91+1</f>
        <v>2024</v>
      </c>
      <c r="D91" s="279">
        <f t="shared" si="18"/>
        <v>2025</v>
      </c>
      <c r="E91" s="279">
        <f t="shared" si="18"/>
        <v>2026</v>
      </c>
      <c r="F91" s="279">
        <f t="shared" si="18"/>
        <v>2027</v>
      </c>
      <c r="G91" s="279">
        <f t="shared" si="18"/>
        <v>2028</v>
      </c>
      <c r="H91" s="279">
        <f t="shared" si="18"/>
        <v>2029</v>
      </c>
      <c r="I91" s="279">
        <f t="shared" si="18"/>
        <v>2030</v>
      </c>
      <c r="J91" s="279">
        <f t="shared" si="18"/>
        <v>2031</v>
      </c>
      <c r="K91" s="279">
        <f t="shared" si="18"/>
        <v>2032</v>
      </c>
      <c r="L91" s="279">
        <f t="shared" si="18"/>
        <v>2033</v>
      </c>
      <c r="M91" s="279">
        <f t="shared" si="18"/>
        <v>2034</v>
      </c>
      <c r="N91" s="279">
        <f t="shared" si="18"/>
        <v>2035</v>
      </c>
      <c r="O91" s="279">
        <f t="shared" si="18"/>
        <v>2036</v>
      </c>
      <c r="P91" s="279">
        <f t="shared" si="18"/>
        <v>2037</v>
      </c>
      <c r="Q91" s="279">
        <f t="shared" si="18"/>
        <v>2038</v>
      </c>
      <c r="R91" s="279">
        <f t="shared" si="18"/>
        <v>2039</v>
      </c>
      <c r="S91" s="279">
        <f t="shared" ref="S91:AE92" si="19">R91+1</f>
        <v>2040</v>
      </c>
      <c r="T91" s="279">
        <f t="shared" si="19"/>
        <v>2041</v>
      </c>
      <c r="U91" s="279">
        <f t="shared" si="19"/>
        <v>2042</v>
      </c>
      <c r="V91" s="279">
        <f t="shared" si="19"/>
        <v>2043</v>
      </c>
      <c r="W91" s="279">
        <f t="shared" si="19"/>
        <v>2044</v>
      </c>
      <c r="X91" s="279">
        <f t="shared" si="19"/>
        <v>2045</v>
      </c>
      <c r="Y91" s="279">
        <f t="shared" si="19"/>
        <v>2046</v>
      </c>
      <c r="Z91" s="279">
        <f t="shared" si="19"/>
        <v>2047</v>
      </c>
      <c r="AA91" s="279">
        <f t="shared" si="19"/>
        <v>2048</v>
      </c>
      <c r="AB91" s="279">
        <f t="shared" si="19"/>
        <v>2049</v>
      </c>
      <c r="AC91" s="279">
        <f t="shared" si="19"/>
        <v>2050</v>
      </c>
      <c r="AD91" s="279">
        <f t="shared" si="19"/>
        <v>2051</v>
      </c>
      <c r="AE91" s="279">
        <f t="shared" si="19"/>
        <v>2052</v>
      </c>
    </row>
    <row r="92" spans="1:31" x14ac:dyDescent="0.2">
      <c r="B92" s="208">
        <v>1</v>
      </c>
      <c r="C92" s="208">
        <f>B92+1</f>
        <v>2</v>
      </c>
      <c r="D92" s="208">
        <f t="shared" si="18"/>
        <v>3</v>
      </c>
      <c r="E92" s="208">
        <f t="shared" si="18"/>
        <v>4</v>
      </c>
      <c r="F92" s="208">
        <f t="shared" si="18"/>
        <v>5</v>
      </c>
      <c r="G92" s="208">
        <f t="shared" si="18"/>
        <v>6</v>
      </c>
      <c r="H92" s="208">
        <f t="shared" si="18"/>
        <v>7</v>
      </c>
      <c r="I92" s="208">
        <f t="shared" si="18"/>
        <v>8</v>
      </c>
      <c r="J92" s="208">
        <f t="shared" si="18"/>
        <v>9</v>
      </c>
      <c r="K92" s="208">
        <f t="shared" si="18"/>
        <v>10</v>
      </c>
      <c r="L92" s="208">
        <f t="shared" si="18"/>
        <v>11</v>
      </c>
      <c r="M92" s="208">
        <f t="shared" si="18"/>
        <v>12</v>
      </c>
      <c r="N92" s="208">
        <f t="shared" si="18"/>
        <v>13</v>
      </c>
      <c r="O92" s="208">
        <f t="shared" si="18"/>
        <v>14</v>
      </c>
      <c r="P92" s="208">
        <f t="shared" si="18"/>
        <v>15</v>
      </c>
      <c r="Q92" s="208">
        <f t="shared" si="18"/>
        <v>16</v>
      </c>
      <c r="R92" s="208">
        <f t="shared" si="18"/>
        <v>17</v>
      </c>
      <c r="S92" s="208">
        <f t="shared" si="19"/>
        <v>18</v>
      </c>
      <c r="T92" s="208">
        <f t="shared" si="19"/>
        <v>19</v>
      </c>
      <c r="U92" s="208">
        <f t="shared" si="19"/>
        <v>20</v>
      </c>
      <c r="V92" s="208">
        <f t="shared" si="19"/>
        <v>21</v>
      </c>
      <c r="W92" s="208">
        <f t="shared" si="19"/>
        <v>22</v>
      </c>
      <c r="X92" s="208">
        <f t="shared" si="19"/>
        <v>23</v>
      </c>
      <c r="Y92" s="208">
        <f t="shared" si="19"/>
        <v>24</v>
      </c>
      <c r="Z92" s="208">
        <f t="shared" si="19"/>
        <v>25</v>
      </c>
      <c r="AA92" s="208">
        <f t="shared" si="19"/>
        <v>26</v>
      </c>
      <c r="AB92" s="208">
        <f t="shared" si="19"/>
        <v>27</v>
      </c>
      <c r="AC92" s="208">
        <f t="shared" si="19"/>
        <v>28</v>
      </c>
      <c r="AD92" s="208">
        <f t="shared" si="19"/>
        <v>29</v>
      </c>
      <c r="AE92" s="208">
        <f t="shared" si="19"/>
        <v>30</v>
      </c>
    </row>
    <row r="93" spans="1:31" x14ac:dyDescent="0.2">
      <c r="A93" s="336" t="s">
        <v>615</v>
      </c>
      <c r="B93" s="336"/>
      <c r="C93" s="336"/>
      <c r="D93" s="336"/>
      <c r="E93" s="336"/>
      <c r="F93" s="336"/>
      <c r="G93" s="336"/>
      <c r="H93" s="336"/>
      <c r="I93" s="336"/>
      <c r="J93" s="336"/>
      <c r="K93" s="336"/>
      <c r="L93" s="336"/>
      <c r="M93" s="336"/>
      <c r="N93" s="336"/>
      <c r="O93" s="336"/>
      <c r="P93" s="336"/>
      <c r="Q93" s="336"/>
      <c r="R93" s="336"/>
      <c r="S93" s="336"/>
      <c r="T93" s="336"/>
      <c r="U93" s="336"/>
      <c r="V93" s="336"/>
      <c r="W93" s="336"/>
      <c r="X93" s="336"/>
      <c r="Y93" s="336"/>
      <c r="Z93" s="336"/>
      <c r="AA93" s="336"/>
      <c r="AB93" s="336"/>
      <c r="AC93" s="336"/>
    </row>
    <row r="94" spans="1:31" x14ac:dyDescent="0.2">
      <c r="A94" s="336" t="s">
        <v>616</v>
      </c>
      <c r="B94" s="336"/>
      <c r="C94" s="336"/>
      <c r="D94" s="336"/>
      <c r="E94" s="336"/>
      <c r="F94" s="336"/>
      <c r="G94" s="336"/>
      <c r="H94" s="336"/>
      <c r="I94" s="336"/>
      <c r="N94" s="208"/>
    </row>
    <row r="95" spans="1:31" x14ac:dyDescent="0.2">
      <c r="C95" s="280"/>
      <c r="N95" s="208"/>
    </row>
    <row r="96" spans="1:31" x14ac:dyDescent="0.2">
      <c r="N96" s="208"/>
    </row>
    <row r="97" spans="14:14" s="198" customFormat="1" x14ac:dyDescent="0.2">
      <c r="N97" s="208"/>
    </row>
    <row r="98" spans="14:14" s="198" customFormat="1" x14ac:dyDescent="0.2">
      <c r="N98" s="208"/>
    </row>
    <row r="99" spans="14:14" s="198" customFormat="1" x14ac:dyDescent="0.2">
      <c r="N99" s="208"/>
    </row>
    <row r="100" spans="14:14" s="198" customFormat="1" x14ac:dyDescent="0.2">
      <c r="N100" s="208"/>
    </row>
    <row r="101" spans="14:14" s="198" customFormat="1" x14ac:dyDescent="0.2">
      <c r="N101" s="208"/>
    </row>
    <row r="102" spans="14:14" s="198" customFormat="1" x14ac:dyDescent="0.2">
      <c r="N102" s="208"/>
    </row>
    <row r="103" spans="14:14" s="198" customFormat="1" x14ac:dyDescent="0.2">
      <c r="N103" s="208"/>
    </row>
    <row r="104" spans="14:14" s="198" customFormat="1" x14ac:dyDescent="0.2">
      <c r="N104" s="208"/>
    </row>
    <row r="105" spans="14:14" s="198" customFormat="1" x14ac:dyDescent="0.2">
      <c r="N105" s="208"/>
    </row>
    <row r="106" spans="14:14" s="198" customFormat="1" x14ac:dyDescent="0.2">
      <c r="N106" s="208"/>
    </row>
    <row r="107" spans="14:14" s="198" customFormat="1" x14ac:dyDescent="0.2">
      <c r="N107" s="208"/>
    </row>
    <row r="108" spans="14:14" s="198" customFormat="1" x14ac:dyDescent="0.2">
      <c r="N108" s="208"/>
    </row>
    <row r="109" spans="14:14" s="198" customFormat="1" x14ac:dyDescent="0.2">
      <c r="N109" s="208"/>
    </row>
    <row r="110" spans="14:14" s="198" customFormat="1" x14ac:dyDescent="0.2">
      <c r="N110" s="208"/>
    </row>
    <row r="111" spans="14:14" s="198" customFormat="1" x14ac:dyDescent="0.2">
      <c r="N111" s="208"/>
    </row>
    <row r="112" spans="14:14" s="198" customFormat="1" x14ac:dyDescent="0.2">
      <c r="N112" s="208"/>
    </row>
    <row r="113" spans="14:14" s="198" customFormat="1" x14ac:dyDescent="0.2">
      <c r="N113" s="208"/>
    </row>
    <row r="114" spans="14:14" s="198" customFormat="1" x14ac:dyDescent="0.2">
      <c r="N114" s="208"/>
    </row>
    <row r="115" spans="14:14" s="198" customFormat="1" x14ac:dyDescent="0.2">
      <c r="N115" s="208"/>
    </row>
    <row r="116" spans="14:14" s="198" customFormat="1" x14ac:dyDescent="0.2">
      <c r="N116" s="208"/>
    </row>
    <row r="117" spans="14:14" s="198" customFormat="1" x14ac:dyDescent="0.2">
      <c r="N117" s="208"/>
    </row>
    <row r="118" spans="14:14" s="198" customFormat="1" x14ac:dyDescent="0.2">
      <c r="N118" s="208"/>
    </row>
    <row r="119" spans="14:14" s="198" customFormat="1" x14ac:dyDescent="0.2">
      <c r="N119" s="208"/>
    </row>
    <row r="120" spans="14:14" s="198" customFormat="1" x14ac:dyDescent="0.2">
      <c r="N120" s="208"/>
    </row>
    <row r="121" spans="14:14" s="198" customFormat="1" x14ac:dyDescent="0.2">
      <c r="N121" s="208"/>
    </row>
    <row r="122" spans="14:14" s="198" customFormat="1" x14ac:dyDescent="0.2">
      <c r="N122" s="208"/>
    </row>
    <row r="123" spans="14:14" s="198" customFormat="1" x14ac:dyDescent="0.2">
      <c r="N123" s="208"/>
    </row>
    <row r="124" spans="14:14" s="198" customFormat="1" x14ac:dyDescent="0.2">
      <c r="N124" s="208"/>
    </row>
    <row r="125" spans="14:14" s="198" customFormat="1" x14ac:dyDescent="0.2">
      <c r="N125" s="208"/>
    </row>
    <row r="126" spans="14:14" s="198" customFormat="1" x14ac:dyDescent="0.2">
      <c r="N126" s="208"/>
    </row>
    <row r="127" spans="14:14" s="198" customFormat="1" x14ac:dyDescent="0.2">
      <c r="N127" s="208"/>
    </row>
    <row r="128" spans="14:14" s="198" customFormat="1" x14ac:dyDescent="0.2">
      <c r="N128" s="208"/>
    </row>
    <row r="129" spans="14:14" s="198" customFormat="1" x14ac:dyDescent="0.2">
      <c r="N129" s="208"/>
    </row>
    <row r="130" spans="14:14" s="198" customFormat="1" x14ac:dyDescent="0.2">
      <c r="N130" s="208"/>
    </row>
    <row r="131" spans="14:14" s="198" customFormat="1" x14ac:dyDescent="0.2">
      <c r="N131" s="208"/>
    </row>
    <row r="132" spans="14:14" s="198" customFormat="1" x14ac:dyDescent="0.2">
      <c r="N132" s="208"/>
    </row>
    <row r="133" spans="14:14" s="198" customFormat="1" x14ac:dyDescent="0.2">
      <c r="N133" s="208"/>
    </row>
    <row r="134" spans="14:14" s="198" customFormat="1" x14ac:dyDescent="0.2">
      <c r="N134" s="208"/>
    </row>
    <row r="135" spans="14:14" s="198" customFormat="1" x14ac:dyDescent="0.2">
      <c r="N135" s="208"/>
    </row>
    <row r="136" spans="14:14" s="198" customFormat="1" x14ac:dyDescent="0.2">
      <c r="N136" s="208"/>
    </row>
    <row r="137" spans="14:14" s="198" customFormat="1" x14ac:dyDescent="0.2">
      <c r="N137" s="208"/>
    </row>
    <row r="138" spans="14:14" s="198" customFormat="1" x14ac:dyDescent="0.2">
      <c r="N138" s="208"/>
    </row>
    <row r="139" spans="14:14" s="198" customFormat="1" x14ac:dyDescent="0.2">
      <c r="N139" s="208"/>
    </row>
    <row r="140" spans="14:14" s="198" customFormat="1" x14ac:dyDescent="0.2">
      <c r="N140" s="208"/>
    </row>
    <row r="141" spans="14:14" s="198" customFormat="1" x14ac:dyDescent="0.2">
      <c r="N141" s="208"/>
    </row>
    <row r="142" spans="14:14" s="198" customFormat="1" x14ac:dyDescent="0.2">
      <c r="N142" s="208"/>
    </row>
    <row r="143" spans="14:14" s="198" customFormat="1" x14ac:dyDescent="0.2">
      <c r="N143" s="208"/>
    </row>
    <row r="144" spans="14:14" s="198" customFormat="1" x14ac:dyDescent="0.2">
      <c r="N144" s="208"/>
    </row>
    <row r="145" spans="14:14" s="198" customFormat="1" x14ac:dyDescent="0.2">
      <c r="N145" s="208"/>
    </row>
    <row r="146" spans="14:14" s="198" customFormat="1" x14ac:dyDescent="0.2">
      <c r="N146" s="208"/>
    </row>
    <row r="147" spans="14:14" s="198" customFormat="1" x14ac:dyDescent="0.2">
      <c r="N147" s="208"/>
    </row>
    <row r="148" spans="14:14" s="198" customFormat="1" x14ac:dyDescent="0.2">
      <c r="N148" s="208"/>
    </row>
    <row r="149" spans="14:14" s="198" customFormat="1" x14ac:dyDescent="0.2">
      <c r="N149" s="208"/>
    </row>
    <row r="150" spans="14:14" s="198" customFormat="1" x14ac:dyDescent="0.2">
      <c r="N150" s="208"/>
    </row>
    <row r="151" spans="14:14" s="198" customFormat="1" x14ac:dyDescent="0.2">
      <c r="N151" s="208"/>
    </row>
    <row r="152" spans="14:14" s="198" customFormat="1" x14ac:dyDescent="0.2">
      <c r="N152" s="208"/>
    </row>
    <row r="153" spans="14:14" s="198" customFormat="1" x14ac:dyDescent="0.2">
      <c r="N153" s="208"/>
    </row>
    <row r="154" spans="14:14" s="198" customFormat="1" x14ac:dyDescent="0.2">
      <c r="N154" s="208"/>
    </row>
    <row r="155" spans="14:14" s="198" customFormat="1" x14ac:dyDescent="0.2">
      <c r="N155" s="208"/>
    </row>
    <row r="156" spans="14:14" s="198" customFormat="1" x14ac:dyDescent="0.2">
      <c r="N156" s="208"/>
    </row>
    <row r="157" spans="14:14" s="198" customFormat="1" x14ac:dyDescent="0.2">
      <c r="N157" s="208"/>
    </row>
    <row r="158" spans="14:14" s="198" customFormat="1" x14ac:dyDescent="0.2">
      <c r="N158" s="208"/>
    </row>
    <row r="159" spans="14:14" s="198" customFormat="1" x14ac:dyDescent="0.2">
      <c r="N159" s="208"/>
    </row>
    <row r="160" spans="14:14" s="198" customFormat="1" x14ac:dyDescent="0.2">
      <c r="N160" s="208"/>
    </row>
    <row r="161" spans="14:14" s="198" customFormat="1" x14ac:dyDescent="0.2">
      <c r="N161" s="208"/>
    </row>
    <row r="162" spans="14:14" s="198" customFormat="1" x14ac:dyDescent="0.2">
      <c r="N162" s="208"/>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G26" sqref="G26: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6" t="str">
        <f>'1. паспорт местоположение'!A5:C5</f>
        <v>Год раскрытия информации: 2023 год</v>
      </c>
      <c r="B5" s="286"/>
      <c r="C5" s="286"/>
      <c r="D5" s="286"/>
      <c r="E5" s="286"/>
      <c r="F5" s="286"/>
      <c r="G5" s="286"/>
      <c r="H5" s="286"/>
      <c r="I5" s="286"/>
      <c r="J5" s="286"/>
      <c r="K5" s="2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4" t="s">
        <v>7</v>
      </c>
      <c r="B7" s="294"/>
      <c r="C7" s="294"/>
      <c r="D7" s="294"/>
      <c r="E7" s="294"/>
      <c r="F7" s="294"/>
      <c r="G7" s="294"/>
      <c r="H7" s="294"/>
      <c r="I7" s="294"/>
      <c r="J7" s="294"/>
      <c r="K7" s="294"/>
    </row>
    <row r="8" spans="1:43" ht="18.75" x14ac:dyDescent="0.25">
      <c r="A8" s="294"/>
      <c r="B8" s="294"/>
      <c r="C8" s="294"/>
      <c r="D8" s="294"/>
      <c r="E8" s="294"/>
      <c r="F8" s="294"/>
      <c r="G8" s="294"/>
      <c r="H8" s="294"/>
      <c r="I8" s="294"/>
      <c r="J8" s="294"/>
      <c r="K8" s="294"/>
    </row>
    <row r="9" spans="1:43" x14ac:dyDescent="0.25">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row>
    <row r="10" spans="1:43" x14ac:dyDescent="0.25">
      <c r="A10" s="298" t="s">
        <v>6</v>
      </c>
      <c r="B10" s="298"/>
      <c r="C10" s="298"/>
      <c r="D10" s="298"/>
      <c r="E10" s="298"/>
      <c r="F10" s="298"/>
      <c r="G10" s="298"/>
      <c r="H10" s="298"/>
      <c r="I10" s="298"/>
      <c r="J10" s="298"/>
      <c r="K10" s="298"/>
    </row>
    <row r="11" spans="1:43" ht="18.75" x14ac:dyDescent="0.25">
      <c r="A11" s="294"/>
      <c r="B11" s="294"/>
      <c r="C11" s="294"/>
      <c r="D11" s="294"/>
      <c r="E11" s="294"/>
      <c r="F11" s="294"/>
      <c r="G11" s="294"/>
      <c r="H11" s="294"/>
      <c r="I11" s="294"/>
      <c r="J11" s="294"/>
      <c r="K11" s="294"/>
    </row>
    <row r="12" spans="1:43" x14ac:dyDescent="0.25">
      <c r="A12" s="292" t="str">
        <f>'1. паспорт местоположение'!A12:C12</f>
        <v>J 19-10</v>
      </c>
      <c r="B12" s="292"/>
      <c r="C12" s="292"/>
      <c r="D12" s="292"/>
      <c r="E12" s="292"/>
      <c r="F12" s="292"/>
      <c r="G12" s="292"/>
      <c r="H12" s="292"/>
      <c r="I12" s="292"/>
      <c r="J12" s="292"/>
      <c r="K12" s="292"/>
    </row>
    <row r="13" spans="1:43" x14ac:dyDescent="0.25">
      <c r="A13" s="298" t="s">
        <v>5</v>
      </c>
      <c r="B13" s="298"/>
      <c r="C13" s="298"/>
      <c r="D13" s="298"/>
      <c r="E13" s="298"/>
      <c r="F13" s="298"/>
      <c r="G13" s="298"/>
      <c r="H13" s="298"/>
      <c r="I13" s="298"/>
      <c r="J13" s="298"/>
      <c r="K13" s="298"/>
    </row>
    <row r="14" spans="1:43" ht="18.75" x14ac:dyDescent="0.25">
      <c r="A14" s="299"/>
      <c r="B14" s="299"/>
      <c r="C14" s="299"/>
      <c r="D14" s="299"/>
      <c r="E14" s="299"/>
      <c r="F14" s="299"/>
      <c r="G14" s="299"/>
      <c r="H14" s="299"/>
      <c r="I14" s="299"/>
      <c r="J14" s="299"/>
      <c r="K14" s="299"/>
    </row>
    <row r="15" spans="1:43" x14ac:dyDescent="0.25">
      <c r="A15" s="292" t="str">
        <f>'1. паспорт местоположение'!A15:C15</f>
        <v>Реконструкция ТП-12 15/0,4кВ п.Южный, Багратионовского р-на</v>
      </c>
      <c r="B15" s="292"/>
      <c r="C15" s="292"/>
      <c r="D15" s="292"/>
      <c r="E15" s="292"/>
      <c r="F15" s="292"/>
      <c r="G15" s="292"/>
      <c r="H15" s="292"/>
      <c r="I15" s="292"/>
      <c r="J15" s="292"/>
      <c r="K15" s="292"/>
    </row>
    <row r="16" spans="1:43" x14ac:dyDescent="0.25">
      <c r="A16" s="287" t="s">
        <v>4</v>
      </c>
      <c r="B16" s="287"/>
      <c r="C16" s="287"/>
      <c r="D16" s="287"/>
      <c r="E16" s="287"/>
      <c r="F16" s="287"/>
      <c r="G16" s="287"/>
      <c r="H16" s="287"/>
      <c r="I16" s="287"/>
      <c r="J16" s="287"/>
      <c r="K16" s="287"/>
    </row>
    <row r="17" spans="1:11" ht="15.75" customHeight="1" x14ac:dyDescent="0.25"/>
    <row r="18" spans="1:11" x14ac:dyDescent="0.25">
      <c r="K18" s="24"/>
    </row>
    <row r="19" spans="1:11" ht="15.75" customHeight="1" x14ac:dyDescent="0.25">
      <c r="A19" s="345" t="s">
        <v>392</v>
      </c>
      <c r="B19" s="345"/>
      <c r="C19" s="345"/>
      <c r="D19" s="345"/>
      <c r="E19" s="345"/>
      <c r="F19" s="345"/>
      <c r="G19" s="345"/>
      <c r="H19" s="345"/>
      <c r="I19" s="345"/>
      <c r="J19" s="345"/>
      <c r="K19" s="345"/>
    </row>
    <row r="20" spans="1:11" x14ac:dyDescent="0.25">
      <c r="A20" s="35"/>
      <c r="B20" s="35"/>
    </row>
    <row r="21" spans="1:11" ht="28.5" customHeight="1" x14ac:dyDescent="0.25">
      <c r="A21" s="340" t="s">
        <v>199</v>
      </c>
      <c r="B21" s="340" t="s">
        <v>484</v>
      </c>
      <c r="C21" s="340" t="s">
        <v>351</v>
      </c>
      <c r="D21" s="340"/>
      <c r="E21" s="340"/>
      <c r="F21" s="340"/>
      <c r="G21" s="340"/>
      <c r="H21" s="340"/>
      <c r="I21" s="340" t="s">
        <v>198</v>
      </c>
      <c r="J21" s="341" t="s">
        <v>352</v>
      </c>
      <c r="K21" s="340" t="s">
        <v>197</v>
      </c>
    </row>
    <row r="22" spans="1:11" ht="58.5" customHeight="1" x14ac:dyDescent="0.25">
      <c r="A22" s="340"/>
      <c r="B22" s="340"/>
      <c r="C22" s="344" t="s">
        <v>535</v>
      </c>
      <c r="D22" s="344"/>
      <c r="E22" s="344" t="s">
        <v>9</v>
      </c>
      <c r="F22" s="344"/>
      <c r="G22" s="344" t="s">
        <v>536</v>
      </c>
      <c r="H22" s="344"/>
      <c r="I22" s="340"/>
      <c r="J22" s="342"/>
      <c r="K22" s="340"/>
    </row>
    <row r="23" spans="1:11" ht="31.5" x14ac:dyDescent="0.25">
      <c r="A23" s="340"/>
      <c r="B23" s="340"/>
      <c r="C23" s="155" t="s">
        <v>196</v>
      </c>
      <c r="D23" s="155" t="s">
        <v>195</v>
      </c>
      <c r="E23" s="155" t="s">
        <v>196</v>
      </c>
      <c r="F23" s="155" t="s">
        <v>195</v>
      </c>
      <c r="G23" s="155" t="s">
        <v>196</v>
      </c>
      <c r="H23" s="155" t="s">
        <v>195</v>
      </c>
      <c r="I23" s="340"/>
      <c r="J23" s="343"/>
      <c r="K23" s="340"/>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71"/>
      <c r="F25" s="171"/>
      <c r="G25" s="161"/>
      <c r="H25" s="161"/>
      <c r="I25" s="171"/>
      <c r="J25" s="151"/>
      <c r="K25" s="152"/>
    </row>
    <row r="26" spans="1:11" x14ac:dyDescent="0.25">
      <c r="A26" s="155" t="s">
        <v>485</v>
      </c>
      <c r="B26" s="164" t="s">
        <v>486</v>
      </c>
      <c r="C26" s="161" t="s">
        <v>435</v>
      </c>
      <c r="D26" s="161" t="s">
        <v>435</v>
      </c>
      <c r="E26" s="172">
        <v>42859</v>
      </c>
      <c r="F26" s="172">
        <v>42859</v>
      </c>
      <c r="G26" s="161" t="s">
        <v>538</v>
      </c>
      <c r="H26" s="161" t="s">
        <v>538</v>
      </c>
      <c r="I26" s="173"/>
      <c r="J26" s="151"/>
      <c r="K26" s="152"/>
    </row>
    <row r="27" spans="1:11" ht="31.5" x14ac:dyDescent="0.25">
      <c r="A27" s="155" t="s">
        <v>487</v>
      </c>
      <c r="B27" s="164" t="s">
        <v>488</v>
      </c>
      <c r="C27" s="161" t="s">
        <v>435</v>
      </c>
      <c r="D27" s="161" t="s">
        <v>435</v>
      </c>
      <c r="E27" s="172">
        <v>42807</v>
      </c>
      <c r="F27" s="172">
        <v>42807</v>
      </c>
      <c r="G27" s="161" t="s">
        <v>538</v>
      </c>
      <c r="H27" s="161" t="s">
        <v>538</v>
      </c>
      <c r="I27" s="173"/>
      <c r="J27" s="151"/>
      <c r="K27" s="152"/>
    </row>
    <row r="28" spans="1:11" ht="63" x14ac:dyDescent="0.25">
      <c r="A28" s="155" t="s">
        <v>490</v>
      </c>
      <c r="B28" s="164" t="s">
        <v>489</v>
      </c>
      <c r="C28" s="161" t="s">
        <v>435</v>
      </c>
      <c r="D28" s="161" t="s">
        <v>435</v>
      </c>
      <c r="E28" s="172" t="s">
        <v>435</v>
      </c>
      <c r="F28" s="172" t="s">
        <v>435</v>
      </c>
      <c r="G28" s="161" t="s">
        <v>538</v>
      </c>
      <c r="H28" s="161" t="s">
        <v>538</v>
      </c>
      <c r="I28" s="173"/>
      <c r="J28" s="151"/>
      <c r="K28" s="152"/>
    </row>
    <row r="29" spans="1:11" ht="31.5" x14ac:dyDescent="0.25">
      <c r="A29" s="155" t="s">
        <v>492</v>
      </c>
      <c r="B29" s="164" t="s">
        <v>491</v>
      </c>
      <c r="C29" s="161" t="s">
        <v>435</v>
      </c>
      <c r="D29" s="161" t="s">
        <v>435</v>
      </c>
      <c r="E29" s="172" t="s">
        <v>435</v>
      </c>
      <c r="F29" s="172" t="s">
        <v>435</v>
      </c>
      <c r="G29" s="161" t="s">
        <v>538</v>
      </c>
      <c r="H29" s="161" t="s">
        <v>538</v>
      </c>
      <c r="I29" s="173"/>
      <c r="J29" s="151"/>
      <c r="K29" s="152"/>
    </row>
    <row r="30" spans="1:11" ht="31.5" x14ac:dyDescent="0.25">
      <c r="A30" s="155" t="s">
        <v>494</v>
      </c>
      <c r="B30" s="164" t="s">
        <v>493</v>
      </c>
      <c r="C30" s="161" t="s">
        <v>435</v>
      </c>
      <c r="D30" s="161" t="s">
        <v>435</v>
      </c>
      <c r="E30" s="172" t="s">
        <v>435</v>
      </c>
      <c r="F30" s="172" t="s">
        <v>435</v>
      </c>
      <c r="G30" s="161" t="s">
        <v>538</v>
      </c>
      <c r="H30" s="161" t="s">
        <v>538</v>
      </c>
      <c r="I30" s="173"/>
      <c r="J30" s="151"/>
      <c r="K30" s="152"/>
    </row>
    <row r="31" spans="1:11" ht="31.5" x14ac:dyDescent="0.25">
      <c r="A31" s="155" t="s">
        <v>496</v>
      </c>
      <c r="B31" s="164" t="s">
        <v>495</v>
      </c>
      <c r="C31" s="161">
        <v>44958</v>
      </c>
      <c r="D31" s="161">
        <v>44985</v>
      </c>
      <c r="E31" s="172">
        <v>41806</v>
      </c>
      <c r="F31" s="172">
        <v>41806</v>
      </c>
      <c r="G31" s="161" t="s">
        <v>538</v>
      </c>
      <c r="H31" s="161" t="s">
        <v>538</v>
      </c>
      <c r="I31" s="173"/>
      <c r="J31" s="151"/>
      <c r="K31" s="152"/>
    </row>
    <row r="32" spans="1:11" ht="31.5" x14ac:dyDescent="0.25">
      <c r="A32" s="155" t="s">
        <v>498</v>
      </c>
      <c r="B32" s="164" t="s">
        <v>497</v>
      </c>
      <c r="C32" s="161">
        <v>44986</v>
      </c>
      <c r="D32" s="161">
        <v>44986</v>
      </c>
      <c r="E32" s="172">
        <v>42597</v>
      </c>
      <c r="F32" s="172">
        <v>42597</v>
      </c>
      <c r="G32" s="161" t="s">
        <v>538</v>
      </c>
      <c r="H32" s="161" t="s">
        <v>538</v>
      </c>
      <c r="I32" s="173"/>
      <c r="J32" s="151"/>
      <c r="K32" s="152"/>
    </row>
    <row r="33" spans="1:11" ht="47.25" x14ac:dyDescent="0.25">
      <c r="A33" s="155" t="s">
        <v>500</v>
      </c>
      <c r="B33" s="164" t="s">
        <v>499</v>
      </c>
      <c r="C33" s="161" t="s">
        <v>435</v>
      </c>
      <c r="D33" s="161" t="s">
        <v>435</v>
      </c>
      <c r="E33" s="172">
        <v>42720</v>
      </c>
      <c r="F33" s="172">
        <v>42720</v>
      </c>
      <c r="G33" s="161" t="s">
        <v>538</v>
      </c>
      <c r="H33" s="161" t="s">
        <v>538</v>
      </c>
      <c r="I33" s="173"/>
      <c r="J33" s="151"/>
      <c r="K33" s="152"/>
    </row>
    <row r="34" spans="1:11" ht="63" x14ac:dyDescent="0.25">
      <c r="A34" s="155" t="s">
        <v>502</v>
      </c>
      <c r="B34" s="164" t="s">
        <v>501</v>
      </c>
      <c r="C34" s="161" t="s">
        <v>435</v>
      </c>
      <c r="D34" s="161" t="s">
        <v>435</v>
      </c>
      <c r="E34" s="172" t="s">
        <v>435</v>
      </c>
      <c r="F34" s="172" t="s">
        <v>435</v>
      </c>
      <c r="G34" s="161" t="s">
        <v>538</v>
      </c>
      <c r="H34" s="161" t="s">
        <v>538</v>
      </c>
      <c r="I34" s="173"/>
      <c r="J34" s="153"/>
      <c r="K34" s="153"/>
    </row>
    <row r="35" spans="1:11" ht="31.5" x14ac:dyDescent="0.25">
      <c r="A35" s="155" t="s">
        <v>503</v>
      </c>
      <c r="B35" s="164" t="s">
        <v>193</v>
      </c>
      <c r="C35" s="161">
        <v>45016</v>
      </c>
      <c r="D35" s="161">
        <v>44995</v>
      </c>
      <c r="E35" s="172">
        <v>42731</v>
      </c>
      <c r="F35" s="172">
        <v>42731</v>
      </c>
      <c r="G35" s="161" t="s">
        <v>538</v>
      </c>
      <c r="H35" s="161" t="s">
        <v>538</v>
      </c>
      <c r="I35" s="173"/>
      <c r="J35" s="153"/>
      <c r="K35" s="153"/>
    </row>
    <row r="36" spans="1:11" ht="31.5" x14ac:dyDescent="0.25">
      <c r="A36" s="155" t="s">
        <v>505</v>
      </c>
      <c r="B36" s="164" t="s">
        <v>504</v>
      </c>
      <c r="C36" s="161" t="s">
        <v>435</v>
      </c>
      <c r="D36" s="161" t="s">
        <v>435</v>
      </c>
      <c r="E36" s="172">
        <v>42993</v>
      </c>
      <c r="F36" s="172">
        <v>42993</v>
      </c>
      <c r="G36" s="161" t="s">
        <v>538</v>
      </c>
      <c r="H36" s="161" t="s">
        <v>538</v>
      </c>
      <c r="I36" s="173"/>
      <c r="J36" s="163"/>
      <c r="K36" s="152"/>
    </row>
    <row r="37" spans="1:11" x14ac:dyDescent="0.25">
      <c r="A37" s="155" t="s">
        <v>506</v>
      </c>
      <c r="B37" s="164" t="s">
        <v>192</v>
      </c>
      <c r="C37" s="161">
        <v>44958</v>
      </c>
      <c r="D37" s="161">
        <v>44985</v>
      </c>
      <c r="E37" s="172">
        <v>43054</v>
      </c>
      <c r="F37" s="172">
        <v>43305</v>
      </c>
      <c r="G37" s="161" t="s">
        <v>538</v>
      </c>
      <c r="H37" s="161" t="s">
        <v>538</v>
      </c>
      <c r="I37" s="173"/>
      <c r="J37" s="154"/>
      <c r="K37" s="152"/>
    </row>
    <row r="38" spans="1:11" x14ac:dyDescent="0.25">
      <c r="A38" s="162" t="s">
        <v>507</v>
      </c>
      <c r="B38" s="165" t="s">
        <v>191</v>
      </c>
      <c r="C38" s="161"/>
      <c r="D38" s="161"/>
      <c r="E38" s="172"/>
      <c r="F38" s="172"/>
      <c r="G38" s="161" t="s">
        <v>538</v>
      </c>
      <c r="H38" s="161" t="s">
        <v>538</v>
      </c>
      <c r="I38" s="173"/>
      <c r="J38" s="152"/>
      <c r="K38" s="152"/>
    </row>
    <row r="39" spans="1:11" ht="63" x14ac:dyDescent="0.25">
      <c r="A39" s="155" t="s">
        <v>509</v>
      </c>
      <c r="B39" s="164" t="s">
        <v>508</v>
      </c>
      <c r="C39" s="161">
        <v>44995</v>
      </c>
      <c r="D39" s="161">
        <v>45000</v>
      </c>
      <c r="E39" s="172">
        <v>42843</v>
      </c>
      <c r="F39" s="172">
        <v>42843</v>
      </c>
      <c r="G39" s="161" t="s">
        <v>538</v>
      </c>
      <c r="H39" s="161" t="s">
        <v>538</v>
      </c>
      <c r="I39" s="173"/>
      <c r="J39" s="152"/>
      <c r="K39" s="152"/>
    </row>
    <row r="40" spans="1:11" x14ac:dyDescent="0.25">
      <c r="A40" s="155" t="s">
        <v>511</v>
      </c>
      <c r="B40" s="164" t="s">
        <v>510</v>
      </c>
      <c r="C40" s="161">
        <v>45001</v>
      </c>
      <c r="D40" s="161">
        <v>45015</v>
      </c>
      <c r="E40" s="172">
        <v>43038</v>
      </c>
      <c r="F40" s="172">
        <v>43038</v>
      </c>
      <c r="G40" s="161" t="s">
        <v>538</v>
      </c>
      <c r="H40" s="161" t="s">
        <v>538</v>
      </c>
      <c r="I40" s="173"/>
      <c r="J40" s="152"/>
      <c r="K40" s="152"/>
    </row>
    <row r="41" spans="1:11" ht="47.25" x14ac:dyDescent="0.25">
      <c r="A41" s="155" t="s">
        <v>513</v>
      </c>
      <c r="B41" s="165" t="s">
        <v>512</v>
      </c>
      <c r="C41" s="161"/>
      <c r="D41" s="161"/>
      <c r="E41" s="172"/>
      <c r="F41" s="172"/>
      <c r="G41" s="161" t="s">
        <v>538</v>
      </c>
      <c r="H41" s="161" t="s">
        <v>538</v>
      </c>
      <c r="I41" s="173"/>
      <c r="J41" s="152"/>
      <c r="K41" s="152"/>
    </row>
    <row r="42" spans="1:11" ht="31.5" x14ac:dyDescent="0.25">
      <c r="A42" s="155" t="s">
        <v>515</v>
      </c>
      <c r="B42" s="164" t="s">
        <v>514</v>
      </c>
      <c r="C42" s="161">
        <v>45017</v>
      </c>
      <c r="D42" s="161">
        <v>45026</v>
      </c>
      <c r="E42" s="172">
        <v>43070</v>
      </c>
      <c r="F42" s="172">
        <v>43097</v>
      </c>
      <c r="G42" s="161" t="s">
        <v>538</v>
      </c>
      <c r="H42" s="161" t="s">
        <v>538</v>
      </c>
      <c r="I42" s="173"/>
      <c r="J42" s="152"/>
      <c r="K42" s="152"/>
    </row>
    <row r="43" spans="1:11" x14ac:dyDescent="0.25">
      <c r="A43" s="155" t="s">
        <v>516</v>
      </c>
      <c r="B43" s="164" t="s">
        <v>190</v>
      </c>
      <c r="C43" s="182">
        <v>45107</v>
      </c>
      <c r="D43" s="182">
        <v>45209</v>
      </c>
      <c r="E43" s="172">
        <v>43054</v>
      </c>
      <c r="F43" s="172">
        <v>43218</v>
      </c>
      <c r="G43" s="161" t="s">
        <v>538</v>
      </c>
      <c r="H43" s="161" t="s">
        <v>538</v>
      </c>
      <c r="I43" s="173"/>
      <c r="J43" s="152"/>
      <c r="K43" s="152"/>
    </row>
    <row r="44" spans="1:11" x14ac:dyDescent="0.25">
      <c r="A44" s="155" t="s">
        <v>517</v>
      </c>
      <c r="B44" s="164" t="s">
        <v>189</v>
      </c>
      <c r="C44" s="182">
        <v>45209</v>
      </c>
      <c r="D44" s="182">
        <v>45412</v>
      </c>
      <c r="E44" s="172">
        <v>43084</v>
      </c>
      <c r="F44" s="172">
        <v>43266</v>
      </c>
      <c r="G44" s="161" t="s">
        <v>538</v>
      </c>
      <c r="H44" s="161" t="s">
        <v>538</v>
      </c>
      <c r="I44" s="173"/>
      <c r="J44" s="152"/>
      <c r="K44" s="152"/>
    </row>
    <row r="45" spans="1:11" ht="78.75" x14ac:dyDescent="0.25">
      <c r="A45" s="155" t="s">
        <v>519</v>
      </c>
      <c r="B45" s="164" t="s">
        <v>518</v>
      </c>
      <c r="C45" s="182">
        <v>45412</v>
      </c>
      <c r="D45" s="182">
        <v>45442</v>
      </c>
      <c r="E45" s="172">
        <v>43343</v>
      </c>
      <c r="F45" s="172">
        <v>43343</v>
      </c>
      <c r="G45" s="161" t="s">
        <v>538</v>
      </c>
      <c r="H45" s="161" t="s">
        <v>538</v>
      </c>
      <c r="I45" s="173"/>
      <c r="J45" s="152"/>
      <c r="K45" s="152"/>
    </row>
    <row r="46" spans="1:11" ht="157.5" x14ac:dyDescent="0.25">
      <c r="A46" s="155" t="s">
        <v>521</v>
      </c>
      <c r="B46" s="164" t="s">
        <v>520</v>
      </c>
      <c r="C46" s="182" t="s">
        <v>435</v>
      </c>
      <c r="D46" s="182" t="s">
        <v>435</v>
      </c>
      <c r="E46" s="172">
        <v>43319</v>
      </c>
      <c r="F46" s="172">
        <v>43319</v>
      </c>
      <c r="G46" s="161" t="s">
        <v>538</v>
      </c>
      <c r="H46" s="161" t="s">
        <v>538</v>
      </c>
      <c r="I46" s="173"/>
      <c r="J46" s="152"/>
      <c r="K46" s="152"/>
    </row>
    <row r="47" spans="1:11" x14ac:dyDescent="0.25">
      <c r="A47" s="155" t="s">
        <v>531</v>
      </c>
      <c r="B47" s="164" t="s">
        <v>188</v>
      </c>
      <c r="C47" s="183">
        <v>45442</v>
      </c>
      <c r="D47" s="182">
        <v>45422</v>
      </c>
      <c r="E47" s="172">
        <v>43220</v>
      </c>
      <c r="F47" s="172">
        <v>43318</v>
      </c>
      <c r="G47" s="161" t="s">
        <v>538</v>
      </c>
      <c r="H47" s="161" t="s">
        <v>538</v>
      </c>
      <c r="I47" s="173"/>
      <c r="J47" s="152"/>
      <c r="K47" s="152"/>
    </row>
    <row r="48" spans="1:11" ht="31.5" x14ac:dyDescent="0.25">
      <c r="A48" s="155" t="s">
        <v>522</v>
      </c>
      <c r="B48" s="165" t="s">
        <v>187</v>
      </c>
      <c r="C48" s="161"/>
      <c r="D48" s="161"/>
      <c r="E48" s="172"/>
      <c r="F48" s="172"/>
      <c r="G48" s="161" t="s">
        <v>538</v>
      </c>
      <c r="H48" s="161" t="s">
        <v>538</v>
      </c>
      <c r="I48" s="173"/>
      <c r="J48" s="152"/>
      <c r="K48" s="152"/>
    </row>
    <row r="49" spans="1:11" ht="31.5" x14ac:dyDescent="0.25">
      <c r="A49" s="155" t="s">
        <v>532</v>
      </c>
      <c r="B49" s="164" t="s">
        <v>186</v>
      </c>
      <c r="C49" s="161">
        <v>45422</v>
      </c>
      <c r="D49" s="161">
        <v>45457</v>
      </c>
      <c r="E49" s="172">
        <v>43318</v>
      </c>
      <c r="F49" s="172">
        <v>43320</v>
      </c>
      <c r="G49" s="161" t="s">
        <v>538</v>
      </c>
      <c r="H49" s="161" t="s">
        <v>538</v>
      </c>
      <c r="I49" s="173"/>
      <c r="J49" s="152"/>
      <c r="K49" s="152"/>
    </row>
    <row r="50" spans="1:11" ht="78.75" x14ac:dyDescent="0.25">
      <c r="A50" s="162" t="s">
        <v>524</v>
      </c>
      <c r="B50" s="164" t="s">
        <v>523</v>
      </c>
      <c r="C50" s="161"/>
      <c r="D50" s="161"/>
      <c r="E50" s="172">
        <v>43343</v>
      </c>
      <c r="F50" s="172">
        <v>43343</v>
      </c>
      <c r="G50" s="161" t="s">
        <v>538</v>
      </c>
      <c r="H50" s="161" t="s">
        <v>538</v>
      </c>
      <c r="I50" s="173"/>
      <c r="J50" s="152"/>
      <c r="K50" s="152"/>
    </row>
    <row r="51" spans="1:11" ht="63" x14ac:dyDescent="0.25">
      <c r="A51" s="155" t="s">
        <v>526</v>
      </c>
      <c r="B51" s="164" t="s">
        <v>525</v>
      </c>
      <c r="C51" s="161"/>
      <c r="D51" s="161"/>
      <c r="E51" s="172">
        <v>43343</v>
      </c>
      <c r="F51" s="172">
        <v>43343</v>
      </c>
      <c r="G51" s="161" t="s">
        <v>538</v>
      </c>
      <c r="H51" s="161" t="s">
        <v>538</v>
      </c>
      <c r="I51" s="173"/>
      <c r="J51" s="152"/>
      <c r="K51" s="152"/>
    </row>
    <row r="52" spans="1:11" ht="63" x14ac:dyDescent="0.25">
      <c r="A52" s="155" t="s">
        <v>527</v>
      </c>
      <c r="B52" s="164" t="s">
        <v>185</v>
      </c>
      <c r="C52" s="161" t="s">
        <v>435</v>
      </c>
      <c r="D52" s="161" t="s">
        <v>435</v>
      </c>
      <c r="E52" s="172"/>
      <c r="F52" s="172"/>
      <c r="G52" s="161" t="s">
        <v>538</v>
      </c>
      <c r="H52" s="161" t="s">
        <v>538</v>
      </c>
      <c r="I52" s="173"/>
      <c r="J52" s="152"/>
      <c r="K52" s="152"/>
    </row>
    <row r="53" spans="1:11" ht="31.5" x14ac:dyDescent="0.25">
      <c r="A53" s="155" t="s">
        <v>529</v>
      </c>
      <c r="B53" s="164" t="s">
        <v>528</v>
      </c>
      <c r="C53" s="184">
        <v>45457</v>
      </c>
      <c r="D53" s="161">
        <v>45473</v>
      </c>
      <c r="E53" s="172">
        <v>43343</v>
      </c>
      <c r="F53" s="172">
        <v>43343</v>
      </c>
      <c r="G53" s="161" t="s">
        <v>538</v>
      </c>
      <c r="H53" s="161" t="s">
        <v>538</v>
      </c>
      <c r="I53" s="173"/>
      <c r="J53" s="152"/>
      <c r="K53" s="152"/>
    </row>
    <row r="54" spans="1:11" ht="31.5" x14ac:dyDescent="0.25">
      <c r="A54" s="155" t="s">
        <v>533</v>
      </c>
      <c r="B54" s="164" t="s">
        <v>184</v>
      </c>
      <c r="C54" s="184">
        <v>45473</v>
      </c>
      <c r="D54" s="184">
        <v>45473</v>
      </c>
      <c r="E54" s="172">
        <v>43353</v>
      </c>
      <c r="F54" s="172">
        <v>43353</v>
      </c>
      <c r="G54" s="161" t="s">
        <v>538</v>
      </c>
      <c r="H54" s="161" t="s">
        <v>538</v>
      </c>
      <c r="I54" s="173"/>
      <c r="J54" s="152"/>
      <c r="K54" s="15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2023-02-18T23:06:37Z</dcterms:modified>
</cp:coreProperties>
</file>