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M 22-21\обоснование стоимости\"/>
    </mc:Choice>
  </mc:AlternateContent>
  <xr:revisionPtr revIDLastSave="0" documentId="13_ncr:1_{8C214406-31DB-4092-862D-05FC373560FD}" xr6:coauthVersionLast="47" xr6:coauthVersionMax="47" xr10:uidLastSave="{00000000-0000-0000-0000-000000000000}"/>
  <bookViews>
    <workbookView xWindow="510" yWindow="0" windowWidth="28290" windowHeight="15600" xr2:uid="{00000000-000D-0000-FFFF-FFFF00000000}"/>
  </bookViews>
  <sheets>
    <sheet name="ССРСС_2023" sheetId="1" r:id="rId1"/>
  </sheets>
  <calcPr calcId="181029"/>
</workbook>
</file>

<file path=xl/calcChain.xml><?xml version="1.0" encoding="utf-8"?>
<calcChain xmlns="http://schemas.openxmlformats.org/spreadsheetml/2006/main">
  <c r="Q39" i="1" l="1"/>
  <c r="D40" i="1"/>
  <c r="P39" i="1"/>
  <c r="P38" i="1"/>
  <c r="D38" i="1"/>
  <c r="H40" i="1"/>
  <c r="G40" i="1"/>
  <c r="F40" i="1"/>
  <c r="E40" i="1"/>
  <c r="F37" i="1" l="1"/>
  <c r="F38" i="1" s="1"/>
  <c r="F39" i="1" s="1"/>
  <c r="F36" i="1"/>
  <c r="H37" i="1"/>
  <c r="H38" i="1" l="1"/>
  <c r="H39" i="1" s="1"/>
  <c r="G38" i="1"/>
  <c r="G39" i="1" s="1"/>
  <c r="E38" i="1"/>
  <c r="E39" i="1" s="1"/>
  <c r="D39" i="1"/>
  <c r="J30" i="1"/>
  <c r="J31" i="1" s="1"/>
  <c r="G30" i="1"/>
  <c r="F30" i="1"/>
  <c r="I29" i="1"/>
  <c r="I30" i="1" s="1"/>
  <c r="I31" i="1" s="1"/>
  <c r="H28" i="1"/>
  <c r="H27" i="1"/>
  <c r="F24" i="1"/>
  <c r="J21" i="1"/>
  <c r="I21" i="1"/>
  <c r="G20" i="1"/>
  <c r="G21" i="1" s="1"/>
  <c r="F20" i="1"/>
  <c r="F21" i="1" s="1"/>
  <c r="F25" i="1" s="1"/>
  <c r="F31" i="1" s="1"/>
  <c r="E20" i="1"/>
  <c r="E21" i="1" s="1"/>
  <c r="D20" i="1"/>
  <c r="D21" i="1" s="1"/>
  <c r="D23" i="1" s="1"/>
  <c r="H19" i="1"/>
  <c r="H18" i="1"/>
  <c r="H20" i="1" l="1"/>
  <c r="H21" i="1" s="1"/>
  <c r="G23" i="1"/>
  <c r="G24" i="1" s="1"/>
  <c r="G25" i="1" s="1"/>
  <c r="G31" i="1" s="1"/>
  <c r="D24" i="1"/>
  <c r="E23" i="1"/>
  <c r="E24" i="1" s="1"/>
  <c r="E25" i="1" s="1"/>
  <c r="F33" i="1"/>
  <c r="F34" i="1" s="1"/>
  <c r="F35" i="1" s="1"/>
  <c r="D25" i="1"/>
  <c r="E29" i="1" l="1"/>
  <c r="E30" i="1" s="1"/>
  <c r="E31" i="1" s="1"/>
  <c r="G33" i="1"/>
  <c r="G34" i="1" s="1"/>
  <c r="G35" i="1" s="1"/>
  <c r="G36" i="1" s="1"/>
  <c r="D29" i="1"/>
  <c r="H23" i="1"/>
  <c r="H24" i="1" s="1"/>
  <c r="H25" i="1" s="1"/>
  <c r="E33" i="1" l="1"/>
  <c r="E34" i="1" s="1"/>
  <c r="E35" i="1" s="1"/>
  <c r="E36" i="1" s="1"/>
  <c r="H31" i="1"/>
  <c r="D30" i="1"/>
  <c r="D31" i="1" s="1"/>
  <c r="H29" i="1"/>
  <c r="H30" i="1" s="1"/>
  <c r="D33" i="1" l="1"/>
  <c r="H33" i="1" l="1"/>
  <c r="H34" i="1" s="1"/>
  <c r="H35" i="1" s="1"/>
  <c r="H36" i="1" s="1"/>
  <c r="D34" i="1"/>
  <c r="D35" i="1" s="1"/>
  <c r="D36" i="1" s="1"/>
</calcChain>
</file>

<file path=xl/sharedStrings.xml><?xml version="1.0" encoding="utf-8"?>
<sst xmlns="http://schemas.openxmlformats.org/spreadsheetml/2006/main" count="56" uniqueCount="55">
  <si>
    <t xml:space="preserve">                                 "Согласовано"</t>
  </si>
  <si>
    <r>
      <rPr>
        <b/>
        <sz val="9"/>
        <color theme="1"/>
        <rFont val="Arial"/>
        <family val="2"/>
        <charset val="204"/>
      </rPr>
      <t>"Утверждаю"</t>
    </r>
    <r>
      <rPr>
        <sz val="9"/>
        <color theme="1"/>
        <rFont val="Arial"/>
        <family val="2"/>
        <charset val="204"/>
      </rPr>
      <t xml:space="preserve">
Генеральный директор АО "Западная энергетическая компания"</t>
    </r>
  </si>
  <si>
    <t>Генеральный директор ООО «БалтСтройСервис»</t>
  </si>
  <si>
    <t xml:space="preserve">___________________________ /Кринтовский И. В./ </t>
  </si>
  <si>
    <t>___________________________________ /Ретиков М.Т./</t>
  </si>
  <si>
    <t>Стройка:</t>
  </si>
  <si>
    <t>Внешнее электроснабжение объекта: "Кампус ФГАОУ ВО "Балтийский федеральный университет имени И. Канта" - "Интеллектуальное пространство будущего "Кампус Кантиана", расположенного по адресу: 235041, Калининградская область, г. Калининград, ул. А. Невского, д.14, КНД 39:15:132501:139</t>
  </si>
  <si>
    <t xml:space="preserve">СВОДНЫЙ СМЕТНЫЙ РАСЧЕТ СТОИМОСТИ СТРОИТЕЛЬСТВА </t>
  </si>
  <si>
    <t>Составлен в ценах на 4 квартал 2022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</si>
  <si>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</si>
  <si>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</si>
  <si>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</si>
  <si>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</si>
  <si>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</si>
  <si>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 т.ч.   Стоимость материалов</t>
  </si>
  <si>
    <t>строительных работ</t>
  </si>
  <si>
    <t>монтажных работ</t>
  </si>
  <si>
    <t>оборудо-вания</t>
  </si>
  <si>
    <t xml:space="preserve">прочих </t>
  </si>
  <si>
    <t>Глава 2. Основные объекты строительства</t>
  </si>
  <si>
    <t>02-01-01</t>
  </si>
  <si>
    <t>Строительство КЛ-10 кВ от ПС 110 кВ Университетская до проектируемых ТП №63/1, №63/2, №63/3, №63/4.</t>
  </si>
  <si>
    <t>02-01-02</t>
  </si>
  <si>
    <t>Распределительные трансформаторные подстанции №63/1, №63/2, №63/3, №63/4.</t>
  </si>
  <si>
    <t>Итого по Главе 2:</t>
  </si>
  <si>
    <t>ИТОГО ПО ГЛАВАМ 1,2,3</t>
  </si>
  <si>
    <t xml:space="preserve">Глава 8. Временные здания и сооружения </t>
  </si>
  <si>
    <t>Методика от 19 июня 2020 г. № 332/пр прил.1 п.39.2</t>
  </si>
  <si>
    <t>Временные здания и сооружения 2.5%</t>
  </si>
  <si>
    <t>Итого по главе 8</t>
  </si>
  <si>
    <t>ИТОГО по главам 1-8</t>
  </si>
  <si>
    <t>Глава 9. Прочие работы и затраты</t>
  </si>
  <si>
    <t>09-01-01</t>
  </si>
  <si>
    <t>Строительство КЛ-10 кВ от ПС 110 кВ Университетская до проектируемых ТП №63/1, №63/2, №63/3, №63/4. Пусконаладочные работы.</t>
  </si>
  <si>
    <t>09-01-02</t>
  </si>
  <si>
    <t>Распределительные трансформаторные подстанции №63/1, №63/2, №63/3, №63/4. Пусконаладочные работы.</t>
  </si>
  <si>
    <t xml:space="preserve">ГСН 81-05-02-2007 </t>
  </si>
  <si>
    <t>Зимнее удорожание 0,756%</t>
  </si>
  <si>
    <t>Итого по главе 9</t>
  </si>
  <si>
    <t>ИТОГО по главам 1-9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</si>
  <si>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</si>
  <si>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</si>
  <si>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</si>
  <si>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</si>
  <si>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</si>
  <si>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t>Непредвиденные затраты - 3,0%</t>
  </si>
  <si>
    <t>Итого с непредвиденными затратами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</si>
  <si>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</si>
  <si>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</si>
  <si>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</si>
  <si>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</si>
  <si>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</si>
  <si>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</si>
  <si>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Приложение № 1 к договору №  12-2023/ЗЭК от 01.02.2023</t>
  </si>
  <si>
    <t xml:space="preserve">ПИР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</si>
</sst>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₽"/>
    <numFmt numFmtId="165" formatCode="#,##0.000"/>
    <numFmt numFmtId="166" formatCode="#,##0.000\ _₽"/>
    <numFmt numFmtId="167" formatCode="#,##0.00_р_.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/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3" fillId="0" borderId="2" xfId="0" applyNumberFormat="1" applyFont="1" applyBorder="1" applyAlignment="1">
      <alignment horizontal="left" vertical="center" wrapText="1"/>
    </xf>
    <xf numFmtId="167" fontId="3" fillId="3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167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4" fontId="3" fillId="4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wrapText="1"/>
    </xf>
    <xf numFmtId="4" fontId="2" fillId="0" borderId="0" xfId="0" applyNumberFormat="1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4" fontId="3" fillId="4" borderId="2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Q44"/>
  <sheetViews>
    <sheetView tabSelected="1" topLeftCell="A16" zoomScaleNormal="100" workbookViewId="0">
      <selection activeCell="Q39" sqref="Q39"/>
    </sheetView>
  </sheetViews>
  <sheetFormatPr defaultRowHeight="12" x14ac:dyDescent="0.2"/>
  <cols>
    <col min="1" max="1" width="4.140625" style="1" customWidth="1"/>
    <col min="2" max="2" width="17.28515625" style="2" customWidth="1"/>
    <col min="3" max="3" width="58.42578125" style="7" customWidth="1"/>
    <col min="4" max="4" width="14.5703125" style="8" customWidth="1"/>
    <col min="5" max="5" width="14" style="8" customWidth="1"/>
    <col min="6" max="6" width="14.5703125" style="8" customWidth="1"/>
    <col min="7" max="7" width="13.42578125" style="8" customWidth="1"/>
    <col min="8" max="8" width="15.5703125" style="8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3" width="19" style="4" customWidth="1"/>
    <col min="14" max="15" width="9.140625" style="4"/>
    <col min="16" max="16" width="11.42578125" style="4" customWidth="1"/>
    <col min="17" max="16384" width="9.140625" style="4"/>
  </cols>
  <sheetData>
    <row r="1" spans="1:12" ht="16.5" customHeight="1" x14ac:dyDescent="0.2">
      <c r="C1" s="3"/>
      <c r="D1" s="66" t="s">
        <v>53</v>
      </c>
      <c r="E1" s="66"/>
      <c r="F1" s="66"/>
      <c r="G1" s="66"/>
      <c r="H1" s="66"/>
      <c r="I1" s="66"/>
      <c r="J1" s="66"/>
    </row>
    <row r="2" spans="1:12" ht="16.5" customHeight="1" x14ac:dyDescent="0.2">
      <c r="B2" s="67" t="s">
        <v>0</v>
      </c>
      <c r="C2" s="68"/>
      <c r="D2" s="69" t="s">
        <v>1</v>
      </c>
      <c r="E2" s="69"/>
      <c r="F2" s="69"/>
      <c r="G2" s="69"/>
      <c r="H2" s="69"/>
      <c r="I2" s="1"/>
    </row>
    <row r="3" spans="1:12" ht="16.5" customHeight="1" x14ac:dyDescent="0.2">
      <c r="B3" s="57" t="s">
        <v>2</v>
      </c>
      <c r="C3" s="68"/>
      <c r="D3" s="69"/>
      <c r="E3" s="69"/>
      <c r="F3" s="69"/>
      <c r="G3" s="69"/>
      <c r="H3" s="69"/>
      <c r="I3" s="1"/>
    </row>
    <row r="4" spans="1:12" ht="16.5" customHeight="1" x14ac:dyDescent="0.2">
      <c r="B4" s="57" t="s">
        <v>3</v>
      </c>
      <c r="C4" s="68"/>
      <c r="D4" s="70" t="s">
        <v>4</v>
      </c>
      <c r="E4" s="70"/>
      <c r="F4" s="70"/>
      <c r="G4" s="70"/>
      <c r="H4" s="70"/>
      <c r="I4" s="1"/>
    </row>
    <row r="5" spans="1:12" ht="16.5" customHeight="1" x14ac:dyDescent="0.2"/>
    <row r="6" spans="1:12" ht="30" customHeight="1" x14ac:dyDescent="0.2">
      <c r="B6" s="9" t="s">
        <v>5</v>
      </c>
      <c r="C6" s="71" t="s">
        <v>6</v>
      </c>
      <c r="D6" s="71"/>
      <c r="E6" s="71"/>
      <c r="F6" s="71"/>
      <c r="G6" s="71"/>
      <c r="H6" s="71"/>
      <c r="I6" s="5"/>
    </row>
    <row r="7" spans="1:12" ht="15" customHeight="1" x14ac:dyDescent="0.2"/>
    <row r="8" spans="1:12" ht="15" customHeight="1" x14ac:dyDescent="0.2">
      <c r="A8" s="72"/>
      <c r="B8" s="72"/>
      <c r="C8" s="73" t="s">
        <v>7</v>
      </c>
      <c r="D8" s="73"/>
      <c r="E8" s="73"/>
      <c r="F8" s="73"/>
      <c r="G8" s="73"/>
      <c r="H8" s="10"/>
    </row>
    <row r="9" spans="1:12" ht="27" customHeight="1" x14ac:dyDescent="0.2">
      <c r="B9" s="74" t="s">
        <v>6</v>
      </c>
      <c r="C9" s="74"/>
      <c r="D9" s="74"/>
      <c r="E9" s="74"/>
      <c r="F9" s="74"/>
      <c r="G9" s="74"/>
      <c r="H9" s="74"/>
    </row>
    <row r="10" spans="1:12" ht="15.75" customHeight="1" x14ac:dyDescent="0.2">
      <c r="B10" s="1"/>
      <c r="C10" s="75"/>
      <c r="D10" s="75"/>
      <c r="E10" s="75"/>
      <c r="F10" s="75"/>
      <c r="G10" s="75"/>
      <c r="H10" s="10"/>
    </row>
    <row r="11" spans="1:12" ht="15.75" customHeight="1" x14ac:dyDescent="0.2">
      <c r="A11" s="65" t="s">
        <v>8</v>
      </c>
      <c r="B11" s="65"/>
      <c r="C11" s="65"/>
      <c r="D11" s="65"/>
      <c r="E11" s="65"/>
      <c r="F11" s="65"/>
      <c r="G11" s="65"/>
      <c r="H11" s="65"/>
    </row>
    <row r="12" spans="1:12" ht="15" customHeight="1" x14ac:dyDescent="0.2">
      <c r="A12" s="59" t="s">
        <v>9</v>
      </c>
      <c r="B12" s="60" t="s">
        <v>10</v>
      </c>
      <c r="C12" s="59" t="s">
        <v>11</v>
      </c>
      <c r="D12" s="61" t="s">
        <v>12</v>
      </c>
      <c r="E12" s="61"/>
      <c r="F12" s="61"/>
      <c r="G12" s="61"/>
      <c r="H12" s="59" t="s">
        <v>13</v>
      </c>
      <c r="J12" s="62" t="s">
        <v>14</v>
      </c>
    </row>
    <row r="13" spans="1:12" x14ac:dyDescent="0.2">
      <c r="A13" s="59"/>
      <c r="B13" s="60"/>
      <c r="C13" s="59"/>
      <c r="D13" s="59" t="s">
        <v>15</v>
      </c>
      <c r="E13" s="59" t="s">
        <v>16</v>
      </c>
      <c r="F13" s="59" t="s">
        <v>17</v>
      </c>
      <c r="G13" s="59" t="s">
        <v>18</v>
      </c>
      <c r="H13" s="59"/>
      <c r="J13" s="63"/>
      <c r="L13" s="11"/>
    </row>
    <row r="14" spans="1:12" ht="12" customHeight="1" x14ac:dyDescent="0.2">
      <c r="A14" s="59"/>
      <c r="B14" s="60"/>
      <c r="C14" s="59"/>
      <c r="D14" s="59"/>
      <c r="E14" s="59"/>
      <c r="F14" s="59"/>
      <c r="G14" s="59"/>
      <c r="H14" s="59"/>
      <c r="J14" s="63"/>
      <c r="L14" s="11"/>
    </row>
    <row r="15" spans="1:12" ht="4.5" customHeight="1" x14ac:dyDescent="0.2">
      <c r="A15" s="59"/>
      <c r="B15" s="60"/>
      <c r="C15" s="59"/>
      <c r="D15" s="59"/>
      <c r="E15" s="59"/>
      <c r="F15" s="59"/>
      <c r="G15" s="59"/>
      <c r="H15" s="59"/>
      <c r="J15" s="64"/>
      <c r="L15" s="11"/>
    </row>
    <row r="16" spans="1:12" ht="13.5" customHeight="1" x14ac:dyDescent="0.2">
      <c r="A16" s="12">
        <v>1</v>
      </c>
      <c r="B16" s="13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J16" s="14"/>
      <c r="L16" s="11"/>
    </row>
    <row r="17" spans="1:12" ht="16.5" customHeight="1" x14ac:dyDescent="0.2">
      <c r="A17" s="12"/>
      <c r="B17" s="53" t="s">
        <v>19</v>
      </c>
      <c r="C17" s="54"/>
      <c r="D17" s="15"/>
      <c r="E17" s="15"/>
      <c r="F17" s="15"/>
      <c r="G17" s="15"/>
      <c r="H17" s="15"/>
      <c r="I17" s="16"/>
      <c r="J17" s="16"/>
      <c r="L17" s="17"/>
    </row>
    <row r="18" spans="1:12" ht="30" customHeight="1" x14ac:dyDescent="0.2">
      <c r="A18" s="12">
        <v>1</v>
      </c>
      <c r="B18" s="18" t="s">
        <v>20</v>
      </c>
      <c r="C18" s="19" t="s">
        <v>21</v>
      </c>
      <c r="D18" s="20">
        <v>15201965</v>
      </c>
      <c r="E18" s="20">
        <v>2005332</v>
      </c>
      <c r="F18" s="20">
        <v>3181101</v>
      </c>
      <c r="G18" s="20">
        <v>0</v>
      </c>
      <c r="H18" s="21">
        <f t="shared" ref="H18:H19" si="0">D18+E18+F18+G18</f>
        <v>20388398</v>
      </c>
      <c r="I18" s="16"/>
      <c r="J18" s="16"/>
      <c r="L18" s="17"/>
    </row>
    <row r="19" spans="1:12" ht="30" customHeight="1" x14ac:dyDescent="0.2">
      <c r="A19" s="12">
        <v>2</v>
      </c>
      <c r="B19" s="18" t="s">
        <v>22</v>
      </c>
      <c r="C19" s="19" t="s">
        <v>23</v>
      </c>
      <c r="D19" s="20">
        <v>932880</v>
      </c>
      <c r="E19" s="20">
        <v>5004450</v>
      </c>
      <c r="F19" s="20">
        <v>25394166</v>
      </c>
      <c r="G19" s="20">
        <v>0</v>
      </c>
      <c r="H19" s="21">
        <f t="shared" si="0"/>
        <v>31331496</v>
      </c>
      <c r="I19" s="16"/>
      <c r="J19" s="16"/>
      <c r="L19" s="17"/>
    </row>
    <row r="20" spans="1:12" ht="16.5" customHeight="1" x14ac:dyDescent="0.2">
      <c r="A20" s="12"/>
      <c r="B20" s="22"/>
      <c r="C20" s="23" t="s">
        <v>24</v>
      </c>
      <c r="D20" s="24">
        <f>SUM(D18:D19)</f>
        <v>16134845</v>
      </c>
      <c r="E20" s="24">
        <f>SUM(E18:E19)</f>
        <v>7009782</v>
      </c>
      <c r="F20" s="24">
        <f>SUM(F18:F19)</f>
        <v>28575267</v>
      </c>
      <c r="G20" s="25">
        <f>SUM(G18:G19)</f>
        <v>0</v>
      </c>
      <c r="H20" s="26">
        <f>SUM(H18:H19)</f>
        <v>51719894</v>
      </c>
      <c r="I20" s="16"/>
      <c r="J20" s="16"/>
      <c r="L20" s="17"/>
    </row>
    <row r="21" spans="1:12" ht="16.5" customHeight="1" x14ac:dyDescent="0.2">
      <c r="A21" s="27"/>
      <c r="B21" s="22"/>
      <c r="C21" s="28" t="s">
        <v>25</v>
      </c>
      <c r="D21" s="26">
        <f>D20</f>
        <v>16134845</v>
      </c>
      <c r="E21" s="26">
        <f>E20</f>
        <v>7009782</v>
      </c>
      <c r="F21" s="26">
        <f>F20</f>
        <v>28575267</v>
      </c>
      <c r="G21" s="26">
        <f>G20</f>
        <v>0</v>
      </c>
      <c r="H21" s="26">
        <f>H20</f>
        <v>51719894</v>
      </c>
      <c r="I21" s="29" t="e">
        <f>#REF!+#REF!+#REF!</f>
        <v>#REF!</v>
      </c>
      <c r="J21" s="29" t="e">
        <f>#REF!+#REF!+#REF!</f>
        <v>#REF!</v>
      </c>
    </row>
    <row r="22" spans="1:12" ht="16.5" customHeight="1" x14ac:dyDescent="0.2">
      <c r="A22" s="12"/>
      <c r="B22" s="30"/>
      <c r="C22" s="31" t="s">
        <v>26</v>
      </c>
      <c r="D22" s="21"/>
      <c r="E22" s="15"/>
      <c r="F22" s="15"/>
      <c r="G22" s="15"/>
      <c r="H22" s="15"/>
      <c r="J22" s="32"/>
      <c r="L22" s="11"/>
    </row>
    <row r="23" spans="1:12" ht="27" customHeight="1" x14ac:dyDescent="0.2">
      <c r="A23" s="12">
        <v>3</v>
      </c>
      <c r="B23" s="33" t="s">
        <v>27</v>
      </c>
      <c r="C23" s="34" t="s">
        <v>28</v>
      </c>
      <c r="D23" s="20">
        <f>D21*0.025</f>
        <v>403371.125</v>
      </c>
      <c r="E23" s="20">
        <f>E21*0.025</f>
        <v>175244.55000000002</v>
      </c>
      <c r="F23" s="20">
        <v>0</v>
      </c>
      <c r="G23" s="20">
        <f>G21*0.039</f>
        <v>0</v>
      </c>
      <c r="H23" s="20">
        <f>SUM(D23:G23)</f>
        <v>578615.67500000005</v>
      </c>
      <c r="J23" s="32"/>
      <c r="L23" s="11"/>
    </row>
    <row r="24" spans="1:12" ht="15.75" customHeight="1" x14ac:dyDescent="0.2">
      <c r="A24" s="12"/>
      <c r="B24" s="18"/>
      <c r="C24" s="35" t="s">
        <v>29</v>
      </c>
      <c r="D24" s="21">
        <f>D23</f>
        <v>403371.125</v>
      </c>
      <c r="E24" s="21">
        <f>E23</f>
        <v>175244.55000000002</v>
      </c>
      <c r="F24" s="21">
        <f>F23</f>
        <v>0</v>
      </c>
      <c r="G24" s="21">
        <f>G23</f>
        <v>0</v>
      </c>
      <c r="H24" s="21">
        <f>H23</f>
        <v>578615.67500000005</v>
      </c>
      <c r="J24" s="32"/>
      <c r="L24" s="11"/>
    </row>
    <row r="25" spans="1:12" ht="15.75" customHeight="1" x14ac:dyDescent="0.2">
      <c r="A25" s="12"/>
      <c r="B25" s="18"/>
      <c r="C25" s="35" t="s">
        <v>30</v>
      </c>
      <c r="D25" s="21">
        <f>D21+D24</f>
        <v>16538216.125</v>
      </c>
      <c r="E25" s="21">
        <f>E21+E24</f>
        <v>7185026.5499999998</v>
      </c>
      <c r="F25" s="21">
        <f>F21+F24</f>
        <v>28575267</v>
      </c>
      <c r="G25" s="21">
        <f>G21+G24</f>
        <v>0</v>
      </c>
      <c r="H25" s="21">
        <f>H21+H24</f>
        <v>52298509.674999997</v>
      </c>
      <c r="J25" s="32"/>
      <c r="L25" s="11"/>
    </row>
    <row r="26" spans="1:12" ht="15.75" customHeight="1" x14ac:dyDescent="0.2">
      <c r="A26" s="12"/>
      <c r="B26" s="18"/>
      <c r="C26" s="31" t="s">
        <v>31</v>
      </c>
      <c r="D26" s="20"/>
      <c r="E26" s="36"/>
      <c r="F26" s="36"/>
      <c r="G26" s="36"/>
      <c r="H26" s="36"/>
      <c r="J26" s="32"/>
      <c r="L26" s="11"/>
    </row>
    <row r="27" spans="1:12" ht="36" customHeight="1" x14ac:dyDescent="0.2">
      <c r="A27" s="12">
        <v>4</v>
      </c>
      <c r="B27" s="22" t="s">
        <v>32</v>
      </c>
      <c r="C27" s="19" t="s">
        <v>33</v>
      </c>
      <c r="D27" s="37">
        <v>0</v>
      </c>
      <c r="E27" s="37">
        <v>0</v>
      </c>
      <c r="F27" s="37">
        <v>0</v>
      </c>
      <c r="G27" s="38">
        <v>84783</v>
      </c>
      <c r="H27" s="26">
        <f>G27</f>
        <v>84783</v>
      </c>
      <c r="J27" s="32"/>
      <c r="L27" s="11"/>
    </row>
    <row r="28" spans="1:12" ht="27.75" customHeight="1" x14ac:dyDescent="0.2">
      <c r="A28" s="12">
        <v>5</v>
      </c>
      <c r="B28" s="22" t="s">
        <v>34</v>
      </c>
      <c r="C28" s="19" t="s">
        <v>35</v>
      </c>
      <c r="D28" s="37">
        <v>0</v>
      </c>
      <c r="E28" s="37">
        <v>0</v>
      </c>
      <c r="F28" s="37">
        <v>0</v>
      </c>
      <c r="G28" s="38">
        <v>1640159</v>
      </c>
      <c r="H28" s="26">
        <f t="shared" ref="H28" si="1">G28</f>
        <v>1640159</v>
      </c>
      <c r="J28" s="32"/>
      <c r="L28" s="11"/>
    </row>
    <row r="29" spans="1:12" ht="15.75" customHeight="1" x14ac:dyDescent="0.2">
      <c r="A29" s="12">
        <v>6</v>
      </c>
      <c r="B29" s="18" t="s">
        <v>36</v>
      </c>
      <c r="C29" s="39" t="s">
        <v>37</v>
      </c>
      <c r="D29" s="20">
        <f>D25*0.00756</f>
        <v>125028.91390499999</v>
      </c>
      <c r="E29" s="20">
        <f>E25*0.00756</f>
        <v>54318.800717999999</v>
      </c>
      <c r="F29" s="20">
        <v>0</v>
      </c>
      <c r="G29" s="20">
        <v>0</v>
      </c>
      <c r="H29" s="21">
        <f>D29+E29</f>
        <v>179347.71462300001</v>
      </c>
      <c r="I29" s="40" t="e">
        <f>(#REF!+I23)*0.00756</f>
        <v>#REF!</v>
      </c>
      <c r="J29" s="40"/>
      <c r="L29" s="11"/>
    </row>
    <row r="30" spans="1:12" ht="15.75" customHeight="1" x14ac:dyDescent="0.2">
      <c r="A30" s="12"/>
      <c r="B30" s="18"/>
      <c r="C30" s="35" t="s">
        <v>38</v>
      </c>
      <c r="D30" s="21">
        <f>SUM(D27:D29)</f>
        <v>125028.91390499999</v>
      </c>
      <c r="E30" s="21">
        <f>SUM(E27:E29)</f>
        <v>54318.800717999999</v>
      </c>
      <c r="F30" s="21">
        <f>SUM(F27:F29)</f>
        <v>0</v>
      </c>
      <c r="G30" s="21">
        <f>SUM(G27:G29)</f>
        <v>1724942</v>
      </c>
      <c r="H30" s="21">
        <f>SUM(H27:H29)</f>
        <v>1904289.714623</v>
      </c>
      <c r="I30" s="29" t="e">
        <f>I23+I29</f>
        <v>#REF!</v>
      </c>
      <c r="J30" s="29">
        <f>J23+J29</f>
        <v>0</v>
      </c>
      <c r="L30" s="11"/>
    </row>
    <row r="31" spans="1:12" ht="15.75" customHeight="1" x14ac:dyDescent="0.2">
      <c r="A31" s="12"/>
      <c r="B31" s="41"/>
      <c r="C31" s="35" t="s">
        <v>39</v>
      </c>
      <c r="D31" s="21">
        <f>D25+D30</f>
        <v>16663245.038905</v>
      </c>
      <c r="E31" s="21">
        <f>E25+E30</f>
        <v>7239345.350718</v>
      </c>
      <c r="F31" s="21">
        <f>F25+F30</f>
        <v>28575267</v>
      </c>
      <c r="G31" s="21">
        <f>G25+G30</f>
        <v>1724942</v>
      </c>
      <c r="H31" s="21">
        <f>H25+H30</f>
        <v>54202799.389622994</v>
      </c>
      <c r="I31" s="29" t="e">
        <f>#REF!+I30</f>
        <v>#REF!</v>
      </c>
      <c r="J31" s="29" t="e">
        <f>#REF!+J30</f>
        <v>#REF!</v>
      </c>
      <c r="L31" s="11"/>
    </row>
    <row r="32" spans="1:12" ht="15.75" customHeight="1" x14ac:dyDescent="0.2">
      <c r="A32" s="12"/>
      <c r="B32" s="18"/>
      <c r="C32" s="31" t="s">
        <v>40</v>
      </c>
      <c r="D32" s="36"/>
      <c r="E32" s="36"/>
      <c r="F32" s="36"/>
      <c r="G32" s="36"/>
      <c r="H32" s="36"/>
      <c r="I32" s="29"/>
      <c r="J32" s="29"/>
      <c r="L32" s="11"/>
    </row>
    <row r="33" spans="1:17" ht="22.5" customHeight="1" x14ac:dyDescent="0.2">
      <c r="A33" s="12">
        <v>7</v>
      </c>
      <c r="B33" s="33" t="s">
        <v>41</v>
      </c>
      <c r="C33" s="39" t="s">
        <v>42</v>
      </c>
      <c r="D33" s="20">
        <f>D31*0.0214</f>
        <v>356593.44383256696</v>
      </c>
      <c r="E33" s="20">
        <f>E31*0.0214</f>
        <v>154921.99050536519</v>
      </c>
      <c r="F33" s="20">
        <f>F31*0.0214</f>
        <v>611510.71379999991</v>
      </c>
      <c r="G33" s="20">
        <f>G31*0.00214</f>
        <v>3691.3758800000001</v>
      </c>
      <c r="H33" s="20">
        <f>D33+E33+F33+G33</f>
        <v>1126717.5240179321</v>
      </c>
      <c r="I33" s="29"/>
      <c r="J33" s="29"/>
      <c r="L33" s="11"/>
    </row>
    <row r="34" spans="1:17" ht="15.75" customHeight="1" x14ac:dyDescent="0.2">
      <c r="A34" s="12"/>
      <c r="B34" s="18"/>
      <c r="C34" s="35" t="s">
        <v>43</v>
      </c>
      <c r="D34" s="21">
        <f>D33</f>
        <v>356593.44383256696</v>
      </c>
      <c r="E34" s="21">
        <f>E33</f>
        <v>154921.99050536519</v>
      </c>
      <c r="F34" s="21">
        <f>F29+F33</f>
        <v>611510.71379999991</v>
      </c>
      <c r="G34" s="21">
        <f>G29+G33</f>
        <v>3691.3758800000001</v>
      </c>
      <c r="H34" s="21">
        <f>H33</f>
        <v>1126717.5240179321</v>
      </c>
      <c r="I34" s="29"/>
      <c r="J34" s="29"/>
      <c r="L34" s="11"/>
    </row>
    <row r="35" spans="1:17" ht="15.75" customHeight="1" x14ac:dyDescent="0.2">
      <c r="A35" s="12"/>
      <c r="B35" s="41"/>
      <c r="C35" s="35" t="s">
        <v>44</v>
      </c>
      <c r="D35" s="21">
        <f>D31+D34</f>
        <v>17019838.482737567</v>
      </c>
      <c r="E35" s="21">
        <f>E31+E34</f>
        <v>7394267.3412233647</v>
      </c>
      <c r="F35" s="21">
        <f>F31+F34</f>
        <v>29186777.713799998</v>
      </c>
      <c r="G35" s="21">
        <f>G31+G34</f>
        <v>1728633.3758799999</v>
      </c>
      <c r="H35" s="21">
        <f>H31+H34</f>
        <v>55329516.913640924</v>
      </c>
      <c r="I35" s="29"/>
      <c r="J35" s="29"/>
      <c r="L35" s="11"/>
    </row>
    <row r="36" spans="1:17" ht="15.75" customHeight="1" x14ac:dyDescent="0.2">
      <c r="A36" s="12">
        <v>8</v>
      </c>
      <c r="B36" s="18"/>
      <c r="C36" s="42" t="s">
        <v>45</v>
      </c>
      <c r="D36" s="21">
        <f>D35*0.03</f>
        <v>510595.15448212699</v>
      </c>
      <c r="E36" s="21">
        <f>E35*0.03</f>
        <v>221828.02023670092</v>
      </c>
      <c r="F36" s="21">
        <f>F31*0.03</f>
        <v>857258.01</v>
      </c>
      <c r="G36" s="21">
        <f>G35*0.03</f>
        <v>51859.001276399998</v>
      </c>
      <c r="H36" s="21">
        <f>H35*0.03</f>
        <v>1659885.5074092275</v>
      </c>
    </row>
    <row r="37" spans="1:17" ht="15.75" customHeight="1" x14ac:dyDescent="0.2">
      <c r="A37" s="12"/>
      <c r="B37" s="22"/>
      <c r="C37" s="28" t="s">
        <v>46</v>
      </c>
      <c r="D37" s="43">
        <v>17530433.640000001</v>
      </c>
      <c r="E37" s="43">
        <v>7616095.3600000003</v>
      </c>
      <c r="F37" s="43">
        <f>F35+F36</f>
        <v>30044035.7238</v>
      </c>
      <c r="G37" s="43">
        <v>1780492.38</v>
      </c>
      <c r="H37" s="43">
        <f>H35+H36</f>
        <v>56989402.421050154</v>
      </c>
      <c r="M37" s="52"/>
      <c r="P37" s="78">
        <v>4351161</v>
      </c>
    </row>
    <row r="38" spans="1:17" ht="15.75" customHeight="1" x14ac:dyDescent="0.2">
      <c r="A38" s="44"/>
      <c r="B38" s="45"/>
      <c r="C38" s="46" t="s">
        <v>47</v>
      </c>
      <c r="D38" s="47">
        <f>D37*0.2</f>
        <v>3506086.7280000001</v>
      </c>
      <c r="E38" s="47">
        <f>E37*0.2</f>
        <v>1523219.0720000002</v>
      </c>
      <c r="F38" s="47">
        <f>F37*0.2</f>
        <v>6008807.1447600005</v>
      </c>
      <c r="G38" s="47">
        <f>G37*0.2</f>
        <v>356098.47600000002</v>
      </c>
      <c r="H38" s="47">
        <f>H37*0.2</f>
        <v>11397880.484210031</v>
      </c>
      <c r="N38" s="4" t="s">
        <v>54</v>
      </c>
      <c r="P38" s="78">
        <f>4351161*0.2</f>
        <v>870232.20000000007</v>
      </c>
    </row>
    <row r="39" spans="1:17" ht="15.75" customHeight="1" x14ac:dyDescent="0.2">
      <c r="A39" s="44"/>
      <c r="B39" s="48"/>
      <c r="C39" s="49" t="s">
        <v>48</v>
      </c>
      <c r="D39" s="50">
        <f>D37+D38</f>
        <v>21036520.368000001</v>
      </c>
      <c r="E39" s="50">
        <f>E37+E38</f>
        <v>9139314.432</v>
      </c>
      <c r="F39" s="50">
        <f>F37+F38</f>
        <v>36052842.868560001</v>
      </c>
      <c r="G39" s="50">
        <f>G37+G38</f>
        <v>2136590.8559999997</v>
      </c>
      <c r="H39" s="50">
        <f>H37+H38</f>
        <v>68387282.90526019</v>
      </c>
      <c r="M39" s="52"/>
      <c r="P39" s="78">
        <f>SUM(P37:P38)</f>
        <v>5221393.2</v>
      </c>
      <c r="Q39" s="4">
        <f>(H39+P39)/1000000</f>
        <v>73.608676105260187</v>
      </c>
    </row>
    <row r="40" spans="1:17" x14ac:dyDescent="0.2">
      <c r="D40" s="77">
        <f>4351161/1000000</f>
        <v>4.3511610000000003</v>
      </c>
      <c r="E40" s="76">
        <f>(D37+E37)/1000000</f>
        <v>25.146529000000001</v>
      </c>
      <c r="F40" s="77">
        <f>F37/1000000</f>
        <v>30.0440357238</v>
      </c>
      <c r="G40" s="77">
        <f>G37/1000000</f>
        <v>1.7804923799999999</v>
      </c>
      <c r="H40" s="77">
        <f>H39/1000000</f>
        <v>68.387282905260193</v>
      </c>
    </row>
    <row r="42" spans="1:17" x14ac:dyDescent="0.2">
      <c r="B42" s="51" t="s">
        <v>49</v>
      </c>
      <c r="C42" s="6"/>
      <c r="D42" s="6" t="s">
        <v>50</v>
      </c>
      <c r="E42" s="4"/>
    </row>
    <row r="43" spans="1:17" x14ac:dyDescent="0.2">
      <c r="B43" s="55" t="s">
        <v>51</v>
      </c>
      <c r="C43" s="56"/>
      <c r="D43" s="57" t="s">
        <v>52</v>
      </c>
      <c r="E43" s="58"/>
      <c r="F43" s="58"/>
      <c r="G43" s="58"/>
      <c r="H43" s="58"/>
      <c r="I43" s="58"/>
    </row>
    <row r="44" spans="1:17" x14ac:dyDescent="0.2">
      <c r="B44" s="56"/>
      <c r="C44" s="56"/>
      <c r="D44" s="58"/>
      <c r="E44" s="58"/>
      <c r="F44" s="58"/>
      <c r="G44" s="58"/>
      <c r="H44" s="58"/>
      <c r="I44" s="58"/>
    </row>
  </sheetData>
  <mergeCells count="25">
    <mergeCell ref="A11:H11"/>
    <mergeCell ref="D1:J1"/>
    <mergeCell ref="B2:C2"/>
    <mergeCell ref="D2:H3"/>
    <mergeCell ref="B3:C3"/>
    <mergeCell ref="B4:C4"/>
    <mergeCell ref="D4:H4"/>
    <mergeCell ref="C6:H6"/>
    <mergeCell ref="A8:B8"/>
    <mergeCell ref="C8:G8"/>
    <mergeCell ref="B9:H9"/>
    <mergeCell ref="C10:G10"/>
    <mergeCell ref="J12:J15"/>
    <mergeCell ref="D13:D15"/>
    <mergeCell ref="E13:E15"/>
    <mergeCell ref="F13:F15"/>
    <mergeCell ref="G13:G15"/>
    <mergeCell ref="B17:C17"/>
    <mergeCell ref="B43:C44"/>
    <mergeCell ref="D43:I44"/>
    <mergeCell ref="A12:A15"/>
    <mergeCell ref="B12:B15"/>
    <mergeCell ref="C12:C15"/>
    <mergeCell ref="D12:G12"/>
    <mergeCell ref="H12:H15"/>
  </mergeCells>
  <pageMargins left="0.23622047244094491" right="0.23622047244094491" top="0.35433070866141736" bottom="0.19685039370078741" header="0.11811023622047245" footer="0.11811023622047245"/>
  <pageSetup paperSize="9" scale="75" orientation="landscape" r:id="rId1"/>
  <ignoredErrors>
    <ignoredError sqref="H3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Пользователь</cp:lastModifiedBy>
  <cp:lastPrinted>2023-02-12T09:46:44Z</cp:lastPrinted>
  <dcterms:created xsi:type="dcterms:W3CDTF">2023-02-07T08:38:49Z</dcterms:created>
  <dcterms:modified xsi:type="dcterms:W3CDTF">2023-02-21T19:20:21Z</dcterms:modified>
</cp:coreProperties>
</file>