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J 19-15\J 19-15_паспорт_карта\"/>
    </mc:Choice>
  </mc:AlternateContent>
  <xr:revisionPtr revIDLastSave="0" documentId="13_ncr:1_{D6DD48BB-DFF2-41A6-ABB3-B8155B6ED3C4}" xr6:coauthVersionLast="47" xr6:coauthVersionMax="47" xr10:uidLastSave="{00000000-0000-0000-0000-000000000000}"/>
  <bookViews>
    <workbookView xWindow="450" yWindow="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25" i="53" l="1"/>
  <c r="G50" i="16"/>
  <c r="G54" i="16"/>
  <c r="G53" i="16"/>
  <c r="A5" i="58"/>
  <c r="A15" i="58" l="1"/>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D80" i="58" s="1"/>
  <c r="AC58" i="58"/>
  <c r="AC80" i="58" s="1"/>
  <c r="AB58" i="58"/>
  <c r="AB80" i="58" s="1"/>
  <c r="AA58" i="58"/>
  <c r="AA80" i="58" s="1"/>
  <c r="Z58" i="58"/>
  <c r="Z80" i="58" s="1"/>
  <c r="Y58" i="58"/>
  <c r="Y80" i="58" s="1"/>
  <c r="X58" i="58"/>
  <c r="X80" i="58" s="1"/>
  <c r="W58" i="58"/>
  <c r="W80" i="58" s="1"/>
  <c r="V58" i="58"/>
  <c r="V80" i="58" s="1"/>
  <c r="U58" i="58"/>
  <c r="U80" i="58" s="1"/>
  <c r="T58" i="58"/>
  <c r="T80" i="58" s="1"/>
  <c r="S58" i="58"/>
  <c r="R58" i="58"/>
  <c r="R80" i="58" s="1"/>
  <c r="Q58" i="58"/>
  <c r="Q80" i="58" s="1"/>
  <c r="P58" i="58"/>
  <c r="P80" i="58" s="1"/>
  <c r="O58" i="58"/>
  <c r="N58" i="58"/>
  <c r="N80" i="58" s="1"/>
  <c r="M58" i="58"/>
  <c r="M80" i="58" s="1"/>
  <c r="L58" i="58"/>
  <c r="L80" i="58" s="1"/>
  <c r="K58" i="58"/>
  <c r="K80" i="58" s="1"/>
  <c r="J58" i="58"/>
  <c r="J80" i="58" s="1"/>
  <c r="I58" i="58"/>
  <c r="I80" i="58" s="1"/>
  <c r="H58" i="58"/>
  <c r="H80" i="58" s="1"/>
  <c r="G58" i="58"/>
  <c r="G80" i="58" s="1"/>
  <c r="F58" i="58"/>
  <c r="F80" i="58" s="1"/>
  <c r="E58" i="58"/>
  <c r="E80" i="58" s="1"/>
  <c r="D58" i="58"/>
  <c r="D80" i="58" s="1"/>
  <c r="C58" i="58"/>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AE80" i="58" l="1"/>
  <c r="C80" i="58"/>
  <c r="O80" i="58"/>
  <c r="S80" i="58"/>
  <c r="AA24" i="57" l="1"/>
  <c r="W24" i="57"/>
  <c r="S24" i="57"/>
  <c r="E41" i="57"/>
  <c r="F41" i="57"/>
  <c r="E56" i="57"/>
  <c r="F56" i="57"/>
  <c r="E63" i="57"/>
  <c r="F63" i="57"/>
  <c r="D64" i="57"/>
  <c r="F64" i="57" s="1"/>
  <c r="D62" i="57"/>
  <c r="F62" i="57" s="1"/>
  <c r="D61" i="57"/>
  <c r="F61" i="57" s="1"/>
  <c r="D60" i="57"/>
  <c r="F60" i="57" s="1"/>
  <c r="D59" i="57"/>
  <c r="F59" i="57" s="1"/>
  <c r="D58" i="57"/>
  <c r="F58" i="57" s="1"/>
  <c r="D57" i="57"/>
  <c r="F57" i="57" s="1"/>
  <c r="D55" i="57"/>
  <c r="F55" i="57" s="1"/>
  <c r="D54" i="57"/>
  <c r="F54" i="57" s="1"/>
  <c r="D53" i="57"/>
  <c r="F53" i="57" s="1"/>
  <c r="D51" i="57"/>
  <c r="F51" i="57" s="1"/>
  <c r="D50" i="57"/>
  <c r="F50" i="57" s="1"/>
  <c r="D49" i="57"/>
  <c r="F49" i="57" s="1"/>
  <c r="D48" i="57"/>
  <c r="F48" i="57" s="1"/>
  <c r="D47" i="57"/>
  <c r="F47" i="57" s="1"/>
  <c r="D46" i="57"/>
  <c r="F46" i="57" s="1"/>
  <c r="D45" i="57"/>
  <c r="F45" i="57" s="1"/>
  <c r="D44" i="57"/>
  <c r="F44" i="57" s="1"/>
  <c r="D43" i="57"/>
  <c r="F43" i="57" s="1"/>
  <c r="D42" i="57"/>
  <c r="F42" i="57" s="1"/>
  <c r="D40" i="57"/>
  <c r="F40" i="57" s="1"/>
  <c r="D39" i="57"/>
  <c r="F39" i="57" s="1"/>
  <c r="D38" i="57"/>
  <c r="F38" i="57" s="1"/>
  <c r="D37" i="57"/>
  <c r="F37" i="57" s="1"/>
  <c r="D36" i="57"/>
  <c r="F36" i="57" s="1"/>
  <c r="D35" i="57"/>
  <c r="F35" i="57" s="1"/>
  <c r="D34" i="57"/>
  <c r="F34" i="57" s="1"/>
  <c r="D33" i="57"/>
  <c r="F33" i="57" s="1"/>
  <c r="D32" i="57"/>
  <c r="F32" i="57" s="1"/>
  <c r="D31" i="57"/>
  <c r="F31" i="57" s="1"/>
  <c r="D29" i="57"/>
  <c r="F29" i="57" s="1"/>
  <c r="D28" i="57"/>
  <c r="F28" i="57" s="1"/>
  <c r="D26" i="57"/>
  <c r="F26" i="57" s="1"/>
  <c r="D25" i="57"/>
  <c r="F25" i="57" s="1"/>
  <c r="D30" i="57" l="1"/>
  <c r="D52" i="57" s="1"/>
  <c r="F52" i="57" s="1"/>
  <c r="C32" i="57"/>
  <c r="E32" i="57" s="1"/>
  <c r="C31" i="57"/>
  <c r="E31" i="57" s="1"/>
  <c r="D24" i="57" l="1"/>
  <c r="B24" i="58"/>
  <c r="F30" i="57"/>
  <c r="C34" i="57"/>
  <c r="C33" i="57"/>
  <c r="AB32" i="57"/>
  <c r="AB31" i="57"/>
  <c r="C67" i="58" l="1"/>
  <c r="D67" i="58" s="1"/>
  <c r="D65" i="58" s="1"/>
  <c r="D59" i="58" s="1"/>
  <c r="D66" i="58" s="1"/>
  <c r="C65" i="58"/>
  <c r="C59" i="58" s="1"/>
  <c r="C66" i="58" s="1"/>
  <c r="AB34" i="57"/>
  <c r="E34" i="57"/>
  <c r="B49" i="58"/>
  <c r="B58" i="58" s="1"/>
  <c r="B34" i="58"/>
  <c r="J61" i="58" s="1"/>
  <c r="B28" i="58"/>
  <c r="H60" i="58" s="1"/>
  <c r="E33" i="57"/>
  <c r="D27" i="57"/>
  <c r="F27" i="57" s="1"/>
  <c r="F24" i="57"/>
  <c r="C30" i="57"/>
  <c r="AB30" i="57" l="1"/>
  <c r="E30" i="57"/>
  <c r="AC30" i="57" s="1"/>
  <c r="R61" i="58"/>
  <c r="B66" i="58"/>
  <c r="B68" i="58" s="1"/>
  <c r="B80" i="58"/>
  <c r="N60" i="58"/>
  <c r="C24" i="57"/>
  <c r="E24" i="57" s="1"/>
  <c r="AB41" i="57"/>
  <c r="AB56" i="57"/>
  <c r="AB63" i="57"/>
  <c r="Z61" i="58" l="1"/>
  <c r="B81" i="58"/>
  <c r="AC24" i="57"/>
  <c r="T60" i="58"/>
  <c r="B75" i="58"/>
  <c r="B70" i="58"/>
  <c r="C49" i="7"/>
  <c r="Z60" i="58" l="1"/>
  <c r="B71" i="58"/>
  <c r="B72" i="58" s="1"/>
  <c r="B79" i="58"/>
  <c r="C79" i="58" s="1"/>
  <c r="L33" i="57"/>
  <c r="AB33" i="57" s="1"/>
  <c r="C52" i="57"/>
  <c r="E52" i="57" s="1"/>
  <c r="C49" i="57"/>
  <c r="E49" i="57" s="1"/>
  <c r="D76" i="58" l="1"/>
  <c r="E67" i="58"/>
  <c r="D68" i="58"/>
  <c r="D79" i="58"/>
  <c r="C76" i="58"/>
  <c r="C68" i="58"/>
  <c r="B78" i="58"/>
  <c r="B83" i="58" s="1"/>
  <c r="B27" i="53"/>
  <c r="AB52" i="57"/>
  <c r="AB49" i="57"/>
  <c r="C27" i="57"/>
  <c r="E27" i="57" s="1"/>
  <c r="AC27" i="57" s="1"/>
  <c r="C48" i="7"/>
  <c r="B97" i="53"/>
  <c r="E65" i="58" l="1"/>
  <c r="E59" i="58" s="1"/>
  <c r="E66" i="58" s="1"/>
  <c r="B86" i="58"/>
  <c r="B88" i="58"/>
  <c r="B84" i="58"/>
  <c r="B89" i="58" s="1"/>
  <c r="D70" i="58"/>
  <c r="D71" i="58" s="1"/>
  <c r="D72" i="58" s="1"/>
  <c r="D75" i="58"/>
  <c r="C70" i="58"/>
  <c r="C71" i="58" s="1"/>
  <c r="C75" i="58"/>
  <c r="E68" i="58"/>
  <c r="E76" i="58"/>
  <c r="F67" i="58"/>
  <c r="E79" i="58"/>
  <c r="F79" i="58" s="1"/>
  <c r="AB27" i="57"/>
  <c r="B24" i="53"/>
  <c r="N49" i="57"/>
  <c r="N33" i="57"/>
  <c r="N31" i="57"/>
  <c r="J64" i="57"/>
  <c r="J63" i="57"/>
  <c r="AC63" i="57" s="1"/>
  <c r="J62" i="57"/>
  <c r="J61" i="57"/>
  <c r="J60" i="57"/>
  <c r="J59" i="57"/>
  <c r="J58" i="57"/>
  <c r="J57" i="57"/>
  <c r="J56" i="57"/>
  <c r="AC56" i="57" s="1"/>
  <c r="J55" i="57"/>
  <c r="J54" i="57"/>
  <c r="J53" i="57"/>
  <c r="J52" i="57"/>
  <c r="AC52" i="57" s="1"/>
  <c r="J51" i="57"/>
  <c r="J50" i="57"/>
  <c r="J49" i="57"/>
  <c r="J48" i="57"/>
  <c r="J47" i="57"/>
  <c r="J46" i="57"/>
  <c r="J45" i="57"/>
  <c r="J44" i="57"/>
  <c r="J43" i="57"/>
  <c r="J42" i="57"/>
  <c r="J41" i="57"/>
  <c r="AC41" i="57" s="1"/>
  <c r="J40" i="57"/>
  <c r="J39" i="57"/>
  <c r="J38" i="57"/>
  <c r="J37" i="57"/>
  <c r="J36" i="57"/>
  <c r="J35" i="57"/>
  <c r="J34" i="57"/>
  <c r="AC34" i="57" s="1"/>
  <c r="J33" i="57"/>
  <c r="J32" i="57"/>
  <c r="AC32" i="57" s="1"/>
  <c r="J31" i="57"/>
  <c r="AC31" i="57" s="1"/>
  <c r="J29" i="57"/>
  <c r="J28" i="57"/>
  <c r="J26" i="57"/>
  <c r="J25" i="57"/>
  <c r="AC33" i="57" l="1"/>
  <c r="F65" i="58"/>
  <c r="F59" i="58" s="1"/>
  <c r="F66" i="58" s="1"/>
  <c r="AC49" i="57"/>
  <c r="G79" i="58"/>
  <c r="H79" i="58" s="1"/>
  <c r="B87" i="58"/>
  <c r="B90" i="58" s="1"/>
  <c r="F68" i="58"/>
  <c r="G67" i="58"/>
  <c r="F76" i="58"/>
  <c r="C72" i="58"/>
  <c r="C78" i="58"/>
  <c r="D78" i="58" s="1"/>
  <c r="D83" i="58" s="1"/>
  <c r="D86" i="58" s="1"/>
  <c r="E75" i="58"/>
  <c r="E70" i="58"/>
  <c r="E71" i="58" s="1"/>
  <c r="E72" i="58" s="1"/>
  <c r="Y24" i="57"/>
  <c r="X24" i="57"/>
  <c r="AB24" i="57" s="1"/>
  <c r="U24" i="57"/>
  <c r="Q24" i="57"/>
  <c r="O24" i="57"/>
  <c r="M24" i="57"/>
  <c r="K24" i="57"/>
  <c r="I24" i="57"/>
  <c r="I79" i="58" l="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G65" i="58"/>
  <c r="G59" i="58" s="1"/>
  <c r="G66" i="58" s="1"/>
  <c r="C83" i="58"/>
  <c r="D88" i="58" s="1"/>
  <c r="E78" i="58"/>
  <c r="E83" i="58" s="1"/>
  <c r="E86" i="58" s="1"/>
  <c r="G68" i="58"/>
  <c r="G76" i="58"/>
  <c r="H67" i="58"/>
  <c r="C86" i="58"/>
  <c r="E88" i="58"/>
  <c r="C84" i="58"/>
  <c r="C89" i="58" s="1"/>
  <c r="F75" i="58"/>
  <c r="F70" i="58"/>
  <c r="F71" i="58" s="1"/>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88" i="58" l="1"/>
  <c r="D84" i="58"/>
  <c r="H65" i="58"/>
  <c r="H59" i="58" s="1"/>
  <c r="H66" i="58" s="1"/>
  <c r="E84" i="58"/>
  <c r="E89" i="58" s="1"/>
  <c r="F72" i="58"/>
  <c r="G75" i="58"/>
  <c r="G70" i="58"/>
  <c r="G71" i="58" s="1"/>
  <c r="G72" i="58" s="1"/>
  <c r="H76" i="58"/>
  <c r="I67" i="58"/>
  <c r="H68" i="58"/>
  <c r="F78" i="58"/>
  <c r="F83" i="58" s="1"/>
  <c r="D89" i="58"/>
  <c r="D87" i="58"/>
  <c r="E87" i="58"/>
  <c r="C87" i="58"/>
  <c r="C90"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I65" i="58" l="1"/>
  <c r="I59" i="58" s="1"/>
  <c r="I66" i="58" s="1"/>
  <c r="F86" i="58"/>
  <c r="F84" i="58"/>
  <c r="F89" i="58" s="1"/>
  <c r="F88" i="58"/>
  <c r="D90" i="58"/>
  <c r="J67" i="58"/>
  <c r="I76" i="58"/>
  <c r="I68" i="58"/>
  <c r="G78" i="58"/>
  <c r="G83" i="58" s="1"/>
  <c r="G86" i="58" s="1"/>
  <c r="E90" i="58"/>
  <c r="H70" i="58"/>
  <c r="H71" i="58" s="1"/>
  <c r="H75" i="58"/>
  <c r="A5" i="53"/>
  <c r="J65" i="58" l="1"/>
  <c r="J59" i="58" s="1"/>
  <c r="J66" i="58" s="1"/>
  <c r="J68" i="58" s="1"/>
  <c r="K67" i="58"/>
  <c r="J76" i="58"/>
  <c r="G84" i="58"/>
  <c r="G89" i="58" s="1"/>
  <c r="G88" i="58"/>
  <c r="H72" i="58"/>
  <c r="H78" i="58"/>
  <c r="H83" i="58" s="1"/>
  <c r="I70" i="58"/>
  <c r="I75" i="58"/>
  <c r="F87" i="58"/>
  <c r="F90" i="58" s="1"/>
  <c r="G87" i="58"/>
  <c r="X49" i="15"/>
  <c r="X45" i="15"/>
  <c r="X54" i="15" s="1"/>
  <c r="X48" i="15"/>
  <c r="X47" i="15"/>
  <c r="X27" i="15"/>
  <c r="T27" i="15"/>
  <c r="K65" i="58" l="1"/>
  <c r="K59" i="58" s="1"/>
  <c r="K66" i="58" s="1"/>
  <c r="K68" i="58" s="1"/>
  <c r="G90" i="58"/>
  <c r="J70" i="58"/>
  <c r="J71" i="58" s="1"/>
  <c r="J75" i="58"/>
  <c r="I71" i="58"/>
  <c r="L67" i="58"/>
  <c r="K76" i="58"/>
  <c r="E27" i="15"/>
  <c r="H86" i="58"/>
  <c r="H88" i="58"/>
  <c r="H84" i="58"/>
  <c r="H89" i="58" s="1"/>
  <c r="X56" i="15"/>
  <c r="L65" i="58" l="1"/>
  <c r="L59" i="58" s="1"/>
  <c r="L66" i="58" s="1"/>
  <c r="L68" i="58" s="1"/>
  <c r="I78" i="58"/>
  <c r="I83" i="58" s="1"/>
  <c r="H87" i="58"/>
  <c r="H90" i="58" s="1"/>
  <c r="K75" i="58"/>
  <c r="K70" i="58"/>
  <c r="K71" i="58" s="1"/>
  <c r="J72" i="58"/>
  <c r="M67" i="58"/>
  <c r="L76" i="58"/>
  <c r="I72"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M65" i="58" l="1"/>
  <c r="M59" i="58" s="1"/>
  <c r="M66" i="58" s="1"/>
  <c r="J78" i="58"/>
  <c r="J83" i="58" s="1"/>
  <c r="J86" i="58" s="1"/>
  <c r="L70" i="58"/>
  <c r="L71" i="58" s="1"/>
  <c r="L75" i="58"/>
  <c r="M76" i="58"/>
  <c r="N67" i="58"/>
  <c r="M68" i="58"/>
  <c r="K72" i="58"/>
  <c r="I86" i="58"/>
  <c r="I84" i="58"/>
  <c r="I89" i="58" s="1"/>
  <c r="I88" i="58"/>
  <c r="F63" i="15"/>
  <c r="C63" i="15"/>
  <c r="F59" i="15"/>
  <c r="C59" i="15"/>
  <c r="C59" i="57" s="1"/>
  <c r="E59" i="57" s="1"/>
  <c r="F55" i="15"/>
  <c r="E55" i="15"/>
  <c r="C55" i="15"/>
  <c r="C55" i="57" s="1"/>
  <c r="E55" i="57" s="1"/>
  <c r="E50" i="15"/>
  <c r="F50" i="15"/>
  <c r="C50" i="15"/>
  <c r="C50" i="57" s="1"/>
  <c r="E50" i="57" s="1"/>
  <c r="E46" i="15"/>
  <c r="F46" i="15"/>
  <c r="C46" i="15"/>
  <c r="C46" i="57" s="1"/>
  <c r="E46" i="57" s="1"/>
  <c r="E42" i="15"/>
  <c r="F42" i="15"/>
  <c r="C42" i="15"/>
  <c r="C42" i="57" s="1"/>
  <c r="E42" i="57" s="1"/>
  <c r="F38" i="15"/>
  <c r="E38" i="15"/>
  <c r="C38" i="15"/>
  <c r="C38" i="57" s="1"/>
  <c r="E38" i="57" s="1"/>
  <c r="F26" i="15"/>
  <c r="C26" i="15"/>
  <c r="C26" i="57" s="1"/>
  <c r="E26" i="57" s="1"/>
  <c r="F62" i="15"/>
  <c r="C62" i="15"/>
  <c r="C62" i="57" s="1"/>
  <c r="E62" i="57" s="1"/>
  <c r="F58" i="15"/>
  <c r="C58" i="15"/>
  <c r="C58" i="57" s="1"/>
  <c r="E58" i="57" s="1"/>
  <c r="C54" i="15"/>
  <c r="C54" i="57" s="1"/>
  <c r="E54" i="57" s="1"/>
  <c r="F54" i="15"/>
  <c r="E54" i="15"/>
  <c r="C49" i="15"/>
  <c r="F49" i="15"/>
  <c r="E49" i="15"/>
  <c r="C45" i="15"/>
  <c r="C45" i="57" s="1"/>
  <c r="E45" i="57" s="1"/>
  <c r="F45" i="15"/>
  <c r="E45" i="15"/>
  <c r="C41" i="15"/>
  <c r="F41" i="15"/>
  <c r="E41" i="15"/>
  <c r="F37" i="15"/>
  <c r="E37" i="15"/>
  <c r="C37" i="15"/>
  <c r="C37" i="57" s="1"/>
  <c r="E37" i="57" s="1"/>
  <c r="F29" i="15"/>
  <c r="C29" i="15"/>
  <c r="C29" i="57" s="1"/>
  <c r="E29" i="57" s="1"/>
  <c r="F25" i="15"/>
  <c r="C25" i="15"/>
  <c r="C25" i="57" s="1"/>
  <c r="E25" i="57" s="1"/>
  <c r="F61" i="15"/>
  <c r="C61" i="15"/>
  <c r="C61" i="57" s="1"/>
  <c r="E61" i="57" s="1"/>
  <c r="F57" i="15"/>
  <c r="E57" i="15"/>
  <c r="C57" i="15"/>
  <c r="C57" i="57" s="1"/>
  <c r="E57" i="57" s="1"/>
  <c r="F53" i="15"/>
  <c r="E53" i="15"/>
  <c r="C53" i="15"/>
  <c r="C53" i="57" s="1"/>
  <c r="E53" i="57" s="1"/>
  <c r="C48" i="15"/>
  <c r="C48" i="57" s="1"/>
  <c r="E48" i="57" s="1"/>
  <c r="E48" i="15"/>
  <c r="F48" i="15"/>
  <c r="E44" i="15"/>
  <c r="F44" i="15"/>
  <c r="C44" i="15"/>
  <c r="C44" i="57" s="1"/>
  <c r="E44" i="57" s="1"/>
  <c r="F40" i="15"/>
  <c r="E40" i="15"/>
  <c r="C40" i="15"/>
  <c r="C40" i="57" s="1"/>
  <c r="E40" i="57" s="1"/>
  <c r="E36" i="15"/>
  <c r="F36" i="15"/>
  <c r="C36" i="15"/>
  <c r="C36" i="57" s="1"/>
  <c r="E36" i="57" s="1"/>
  <c r="F28" i="15"/>
  <c r="E28" i="15"/>
  <c r="E24" i="15" s="1"/>
  <c r="C28" i="15"/>
  <c r="C28" i="57" s="1"/>
  <c r="E28" i="57" s="1"/>
  <c r="F64" i="15"/>
  <c r="C64" i="15"/>
  <c r="C64" i="57" s="1"/>
  <c r="E64" i="57" s="1"/>
  <c r="F60" i="15"/>
  <c r="C60" i="15"/>
  <c r="C60" i="57" s="1"/>
  <c r="E60" i="57" s="1"/>
  <c r="C56" i="15"/>
  <c r="F56" i="15"/>
  <c r="E56" i="15"/>
  <c r="F51" i="15"/>
  <c r="C51" i="15"/>
  <c r="C51" i="57" s="1"/>
  <c r="E51" i="57" s="1"/>
  <c r="C47" i="15"/>
  <c r="C47" i="57" s="1"/>
  <c r="E47" i="57" s="1"/>
  <c r="F47" i="15"/>
  <c r="E47" i="15"/>
  <c r="F43" i="15"/>
  <c r="C43" i="15"/>
  <c r="C43" i="57" s="1"/>
  <c r="E43" i="57" s="1"/>
  <c r="C39" i="15"/>
  <c r="C39" i="57" s="1"/>
  <c r="E39" i="57" s="1"/>
  <c r="F39" i="15"/>
  <c r="E39" i="15"/>
  <c r="F35" i="15"/>
  <c r="C35" i="15"/>
  <c r="C35" i="57" s="1"/>
  <c r="E35" i="57" s="1"/>
  <c r="C27" i="15"/>
  <c r="F27" i="15"/>
  <c r="X52" i="15"/>
  <c r="AB52" i="15" s="1"/>
  <c r="C24" i="15"/>
  <c r="S23" i="12"/>
  <c r="J23" i="12"/>
  <c r="H23" i="12"/>
  <c r="J88" i="58" l="1"/>
  <c r="J84" i="58"/>
  <c r="N65" i="58"/>
  <c r="N59" i="58" s="1"/>
  <c r="N66" i="58" s="1"/>
  <c r="K78" i="58"/>
  <c r="K83" i="58" s="1"/>
  <c r="K86" i="58" s="1"/>
  <c r="K87" i="58" s="1"/>
  <c r="J87" i="58"/>
  <c r="I87" i="58"/>
  <c r="I90" i="58" s="1"/>
  <c r="M70" i="58"/>
  <c r="M75" i="58"/>
  <c r="O67" i="58"/>
  <c r="N76" i="58"/>
  <c r="N68" i="58"/>
  <c r="J89" i="58"/>
  <c r="L72" i="58"/>
  <c r="L43" i="57"/>
  <c r="AB43" i="57" s="1"/>
  <c r="L47" i="57"/>
  <c r="L64" i="57"/>
  <c r="AB64" i="57" s="1"/>
  <c r="L40" i="57"/>
  <c r="L48" i="57"/>
  <c r="AB48" i="57" s="1"/>
  <c r="L57" i="57"/>
  <c r="L58" i="57"/>
  <c r="AB58" i="57" s="1"/>
  <c r="L26" i="57"/>
  <c r="L46" i="57"/>
  <c r="AB46" i="57" s="1"/>
  <c r="L51" i="57"/>
  <c r="L36" i="57"/>
  <c r="AB36" i="57" s="1"/>
  <c r="L53" i="57"/>
  <c r="L25" i="57"/>
  <c r="AB25" i="57" s="1"/>
  <c r="L37" i="57"/>
  <c r="L45" i="57"/>
  <c r="AB45" i="57" s="1"/>
  <c r="L42" i="57"/>
  <c r="L59" i="57"/>
  <c r="AB59" i="57" s="1"/>
  <c r="L60" i="57"/>
  <c r="L28" i="57"/>
  <c r="AB28" i="57" s="1"/>
  <c r="L62" i="57"/>
  <c r="L38" i="57"/>
  <c r="AB38" i="57" s="1"/>
  <c r="L55" i="57"/>
  <c r="L35" i="57"/>
  <c r="AB35" i="57" s="1"/>
  <c r="L39" i="57"/>
  <c r="L44" i="57"/>
  <c r="AB44" i="57" s="1"/>
  <c r="L61" i="57"/>
  <c r="L29" i="57"/>
  <c r="AB29" i="57" s="1"/>
  <c r="L54" i="57"/>
  <c r="L50" i="57"/>
  <c r="AB50" i="57" s="1"/>
  <c r="F24" i="15"/>
  <c r="C52" i="15"/>
  <c r="E52" i="15" s="1"/>
  <c r="F52" i="15"/>
  <c r="AB54" i="57" l="1"/>
  <c r="AB61" i="57"/>
  <c r="AB39" i="57"/>
  <c r="AB55" i="57"/>
  <c r="AB62" i="57"/>
  <c r="AB60" i="57"/>
  <c r="AB42" i="57"/>
  <c r="AB37" i="57"/>
  <c r="AB53" i="57"/>
  <c r="AB51" i="57"/>
  <c r="AB26" i="57"/>
  <c r="AB57" i="57"/>
  <c r="AB40" i="57"/>
  <c r="AB47" i="57"/>
  <c r="O65" i="58"/>
  <c r="O59" i="58" s="1"/>
  <c r="O66" i="58" s="1"/>
  <c r="O68" i="58" s="1"/>
  <c r="K90" i="58"/>
  <c r="K84" i="58"/>
  <c r="K89" i="58" s="1"/>
  <c r="L78" i="58"/>
  <c r="L83" i="58" s="1"/>
  <c r="L86" i="58" s="1"/>
  <c r="L87" i="58" s="1"/>
  <c r="G29" i="58" s="1"/>
  <c r="K88" i="58"/>
  <c r="O76" i="58"/>
  <c r="P67" i="58"/>
  <c r="N75" i="58"/>
  <c r="N70" i="58"/>
  <c r="M71" i="58"/>
  <c r="M78" i="58" s="1"/>
  <c r="M83" i="58" s="1"/>
  <c r="J90" i="58"/>
  <c r="N61" i="57"/>
  <c r="AC61" i="57" s="1"/>
  <c r="N35" i="57"/>
  <c r="AC35" i="57" s="1"/>
  <c r="N60" i="57"/>
  <c r="AC60" i="57" s="1"/>
  <c r="N37" i="57"/>
  <c r="AC37" i="57" s="1"/>
  <c r="N51" i="57"/>
  <c r="AC51" i="57" s="1"/>
  <c r="N57" i="57"/>
  <c r="AC57" i="57" s="1"/>
  <c r="N29" i="57"/>
  <c r="AC29" i="57" s="1"/>
  <c r="N39" i="57"/>
  <c r="AC39" i="57" s="1"/>
  <c r="N28" i="57"/>
  <c r="AC28" i="57" s="1"/>
  <c r="N45" i="57"/>
  <c r="AC45" i="57" s="1"/>
  <c r="N36" i="57"/>
  <c r="AC36" i="57" s="1"/>
  <c r="N58" i="57"/>
  <c r="AC58" i="57" s="1"/>
  <c r="N64" i="57"/>
  <c r="AC64" i="57" s="1"/>
  <c r="N54" i="57"/>
  <c r="AC54" i="57" s="1"/>
  <c r="N62" i="57"/>
  <c r="AC62" i="57" s="1"/>
  <c r="N42" i="57"/>
  <c r="AC42" i="57" s="1"/>
  <c r="N53" i="57"/>
  <c r="AC53" i="57" s="1"/>
  <c r="N26" i="57"/>
  <c r="AC26" i="57" s="1"/>
  <c r="N40" i="57"/>
  <c r="AC40" i="57" s="1"/>
  <c r="N43" i="57"/>
  <c r="AC43" i="57" s="1"/>
  <c r="N50" i="57"/>
  <c r="AC50" i="57" s="1"/>
  <c r="N44" i="57"/>
  <c r="AC44" i="57" s="1"/>
  <c r="N55" i="57"/>
  <c r="AC55" i="57" s="1"/>
  <c r="N38" i="57"/>
  <c r="AC38" i="57" s="1"/>
  <c r="N59" i="57"/>
  <c r="AC59" i="57" s="1"/>
  <c r="N25" i="57"/>
  <c r="AC25" i="57" s="1"/>
  <c r="N46" i="57"/>
  <c r="AC46" i="57" s="1"/>
  <c r="N48" i="57"/>
  <c r="AC48" i="57" s="1"/>
  <c r="N47" i="57"/>
  <c r="AC47" i="57" s="1"/>
  <c r="B22" i="53"/>
  <c r="A15" i="53"/>
  <c r="B21" i="53" s="1"/>
  <c r="A12" i="53"/>
  <c r="A9" i="53"/>
  <c r="B60" i="53"/>
  <c r="B83" i="53"/>
  <c r="B82" i="53" s="1"/>
  <c r="B81" i="53"/>
  <c r="B80" i="53" s="1"/>
  <c r="B58" i="53"/>
  <c r="B41" i="53"/>
  <c r="B32" i="53"/>
  <c r="B72" i="53"/>
  <c r="L84" i="58" l="1"/>
  <c r="M72" i="58"/>
  <c r="L88" i="58"/>
  <c r="P65" i="58"/>
  <c r="P59" i="58" s="1"/>
  <c r="P66" i="58" s="1"/>
  <c r="P68" i="58" s="1"/>
  <c r="L89" i="58"/>
  <c r="L90" i="58"/>
  <c r="N71" i="58"/>
  <c r="N78" i="58" s="1"/>
  <c r="N83" i="58" s="1"/>
  <c r="O75" i="58"/>
  <c r="O70" i="58"/>
  <c r="P76" i="58"/>
  <c r="Q67" i="58"/>
  <c r="M86" i="58"/>
  <c r="M87" i="58" s="1"/>
  <c r="M90" i="58" s="1"/>
  <c r="M88" i="58"/>
  <c r="M84" i="58"/>
  <c r="B30" i="53"/>
  <c r="B34" i="53"/>
  <c r="B47" i="53"/>
  <c r="B55" i="53"/>
  <c r="B68" i="53"/>
  <c r="B38" i="53"/>
  <c r="B43" i="53"/>
  <c r="B51" i="53"/>
  <c r="B64" i="53"/>
  <c r="M89" i="58" l="1"/>
  <c r="Q65" i="58"/>
  <c r="Q59" i="58" s="1"/>
  <c r="Q66" i="58" s="1"/>
  <c r="N72" i="58"/>
  <c r="N86" i="58"/>
  <c r="N87" i="58" s="1"/>
  <c r="N90" i="58" s="1"/>
  <c r="N84" i="58"/>
  <c r="N89" i="58" s="1"/>
  <c r="N88" i="58"/>
  <c r="O71" i="58"/>
  <c r="O78" i="58" s="1"/>
  <c r="O83" i="58" s="1"/>
  <c r="P70" i="58"/>
  <c r="P75" i="58"/>
  <c r="Q76" i="58"/>
  <c r="R67" i="58"/>
  <c r="Q68" i="58"/>
  <c r="B29" i="53"/>
  <c r="B75" i="53"/>
  <c r="A15" i="12"/>
  <c r="R65" i="58" l="1"/>
  <c r="R59" i="58" s="1"/>
  <c r="R66" i="58" s="1"/>
  <c r="R68" i="58" s="1"/>
  <c r="O86" i="58"/>
  <c r="O87" i="58" s="1"/>
  <c r="O90" i="58" s="1"/>
  <c r="O88" i="58"/>
  <c r="O84" i="58"/>
  <c r="O89" i="58" s="1"/>
  <c r="Q75" i="58"/>
  <c r="Q70" i="58"/>
  <c r="P71" i="58"/>
  <c r="P78" i="58" s="1"/>
  <c r="P83" i="58" s="1"/>
  <c r="R76" i="58"/>
  <c r="S67" i="58"/>
  <c r="O72" i="58"/>
  <c r="A8" i="17"/>
  <c r="E9" i="14"/>
  <c r="S65" i="58" l="1"/>
  <c r="S59" i="58" s="1"/>
  <c r="S66" i="58" s="1"/>
  <c r="S68" i="58" s="1"/>
  <c r="P86" i="58"/>
  <c r="P87" i="58" s="1"/>
  <c r="P90" i="58" s="1"/>
  <c r="P88" i="58"/>
  <c r="P84" i="58"/>
  <c r="P89" i="58" s="1"/>
  <c r="P72" i="58"/>
  <c r="R75" i="58"/>
  <c r="R70" i="58"/>
  <c r="S76" i="58"/>
  <c r="T67" i="58"/>
  <c r="Q71" i="58"/>
  <c r="Q78" i="58" s="1"/>
  <c r="Q83"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T65" i="58" l="1"/>
  <c r="T59" i="58" s="1"/>
  <c r="T66" i="58" s="1"/>
  <c r="Q72" i="58"/>
  <c r="S75" i="58"/>
  <c r="S70" i="58"/>
  <c r="Q86" i="58"/>
  <c r="Q87" i="58" s="1"/>
  <c r="Q90" i="58" s="1"/>
  <c r="Q84" i="58"/>
  <c r="Q89" i="58" s="1"/>
  <c r="Q88" i="58"/>
  <c r="R71" i="58"/>
  <c r="R78" i="58" s="1"/>
  <c r="R83" i="58" s="1"/>
  <c r="T76" i="58"/>
  <c r="U67" i="58"/>
  <c r="T6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65" i="58" l="1"/>
  <c r="U59" i="58" s="1"/>
  <c r="U66" i="58" s="1"/>
  <c r="U68" i="58" s="1"/>
  <c r="R72" i="58"/>
  <c r="U76" i="58"/>
  <c r="V67" i="58"/>
  <c r="R86" i="58"/>
  <c r="R87" i="58" s="1"/>
  <c r="R90" i="58" s="1"/>
  <c r="R88" i="58"/>
  <c r="R84" i="58"/>
  <c r="R89" i="58" s="1"/>
  <c r="T70" i="58"/>
  <c r="T75" i="58"/>
  <c r="S71" i="58"/>
  <c r="S78" i="58" s="1"/>
  <c r="S83" i="58" s="1"/>
  <c r="V65" i="58" l="1"/>
  <c r="V59" i="58" s="1"/>
  <c r="V66" i="58" s="1"/>
  <c r="T71" i="58"/>
  <c r="T78" i="58" s="1"/>
  <c r="T83" i="58" s="1"/>
  <c r="T72" i="58"/>
  <c r="V68" i="58"/>
  <c r="W67" i="58"/>
  <c r="V76" i="58"/>
  <c r="S86" i="58"/>
  <c r="S87" i="58" s="1"/>
  <c r="S90" i="58" s="1"/>
  <c r="S88" i="58"/>
  <c r="S84" i="58"/>
  <c r="S89" i="58" s="1"/>
  <c r="S72" i="58"/>
  <c r="U75" i="58"/>
  <c r="U70" i="58"/>
  <c r="W65" i="58" l="1"/>
  <c r="W59" i="58" s="1"/>
  <c r="W66" i="58" s="1"/>
  <c r="X67" i="58"/>
  <c r="W68" i="58"/>
  <c r="W76" i="58"/>
  <c r="V75" i="58"/>
  <c r="V70" i="58"/>
  <c r="U71" i="58"/>
  <c r="U78" i="58" s="1"/>
  <c r="U83" i="58" s="1"/>
  <c r="T86" i="58"/>
  <c r="T87" i="58" s="1"/>
  <c r="T90" i="58" s="1"/>
  <c r="T84" i="58"/>
  <c r="T89" i="58" s="1"/>
  <c r="T88" i="58"/>
  <c r="X65" i="58" l="1"/>
  <c r="X59" i="58" s="1"/>
  <c r="X66" i="58" s="1"/>
  <c r="X68" i="58" s="1"/>
  <c r="U72" i="58"/>
  <c r="U86" i="58"/>
  <c r="U87" i="58" s="1"/>
  <c r="U90" i="58" s="1"/>
  <c r="U84" i="58"/>
  <c r="U89" i="58" s="1"/>
  <c r="U88" i="58"/>
  <c r="W75" i="58"/>
  <c r="W70" i="58"/>
  <c r="V71" i="58"/>
  <c r="V78" i="58" s="1"/>
  <c r="V83" i="58" s="1"/>
  <c r="X76" i="58"/>
  <c r="Y67" i="58"/>
  <c r="Y65" i="58" l="1"/>
  <c r="Y59" i="58" s="1"/>
  <c r="Y66" i="58" s="1"/>
  <c r="Y68" i="58" s="1"/>
  <c r="V86" i="58"/>
  <c r="V87" i="58" s="1"/>
  <c r="V90" i="58" s="1"/>
  <c r="V84" i="58"/>
  <c r="V89" i="58" s="1"/>
  <c r="V88" i="58"/>
  <c r="Z67" i="58"/>
  <c r="Z65" i="58" s="1"/>
  <c r="Z59" i="58" s="1"/>
  <c r="Z66" i="58" s="1"/>
  <c r="Y76" i="58"/>
  <c r="V72" i="58"/>
  <c r="X75" i="58"/>
  <c r="X70" i="58"/>
  <c r="W71" i="58"/>
  <c r="W78" i="58" s="1"/>
  <c r="W83" i="58" s="1"/>
  <c r="W72" i="58" l="1"/>
  <c r="Y75" i="58"/>
  <c r="Y70" i="58"/>
  <c r="W86" i="58"/>
  <c r="W87" i="58" s="1"/>
  <c r="W90" i="58" s="1"/>
  <c r="W84" i="58"/>
  <c r="W89" i="58" s="1"/>
  <c r="W88" i="58"/>
  <c r="X71" i="58"/>
  <c r="X78" i="58" s="1"/>
  <c r="X83" i="58" s="1"/>
  <c r="Z76" i="58"/>
  <c r="AA67" i="58"/>
  <c r="AA65" i="58" s="1"/>
  <c r="AA59" i="58" s="1"/>
  <c r="AA66" i="58" s="1"/>
  <c r="Z68" i="58"/>
  <c r="X72" i="58" l="1"/>
  <c r="AB67" i="58"/>
  <c r="AB65" i="58" s="1"/>
  <c r="AB59" i="58" s="1"/>
  <c r="AB66" i="58" s="1"/>
  <c r="AA68" i="58"/>
  <c r="AA76" i="58"/>
  <c r="Z70" i="58"/>
  <c r="Z75" i="58"/>
  <c r="X86" i="58"/>
  <c r="X87" i="58" s="1"/>
  <c r="X90" i="58" s="1"/>
  <c r="X84" i="58"/>
  <c r="X89" i="58" s="1"/>
  <c r="X88" i="58"/>
  <c r="Y71" i="58"/>
  <c r="Y78" i="58" s="1"/>
  <c r="Y83" i="58" s="1"/>
  <c r="Y72" i="58" l="1"/>
  <c r="Z71" i="58"/>
  <c r="Z78" i="58" s="1"/>
  <c r="Z83" i="58" s="1"/>
  <c r="AA75" i="58"/>
  <c r="AA70" i="58"/>
  <c r="Y86" i="58"/>
  <c r="Y87" i="58" s="1"/>
  <c r="Y90" i="58" s="1"/>
  <c r="Y84" i="58"/>
  <c r="Y89" i="58" s="1"/>
  <c r="Y88" i="58"/>
  <c r="AB68" i="58"/>
  <c r="AB76" i="58"/>
  <c r="AC67" i="58"/>
  <c r="AC65" i="58" s="1"/>
  <c r="AC59" i="58" s="1"/>
  <c r="AC66" i="58" s="1"/>
  <c r="Z72" i="58" l="1"/>
  <c r="AB75" i="58"/>
  <c r="AB70" i="58"/>
  <c r="AA71" i="58"/>
  <c r="AA78" i="58" s="1"/>
  <c r="AA83" i="58" s="1"/>
  <c r="AC76" i="58"/>
  <c r="AD67" i="58"/>
  <c r="AD65" i="58" s="1"/>
  <c r="AD59" i="58" s="1"/>
  <c r="AD66" i="58" s="1"/>
  <c r="AC68" i="58"/>
  <c r="Z86" i="58"/>
  <c r="Z87" i="58" s="1"/>
  <c r="Z90" i="58" s="1"/>
  <c r="Z88" i="58"/>
  <c r="Z84" i="58"/>
  <c r="Z89" i="58" s="1"/>
  <c r="AA72" i="58" l="1"/>
  <c r="AA86" i="58"/>
  <c r="AA87" i="58" s="1"/>
  <c r="AA90" i="58" s="1"/>
  <c r="AA84" i="58"/>
  <c r="AA89" i="58" s="1"/>
  <c r="AA88" i="58"/>
  <c r="AC70" i="58"/>
  <c r="AC75" i="58"/>
  <c r="AB71" i="58"/>
  <c r="AB78" i="58" s="1"/>
  <c r="AB83" i="58" s="1"/>
  <c r="AB72" i="58"/>
  <c r="AD68" i="58"/>
  <c r="AE67" i="58"/>
  <c r="AE65" i="58" s="1"/>
  <c r="AE59" i="58" s="1"/>
  <c r="AE66" i="58" s="1"/>
  <c r="AD76" i="58"/>
  <c r="AB86" i="58" l="1"/>
  <c r="AB87" i="58" s="1"/>
  <c r="AB90" i="58" s="1"/>
  <c r="AB84" i="58"/>
  <c r="AB89" i="58" s="1"/>
  <c r="AB88" i="58"/>
  <c r="AD70" i="58"/>
  <c r="AD75" i="58"/>
  <c r="AC71" i="58"/>
  <c r="AC78" i="58" s="1"/>
  <c r="AC83" i="58" s="1"/>
  <c r="AE68" i="58"/>
  <c r="AE76" i="58"/>
  <c r="AC72" i="58" l="1"/>
  <c r="AE75" i="58"/>
  <c r="AE70" i="58"/>
  <c r="AD71" i="58"/>
  <c r="AD78" i="58" s="1"/>
  <c r="AD83" i="58" s="1"/>
  <c r="AC86" i="58"/>
  <c r="AC87" i="58" s="1"/>
  <c r="AC90" i="58" s="1"/>
  <c r="AC88" i="58"/>
  <c r="AC84" i="58"/>
  <c r="AC89" i="58" s="1"/>
  <c r="AD72" i="58" l="1"/>
  <c r="AD86" i="58"/>
  <c r="AD87" i="58" s="1"/>
  <c r="AD90" i="58" s="1"/>
  <c r="AD88" i="58"/>
  <c r="AD84" i="58"/>
  <c r="AD89" i="58" s="1"/>
  <c r="AE71" i="58"/>
  <c r="AE78" i="58" s="1"/>
  <c r="AE83" i="58" s="1"/>
  <c r="AE86" i="58" l="1"/>
  <c r="AE87" i="58" s="1"/>
  <c r="AE90" i="58" s="1"/>
  <c r="G28" i="58" s="1"/>
  <c r="AE84" i="58"/>
  <c r="AE89" i="58" s="1"/>
  <c r="G27" i="58" s="1"/>
  <c r="AE88" i="58"/>
  <c r="AE72" i="58"/>
</calcChain>
</file>

<file path=xl/sharedStrings.xml><?xml version="1.0" encoding="utf-8"?>
<sst xmlns="http://schemas.openxmlformats.org/spreadsheetml/2006/main" count="1089" uniqueCount="611">
  <si>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</si>
  <si>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</si>
  <si>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</si>
  <si>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</si>
  <si>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</si>
  <si>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</si>
  <si>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</si>
  <si>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</si>
  <si>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</si>
  <si>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</si>
  <si>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</si>
  <si>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</si>
  <si>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</si>
  <si>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</si>
  <si>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</si>
  <si>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</si>
  <si>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</si>
  <si>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</si>
  <si>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</si>
  <si>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</si>
  <si>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</si>
  <si>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</si>
  <si>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</si>
  <si>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</si>
  <si>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</si>
  <si>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</si>
  <si>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</si>
  <si>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</si>
  <si>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</si>
  <si>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</si>
  <si>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</si>
  <si>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</si>
  <si>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</si>
  <si>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</si>
  <si>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</si>
  <si>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</si>
  <si>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</si>
  <si>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</si>
  <si>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</si>
  <si>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</si>
  <si>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</si>
  <si>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</si>
  <si>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</si>
  <si>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</si>
  <si>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</si>
  <si>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</si>
  <si>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</si>
  <si>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</si>
  <si>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</si>
  <si>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</si>
  <si>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</si>
  <si>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</si>
  <si>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</si>
  <si>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</si>
  <si>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</si>
  <si>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</si>
  <si>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</si>
  <si>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</si>
  <si>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</si>
  <si>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</si>
  <si>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</si>
  <si>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</si>
  <si>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</si>
  <si>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</si>
  <si>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</si>
  <si>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</si>
  <si>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</si>
  <si>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</si>
  <si>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</si>
  <si>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</si>
  <si>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</si>
  <si>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</si>
  <si>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</si>
  <si>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</si>
  <si>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</si>
  <si>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</si>
  <si>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</si>
  <si>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</si>
  <si>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</si>
  <si>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</si>
  <si>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</si>
  <si>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</si>
  <si>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</si>
  <si>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</si>
  <si>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</si>
  <si>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</si>
  <si>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</si>
  <si>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</si>
  <si>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</si>
  <si>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</si>
  <si>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</si>
  <si>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</si>
  <si>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</si>
  <si>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</si>
  <si>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</si>
  <si>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</si>
  <si>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</si>
  <si>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</si>
  <si>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</si>
  <si>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</si>
  <si>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</si>
  <si>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</si>
  <si>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</si>
  <si>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</si>
  <si>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</si>
  <si>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</si>
  <si>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</si>
  <si>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</si>
  <si>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</si>
  <si>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</si>
  <si>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</si>
  <si>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</si>
  <si>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</si>
  <si>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</si>
  <si>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</si>
  <si>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</si>
  <si>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</si>
  <si>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</si>
  <si>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</si>
  <si>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</si>
  <si>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</si>
  <si>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</si>
  <si>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</si>
  <si>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</si>
  <si>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</si>
  <si>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</si>
  <si>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</si>
  <si>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</si>
  <si>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</si>
  <si>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</si>
  <si>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</si>
  <si>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</si>
  <si>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</si>
  <si>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</si>
  <si>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</si>
  <si>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</si>
  <si>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</si>
  <si>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</si>
  <si>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</si>
  <si>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</si>
  <si>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</si>
  <si>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</si>
  <si>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</si>
  <si>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</si>
  <si>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</si>
  <si>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</si>
  <si>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</si>
  <si>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</si>
  <si>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</si>
  <si>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</si>
  <si>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</si>
  <si>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</si>
  <si>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</si>
  <si>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</si>
  <si>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</si>
  <si>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</si>
  <si>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</si>
  <si>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</si>
  <si>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</si>
  <si>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</si>
  <si>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</si>
  <si>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</si>
  <si>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</si>
  <si>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</si>
  <si>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</si>
  <si>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</si>
  <si>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</si>
  <si>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</si>
  <si>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</si>
  <si>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</si>
  <si>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</si>
  <si>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</si>
  <si>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</si>
  <si>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</si>
  <si>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</si>
  <si>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</si>
  <si>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</si>
  <si>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</si>
  <si>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</si>
  <si>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</si>
  <si>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</si>
  <si>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</si>
  <si>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</si>
  <si>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</si>
  <si>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</si>
  <si>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</si>
  <si>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</si>
  <si>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</si>
  <si>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</si>
  <si>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</si>
  <si>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</si>
  <si>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</si>
  <si>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</si>
  <si>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</si>
  <si>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</si>
  <si>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</si>
  <si>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</si>
  <si>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</si>
  <si>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</si>
  <si>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</si>
  <si>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</si>
  <si>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</si>
  <si>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</si>
  <si>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</si>
  <si>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</si>
  <si>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</si>
  <si>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</si>
  <si>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</si>
  <si>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</si>
  <si>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</si>
  <si>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</si>
  <si>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</si>
  <si>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</si>
  <si>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</si>
  <si>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</si>
  <si>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</si>
  <si>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</si>
  <si>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</si>
  <si>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</si>
  <si>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</si>
  <si>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</si>
  <si>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</si>
  <si>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</si>
  <si>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</si>
  <si>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</si>
  <si>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</si>
  <si>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</si>
  <si>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</si>
  <si>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</si>
  <si>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</si>
  <si>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</si>
  <si>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</si>
  <si>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</si>
  <si>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</si>
  <si>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</si>
  <si>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</si>
  <si>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</si>
  <si>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</si>
  <si>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</si>
  <si>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</si>
  <si>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</si>
  <si>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</si>
  <si>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</si>
  <si>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</si>
  <si>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</si>
  <si>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</si>
  <si>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</si>
  <si>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</si>
  <si>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</si>
  <si>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</si>
  <si>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</si>
  <si>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</si>
  <si>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</si>
  <si>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</si>
  <si>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</si>
  <si>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</si>
  <si>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</si>
  <si>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</si>
  <si>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</si>
  <si>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</si>
  <si>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</si>
  <si>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</si>
  <si>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</si>
  <si>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</si>
  <si>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</si>
  <si>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</si>
  <si>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</si>
  <si>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</si>
  <si>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</si>
  <si>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</si>
  <si>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</si>
  <si>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</si>
  <si>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</si>
  <si>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</si>
  <si>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</si>
  <si>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</si>
  <si>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</si>
  <si>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</si>
  <si>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</si>
  <si>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</si>
  <si>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</si>
  <si>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</si>
  <si>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</si>
  <si>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</si>
  <si>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</si>
  <si>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</si>
  <si>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</si>
  <si>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</si>
  <si>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</si>
  <si>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</si>
  <si>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</si>
  <si>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</si>
  <si>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</si>
  <si>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</si>
  <si>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</si>
  <si>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</si>
  <si>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</si>
  <si>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</si>
  <si>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</si>
  <si>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</si>
  <si>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</si>
  <si>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</si>
  <si>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</si>
  <si>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</si>
  <si>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</si>
  <si>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</si>
  <si>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</si>
  <si>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</si>
  <si>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</si>
  <si>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</si>
  <si>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</si>
  <si>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</si>
  <si>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</si>
  <si>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</si>
  <si>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</si>
  <si>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</si>
  <si>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</si>
  <si>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</si>
  <si>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</si>
  <si>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</si>
  <si>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</si>
  <si>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</si>
  <si>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</si>
  <si>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</si>
  <si>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</si>
  <si>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</si>
  <si>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</si>
  <si>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</si>
  <si>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</si>
  <si>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</si>
  <si>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</si>
  <si>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</si>
  <si>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</si>
  <si>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</si>
  <si>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</si>
  <si>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</si>
  <si>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</si>
  <si>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</si>
  <si>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</si>
  <si>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</si>
  <si>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</si>
  <si>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</si>
  <si>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</si>
  <si>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</si>
  <si>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</si>
  <si>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</si>
  <si>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</si>
  <si>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</si>
  <si>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</si>
  <si>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</si>
  <si>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</si>
  <si>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</si>
  <si>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</si>
  <si>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</si>
  <si>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</si>
  <si>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</si>
  <si>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</si>
  <si>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</si>
  <si>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</si>
  <si>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</si>
  <si>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</si>
  <si>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</si>
  <si>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</si>
  <si>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</si>
  <si>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</si>
  <si>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</si>
  <si>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</si>
  <si>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</si>
  <si>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</si>
  <si>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</si>
  <si>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</si>
  <si>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</si>
  <si>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</si>
  <si>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</si>
  <si>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</si>
  <si>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</si>
  <si>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</si>
  <si>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</si>
  <si>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</si>
  <si>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</si>
  <si>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</si>
  <si>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</si>
  <si>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</si>
  <si>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</si>
  <si>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</si>
  <si>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</si>
  <si>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</si>
  <si>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</si>
  <si>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</si>
  <si>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</si>
  <si>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</si>
  <si>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</si>
  <si>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</si>
  <si>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</si>
  <si>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</si>
  <si>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</si>
  <si>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</si>
  <si>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</si>
  <si>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</si>
  <si>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</si>
  <si>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</si>
  <si>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</si>
  <si>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</si>
  <si>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</si>
  <si>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</si>
  <si>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</si>
  <si>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</si>
  <si>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</si>
  <si>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</si>
  <si>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</si>
  <si>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</si>
  <si>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</si>
  <si>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</si>
  <si>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</si>
  <si>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</si>
  <si>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</si>
  <si>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</si>
  <si>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</si>
  <si>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</si>
  <si>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</si>
  <si>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</si>
  <si>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</si>
  <si>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</si>
  <si>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</si>
  <si>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</si>
  <si>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</si>
  <si>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</si>
  <si>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</si>
  <si>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</si>
  <si>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</si>
  <si>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</si>
  <si>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</si>
  <si>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</si>
  <si>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</si>
  <si>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</si>
  <si>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</si>
  <si>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</si>
  <si>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</si>
  <si>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</si>
  <si>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</si>
  <si>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</si>
  <si>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</si>
  <si>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</si>
  <si>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</si>
  <si>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</si>
  <si>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</si>
  <si>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</si>
  <si>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</si>
  <si>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</si>
  <si>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</si>
  <si>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</si>
  <si>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</si>
  <si>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</si>
  <si>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</si>
  <si>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</si>
  <si>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</si>
  <si>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</si>
  <si>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</si>
  <si>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</si>
  <si>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</si>
  <si>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</si>
  <si>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</si>
  <si>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</si>
  <si>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</si>
  <si>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</si>
  <si>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</si>
  <si>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</si>
  <si>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</si>
  <si>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</si>
  <si>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</si>
  <si>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</si>
  <si>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</si>
  <si>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</si>
  <si>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</si>
  <si>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</si>
  <si>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</si>
  <si>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</si>
  <si>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</si>
  <si>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</si>
  <si>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</si>
  <si>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</si>
  <si>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</si>
  <si>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</si>
  <si>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</si>
  <si>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</si>
  <si>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</si>
  <si>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</si>
  <si>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</si>
  <si>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</si>
  <si>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</si>
  <si>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</si>
  <si>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</si>
  <si>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</si>
  <si>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</si>
  <si>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</si>
  <si>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</si>
  <si>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</si>
  <si>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</si>
  <si>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</si>
  <si>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</si>
  <si>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</si>
  <si>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</si>
  <si>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</si>
  <si>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</si>
  <si>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</si>
  <si>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</si>
  <si>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</si>
  <si>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</si>
  <si>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</si>
  <si>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</si>
  <si>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</si>
  <si>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</si>
  <si>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</si>
  <si>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</si>
  <si>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</si>
  <si>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</si>
  <si>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</si>
  <si>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</si>
  <si>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</si>
  <si>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</si>
  <si>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</si>
  <si>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</si>
  <si>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</si>
  <si>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</si>
  <si>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</si>
  <si>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</si>
  <si>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</si>
  <si>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</si>
  <si>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</si>
  <si>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</si>
  <si>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</si>
  <si>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</si>
  <si>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</si>
  <si>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</si>
  <si>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</si>
  <si>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</si>
  <si>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</si>
  <si>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</si>
  <si>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</si>
  <si>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</si>
  <si>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</si>
  <si>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</si>
  <si>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</si>
  <si>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</si>
  <si>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</si>
  <si>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</si>
  <si>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</si>
  <si>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</si>
  <si>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</si>
  <si>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</si>
  <si>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</si>
  <si>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</si>
  <si>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</si>
  <si>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</si>
  <si>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</si>
  <si>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</si>
  <si>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</si>
  <si>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</si>
  <si>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</si>
  <si>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</si>
  <si>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</si>
  <si>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</si>
  <si>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</si>
  <si>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</si>
  <si>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</si>
  <si>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</si>
  <si>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</si>
  <si>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</si>
  <si>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</si>
  <si>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</si>
  <si>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</si>
  <si>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</si>
  <si>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</si>
  <si>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</si>
  <si>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</si>
  <si>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КЛ 15-13</t>
  </si>
  <si>
    <t>от РП-1</t>
  </si>
  <si>
    <t xml:space="preserve">LnЗ_ЛЭП=1км;
</t>
  </si>
  <si>
    <t>Калининградская обл, г. Пионерск, ул. Рабочая</t>
  </si>
  <si>
    <t>линейная ячейка в РП-1</t>
  </si>
  <si>
    <t>15 кВ</t>
  </si>
  <si>
    <t>строительство</t>
  </si>
  <si>
    <t>Строительство КЛ 15 кВ от  РП-1 до ТП-1 пер. Комсомольский, г. Пионерский</t>
  </si>
  <si>
    <t xml:space="preserve">Выполнить проектирование, монтаж КЛ-15 кВ (ориентировочно 0,8 км) от РП-1 (уточнить при проектировании)     с изоляцией из сшитого полиэтилена расчетного сечения. </t>
  </si>
  <si>
    <t xml:space="preserve">
КЛ 15 кВ 3,479184 млн.руб./км</t>
  </si>
  <si>
    <t>Изменение категории надёжности электроснабжения</t>
  </si>
  <si>
    <t>АО "Западная энергетическая компания"</t>
  </si>
  <si>
    <t>J 19-15</t>
  </si>
  <si>
    <t>Сметная стоимость проекта в прогнозных ценах  с НДС, млн. руб.</t>
  </si>
  <si>
    <t>Показатель увеличения протяженности  линий электропередачи, не связанного с осуществлением технологическим присоединением 0,6 км.Строительство КЛ-15 кВ от РП-1 до ТП-1 протяженностью  0,6 км</t>
  </si>
  <si>
    <t xml:space="preserve">Обеспечение 2-й категории надёжности электроснабжения потребителей </t>
  </si>
  <si>
    <t>Обеспечение надежности электроснабжения потребителей 2 категории, исключение перерывов в электроснабжении Показатель оценки изменения средней продолжительности прекращения передачи  на 0,0001</t>
  </si>
  <si>
    <t xml:space="preserve">отказов не зарегистрировано линия будет построена </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</si>
  <si>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</si>
  <si>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</si>
  <si>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</si>
  <si>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</si>
  <si>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</si>
  <si>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</si>
  <si>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</si>
  <si>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</si>
  <si>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</si>
  <si>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</si>
  <si>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</si>
  <si>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</si>
  <si>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</si>
  <si>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</si>
  <si>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</si>
  <si>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20.012.2023</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</si>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</sst>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_р_._-;\-* #,##0_р_._-;_-* &quot;-&quot;_р_._-;_-@_-"/>
    <numFmt numFmtId="166" formatCode="_-* #,##0.00_р_._-;\-* #,##0.00_р_._-;_-* &quot;-&quot;??_р_._-;_-@_-"/>
    <numFmt numFmtId="167" formatCode="#,##0_ ;\-#,##0\ "/>
    <numFmt numFmtId="168" formatCode="_-* #,##0.00\ _р_._-;\-* #,##0.00\ _р_._-;_-* &quot;-&quot;??\ _р_._-;_-@_-"/>
    <numFmt numFmtId="169" formatCode="#,##0.0"/>
    <numFmt numFmtId="170" formatCode="0.000"/>
    <numFmt numFmtId="171" formatCode="######0.0#####"/>
    <numFmt numFmtId="172" formatCode="0.0%"/>
    <numFmt numFmtId="173" formatCode="_(* #,##0_);_(* \(#,##0\);_(* &quot;-&quot;_);_(@_)"/>
    <numFmt numFmtId="174" formatCode="#,##0.00_ ;\-#,##0.00\ "/>
    <numFmt numFmtId="175" formatCode="_-* #,##0\ _₽_-;\-* #,##0\ _₽_-;_-* &quot;-&quot;??\ _₽_-;_-@_-"/>
    <numFmt numFmtId="176" formatCode="_-* #,##0.0000\ _₽_-;\-* #,##0.0000\ _₽_-;_-* &quot;-&quot;??\ _₽_-;_-@_-"/>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EBF1DE"/>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6" fontId="1" fillId="0" borderId="0" applyFont="0" applyFill="0" applyBorder="0" applyAlignment="0" applyProtection="0"/>
    <xf numFmtId="167" fontId="29" fillId="0" borderId="0" applyFont="0" applyFill="0" applyBorder="0" applyAlignment="0" applyProtection="0"/>
    <xf numFmtId="168"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6" fontId="1" fillId="0" borderId="0" applyFont="0" applyFill="0" applyBorder="0" applyAlignment="0" applyProtection="0"/>
    <xf numFmtId="0" fontId="64" fillId="0" borderId="0" applyNumberFormat="0" applyFill="0" applyBorder="0" applyAlignment="0" applyProtection="0"/>
  </cellStyleXfs>
  <cellXfs count="43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1"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5"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0"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4" fontId="42" fillId="0" borderId="1" xfId="2" applyNumberFormat="1" applyFont="1" applyBorder="1" applyAlignment="1">
      <alignment horizontal="center" vertical="center" wrapText="1"/>
    </xf>
    <xf numFmtId="174" fontId="11" fillId="0" borderId="1" xfId="2" applyNumberFormat="1" applyBorder="1" applyAlignment="1">
      <alignment horizontal="center" vertical="center" wrapText="1"/>
    </xf>
    <xf numFmtId="174" fontId="11" fillId="0" borderId="1" xfId="0" applyNumberFormat="1" applyFont="1" applyBorder="1" applyAlignment="1">
      <alignment horizontal="center" vertical="center"/>
    </xf>
    <xf numFmtId="174" fontId="42" fillId="0" borderId="1" xfId="0" applyNumberFormat="1" applyFont="1" applyBorder="1" applyAlignment="1">
      <alignment horizontal="center" vertical="center"/>
    </xf>
    <xf numFmtId="174"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6" xfId="1" applyFont="1" applyBorder="1" applyAlignment="1">
      <alignment horizontal="center" vertical="center" wrapText="1"/>
    </xf>
    <xf numFmtId="0" fontId="7" fillId="0" borderId="4" xfId="1" applyFont="1" applyBorder="1" applyAlignment="1">
      <alignment horizontal="left" vertical="center" wrapText="1"/>
    </xf>
    <xf numFmtId="170" fontId="4" fillId="0" borderId="46" xfId="1" applyNumberFormat="1" applyFont="1" applyBorder="1" applyAlignment="1">
      <alignment horizontal="center" vertical="center"/>
    </xf>
    <xf numFmtId="0" fontId="7" fillId="0" borderId="46" xfId="1" applyFont="1" applyBorder="1" applyAlignment="1">
      <alignment horizontal="center"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top" wrapText="1"/>
    </xf>
    <xf numFmtId="14" fontId="11" fillId="0" borderId="46" xfId="2" applyNumberFormat="1" applyBorder="1" applyAlignment="1">
      <alignment horizontal="center" vertical="center" wrapText="1"/>
    </xf>
    <xf numFmtId="14" fontId="11" fillId="0" borderId="46" xfId="2" applyNumberFormat="1" applyBorder="1" applyAlignment="1">
      <alignment horizontal="center" vertical="center"/>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1" fillId="0" borderId="46" xfId="0" applyFont="1" applyBorder="1" applyAlignment="1">
      <alignment wrapText="1"/>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4"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4" fontId="11" fillId="0" borderId="47" xfId="2" applyNumberFormat="1" applyBorder="1" applyAlignment="1">
      <alignment horizontal="center" vertical="center" wrapText="1"/>
    </xf>
    <xf numFmtId="174" fontId="11" fillId="0" borderId="6" xfId="2" applyNumberFormat="1" applyBorder="1" applyAlignment="1">
      <alignment horizontal="center" vertical="center" wrapText="1"/>
    </xf>
    <xf numFmtId="0" fontId="11" fillId="0" borderId="47" xfId="45" applyFont="1" applyBorder="1" applyAlignment="1">
      <alignment horizontal="left" vertical="center" wrapText="1"/>
    </xf>
    <xf numFmtId="174" fontId="11" fillId="0" borderId="47" xfId="45" applyNumberFormat="1" applyFont="1" applyBorder="1" applyAlignment="1">
      <alignment horizontal="center" vertical="center" wrapText="1"/>
    </xf>
    <xf numFmtId="0" fontId="42" fillId="0" borderId="47" xfId="45" applyFont="1" applyBorder="1" applyAlignment="1">
      <alignment horizontal="left" vertical="center" wrapText="1"/>
    </xf>
    <xf numFmtId="174" fontId="42" fillId="0" borderId="47" xfId="45" applyNumberFormat="1" applyFont="1" applyBorder="1" applyAlignment="1">
      <alignment horizontal="center" vertical="center" wrapText="1"/>
    </xf>
    <xf numFmtId="0" fontId="11" fillId="0" borderId="2" xfId="45" applyFont="1" applyBorder="1" applyAlignment="1">
      <alignment horizontal="left" vertical="center" wrapText="1"/>
    </xf>
    <xf numFmtId="174" fontId="11" fillId="0" borderId="2" xfId="45" applyNumberFormat="1" applyFont="1" applyBorder="1" applyAlignment="1">
      <alignment horizontal="center" vertical="center" wrapText="1"/>
    </xf>
    <xf numFmtId="174"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64" fillId="0" borderId="29" xfId="71" applyFill="1" applyBorder="1" applyAlignment="1">
      <alignment horizontal="justify"/>
    </xf>
    <xf numFmtId="0" fontId="29" fillId="0" borderId="0" xfId="0" applyFont="1"/>
    <xf numFmtId="0" fontId="65" fillId="0" borderId="0" xfId="0" applyFont="1"/>
    <xf numFmtId="0" fontId="45" fillId="0" borderId="0" xfId="0" applyFont="1" applyAlignment="1">
      <alignment horizontal="right" vertical="center"/>
    </xf>
    <xf numFmtId="0" fontId="66" fillId="0" borderId="0" xfId="0" applyFont="1"/>
    <xf numFmtId="0" fontId="67" fillId="0" borderId="0" xfId="0" applyFont="1"/>
    <xf numFmtId="0" fontId="68" fillId="0" borderId="0" xfId="0" applyFont="1"/>
    <xf numFmtId="0" fontId="45" fillId="0" borderId="0" xfId="0" applyFont="1" applyAlignment="1">
      <alignment horizontal="right"/>
    </xf>
    <xf numFmtId="0" fontId="69" fillId="0" borderId="0" xfId="0" applyFont="1" applyAlignment="1">
      <alignment horizontal="left" vertical="center"/>
    </xf>
    <xf numFmtId="0" fontId="70" fillId="0" borderId="0" xfId="0" applyFont="1" applyAlignment="1">
      <alignment horizontal="left" vertical="center"/>
    </xf>
    <xf numFmtId="0" fontId="71" fillId="0" borderId="0" xfId="0" applyFont="1" applyAlignment="1">
      <alignment vertical="center"/>
    </xf>
    <xf numFmtId="0" fontId="72" fillId="0" borderId="0" xfId="0" applyFont="1" applyAlignment="1">
      <alignment vertical="center"/>
    </xf>
    <xf numFmtId="0" fontId="71" fillId="0" borderId="0" xfId="0" applyFont="1" applyAlignment="1">
      <alignment horizontal="center" vertical="center"/>
    </xf>
    <xf numFmtId="0" fontId="74" fillId="0" borderId="0" xfId="0" applyFont="1" applyAlignment="1">
      <alignment vertical="center"/>
    </xf>
    <xf numFmtId="0" fontId="75" fillId="0" borderId="0" xfId="0" applyFont="1" applyAlignment="1">
      <alignment vertical="center"/>
    </xf>
    <xf numFmtId="0" fontId="45" fillId="0" borderId="0" xfId="0" applyFont="1" applyAlignment="1">
      <alignment horizontal="center" vertical="center"/>
    </xf>
    <xf numFmtId="0" fontId="75" fillId="0" borderId="0" xfId="0" applyFont="1" applyAlignment="1">
      <alignment horizontal="center" vertical="center"/>
    </xf>
    <xf numFmtId="0" fontId="74" fillId="0" borderId="0" xfId="0" applyFont="1" applyAlignment="1">
      <alignment vertical="center" wrapText="1"/>
    </xf>
    <xf numFmtId="0" fontId="75" fillId="0" borderId="0" xfId="0" applyFont="1"/>
    <xf numFmtId="0" fontId="74" fillId="0" borderId="0" xfId="0" applyFont="1" applyAlignment="1">
      <alignment horizontal="center" vertical="center"/>
    </xf>
    <xf numFmtId="0" fontId="72" fillId="0" borderId="0" xfId="0" applyFont="1" applyAlignment="1">
      <alignment vertical="center" wrapText="1"/>
    </xf>
    <xf numFmtId="0" fontId="72" fillId="0" borderId="0" xfId="0" applyFont="1" applyAlignment="1">
      <alignment horizontal="center" vertical="center"/>
    </xf>
    <xf numFmtId="0" fontId="72" fillId="0" borderId="0" xfId="0" applyFont="1" applyAlignment="1">
      <alignment horizontal="left" vertical="center"/>
    </xf>
    <xf numFmtId="0" fontId="75" fillId="0" borderId="36" xfId="0" applyFont="1" applyBorder="1" applyAlignment="1">
      <alignment vertical="center"/>
    </xf>
    <xf numFmtId="3" fontId="76" fillId="0" borderId="37" xfId="67" applyNumberFormat="1" applyFont="1" applyBorder="1" applyAlignment="1">
      <alignment vertical="center"/>
    </xf>
    <xf numFmtId="0" fontId="75" fillId="0" borderId="38" xfId="0" applyFont="1" applyBorder="1" applyAlignment="1">
      <alignment vertical="center"/>
    </xf>
    <xf numFmtId="3" fontId="75" fillId="0" borderId="54" xfId="0" applyNumberFormat="1" applyFont="1" applyBorder="1" applyAlignment="1">
      <alignment vertical="center"/>
    </xf>
    <xf numFmtId="0" fontId="75" fillId="0" borderId="39" xfId="0" applyFont="1" applyBorder="1" applyAlignment="1">
      <alignment vertical="center"/>
    </xf>
    <xf numFmtId="3" fontId="75" fillId="0" borderId="40" xfId="0" applyNumberFormat="1" applyFont="1" applyBorder="1" applyAlignment="1">
      <alignment vertical="center"/>
    </xf>
    <xf numFmtId="4" fontId="45" fillId="0" borderId="53" xfId="0" applyNumberFormat="1" applyFont="1" applyBorder="1" applyAlignment="1">
      <alignment horizontal="center" vertical="center"/>
    </xf>
    <xf numFmtId="4" fontId="77"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7" fillId="0" borderId="5" xfId="0" applyNumberFormat="1" applyFont="1" applyBorder="1" applyAlignment="1">
      <alignment horizontal="center" vertical="center"/>
    </xf>
    <xf numFmtId="0" fontId="75" fillId="0" borderId="53" xfId="0" applyFont="1" applyBorder="1" applyAlignment="1">
      <alignment horizontal="center" vertical="center"/>
    </xf>
    <xf numFmtId="0" fontId="77" fillId="0" borderId="5" xfId="0" applyFont="1" applyBorder="1" applyAlignment="1">
      <alignment horizontal="center" vertical="center"/>
    </xf>
    <xf numFmtId="0" fontId="75" fillId="0" borderId="58" xfId="0" applyFont="1" applyBorder="1" applyAlignment="1">
      <alignment vertical="center"/>
    </xf>
    <xf numFmtId="10" fontId="75" fillId="0" borderId="40" xfId="0" applyNumberFormat="1" applyFont="1" applyBorder="1" applyAlignment="1">
      <alignment vertical="center"/>
    </xf>
    <xf numFmtId="3" fontId="75" fillId="0" borderId="37" xfId="0" applyNumberFormat="1" applyFont="1" applyBorder="1" applyAlignment="1">
      <alignment vertical="center"/>
    </xf>
    <xf numFmtId="9" fontId="75" fillId="0" borderId="59" xfId="0" applyNumberFormat="1" applyFont="1" applyBorder="1" applyAlignment="1">
      <alignment vertical="center"/>
    </xf>
    <xf numFmtId="0" fontId="75" fillId="0" borderId="28" xfId="0" applyFont="1" applyBorder="1" applyAlignment="1">
      <alignment vertical="center"/>
    </xf>
    <xf numFmtId="3" fontId="75" fillId="0" borderId="36" xfId="0" applyNumberFormat="1" applyFont="1" applyBorder="1" applyAlignment="1">
      <alignment vertical="center"/>
    </xf>
    <xf numFmtId="0" fontId="75" fillId="0" borderId="60" xfId="0" applyFont="1" applyBorder="1" applyAlignment="1">
      <alignment vertical="center"/>
    </xf>
    <xf numFmtId="10" fontId="75" fillId="0" borderId="41" xfId="0" applyNumberFormat="1" applyFont="1" applyBorder="1" applyAlignment="1">
      <alignment vertical="center"/>
    </xf>
    <xf numFmtId="10" fontId="75" fillId="0" borderId="61" xfId="0" applyNumberFormat="1" applyFont="1" applyBorder="1" applyAlignment="1">
      <alignment vertical="center"/>
    </xf>
    <xf numFmtId="10" fontId="75" fillId="0" borderId="61" xfId="67" applyNumberFormat="1" applyFont="1" applyBorder="1" applyAlignment="1">
      <alignment vertical="center"/>
    </xf>
    <xf numFmtId="10" fontId="45" fillId="0" borderId="61" xfId="0" applyNumberFormat="1" applyFont="1" applyBorder="1" applyAlignment="1">
      <alignment vertical="center"/>
    </xf>
    <xf numFmtId="0" fontId="75" fillId="0" borderId="62" xfId="0" applyFont="1" applyBorder="1" applyAlignment="1">
      <alignment vertical="center"/>
    </xf>
    <xf numFmtId="0" fontId="78" fillId="0" borderId="0" xfId="0" applyFont="1" applyAlignment="1">
      <alignment vertical="center"/>
    </xf>
    <xf numFmtId="0" fontId="75" fillId="0" borderId="27" xfId="0" applyFont="1" applyBorder="1" applyAlignment="1">
      <alignment horizontal="left" vertical="center"/>
    </xf>
    <xf numFmtId="1" fontId="75" fillId="0" borderId="26" xfId="0" applyNumberFormat="1" applyFont="1" applyBorder="1" applyAlignment="1">
      <alignment horizontal="center" vertical="center"/>
    </xf>
    <xf numFmtId="1" fontId="75" fillId="0" borderId="63" xfId="0" applyNumberFormat="1" applyFont="1" applyBorder="1" applyAlignment="1">
      <alignment horizontal="center" vertical="center"/>
    </xf>
    <xf numFmtId="0" fontId="75" fillId="0" borderId="64" xfId="0" applyFont="1" applyBorder="1" applyAlignment="1">
      <alignment vertical="center"/>
    </xf>
    <xf numFmtId="10" fontId="75" fillId="0" borderId="53" xfId="67" applyNumberFormat="1" applyFont="1" applyBorder="1" applyAlignment="1">
      <alignment vertical="center"/>
    </xf>
    <xf numFmtId="10" fontId="75" fillId="0" borderId="53" xfId="0" applyNumberFormat="1" applyFont="1" applyBorder="1" applyAlignment="1">
      <alignment vertical="center"/>
    </xf>
    <xf numFmtId="0" fontId="75" fillId="0" borderId="25" xfId="0" applyFont="1" applyBorder="1" applyAlignment="1">
      <alignment vertical="center"/>
    </xf>
    <xf numFmtId="3" fontId="75" fillId="0" borderId="24" xfId="67" applyNumberFormat="1" applyFont="1" applyBorder="1" applyAlignment="1">
      <alignment vertical="center"/>
    </xf>
    <xf numFmtId="0" fontId="75" fillId="0" borderId="65" xfId="0" applyFont="1" applyBorder="1" applyAlignment="1">
      <alignment vertical="center"/>
    </xf>
    <xf numFmtId="0" fontId="75" fillId="0" borderId="66" xfId="0" applyFont="1" applyBorder="1" applyAlignment="1">
      <alignment vertical="center"/>
    </xf>
    <xf numFmtId="0" fontId="72" fillId="0" borderId="27" xfId="0" applyFont="1" applyBorder="1" applyAlignment="1">
      <alignment vertical="center"/>
    </xf>
    <xf numFmtId="3" fontId="75" fillId="0" borderId="53" xfId="0" applyNumberFormat="1" applyFont="1" applyBorder="1" applyAlignment="1">
      <alignment vertical="center"/>
    </xf>
    <xf numFmtId="3" fontId="75" fillId="0" borderId="67" xfId="0" applyNumberFormat="1" applyFont="1" applyBorder="1" applyAlignment="1">
      <alignment vertical="center"/>
    </xf>
    <xf numFmtId="3" fontId="75" fillId="0" borderId="24" xfId="0" applyNumberFormat="1" applyFont="1" applyBorder="1" applyAlignment="1">
      <alignment vertical="center"/>
    </xf>
    <xf numFmtId="3" fontId="75" fillId="0" borderId="68" xfId="0" applyNumberFormat="1" applyFont="1" applyBorder="1" applyAlignment="1">
      <alignment vertical="center"/>
    </xf>
    <xf numFmtId="3" fontId="78" fillId="0" borderId="0" xfId="0" applyNumberFormat="1" applyFont="1" applyAlignment="1">
      <alignment horizontal="center" vertical="center"/>
    </xf>
    <xf numFmtId="3" fontId="78" fillId="0" borderId="66"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5" fillId="0" borderId="64" xfId="0" applyFont="1" applyBorder="1" applyAlignment="1">
      <alignment horizontal="left" vertical="center"/>
    </xf>
    <xf numFmtId="3" fontId="75" fillId="0" borderId="53" xfId="0" applyNumberFormat="1" applyFont="1" applyBorder="1" applyAlignment="1">
      <alignment horizontal="right" vertical="center"/>
    </xf>
    <xf numFmtId="166" fontId="75" fillId="0" borderId="53" xfId="0" applyNumberFormat="1" applyFont="1" applyBorder="1" applyAlignment="1">
      <alignment vertical="center"/>
    </xf>
    <xf numFmtId="0" fontId="72" fillId="0" borderId="64" xfId="0" applyFont="1" applyBorder="1" applyAlignment="1">
      <alignment horizontal="left" vertical="center"/>
    </xf>
    <xf numFmtId="175" fontId="71" fillId="0" borderId="53" xfId="0" applyNumberFormat="1" applyFont="1" applyBorder="1" applyAlignment="1">
      <alignment horizontal="center" vertical="center"/>
    </xf>
    <xf numFmtId="175" fontId="45" fillId="0" borderId="53" xfId="0" applyNumberFormat="1" applyFont="1" applyBorder="1" applyAlignment="1">
      <alignment horizontal="center"/>
    </xf>
    <xf numFmtId="175" fontId="75" fillId="0" borderId="53" xfId="0" applyNumberFormat="1" applyFont="1" applyBorder="1" applyAlignment="1">
      <alignment vertical="center"/>
    </xf>
    <xf numFmtId="0" fontId="72" fillId="0" borderId="25" xfId="0" applyFont="1" applyBorder="1" applyAlignment="1">
      <alignment horizontal="left" vertical="center"/>
    </xf>
    <xf numFmtId="175" fontId="71" fillId="0" borderId="24" xfId="0" applyNumberFormat="1" applyFont="1" applyBorder="1" applyAlignment="1">
      <alignment horizontal="center" vertical="center"/>
    </xf>
    <xf numFmtId="169" fontId="78" fillId="0" borderId="0" xfId="0" applyNumberFormat="1" applyFont="1" applyAlignment="1">
      <alignment horizontal="center" vertical="center"/>
    </xf>
    <xf numFmtId="0" fontId="72" fillId="0" borderId="64" xfId="0" applyFont="1" applyBorder="1" applyAlignment="1">
      <alignment vertical="center"/>
    </xf>
    <xf numFmtId="3" fontId="45" fillId="0" borderId="53" xfId="67" applyNumberFormat="1" applyFont="1" applyBorder="1" applyAlignment="1">
      <alignment vertical="center"/>
    </xf>
    <xf numFmtId="0" fontId="75" fillId="0" borderId="64" xfId="0" applyFont="1" applyBorder="1" applyAlignment="1">
      <alignment horizontal="left" vertical="center" wrapText="1"/>
    </xf>
    <xf numFmtId="176" fontId="45" fillId="0" borderId="53" xfId="0" applyNumberFormat="1" applyFont="1" applyBorder="1" applyAlignment="1">
      <alignment horizontal="center"/>
    </xf>
    <xf numFmtId="172" fontId="71" fillId="0" borderId="53" xfId="0" applyNumberFormat="1" applyFont="1" applyBorder="1" applyAlignment="1">
      <alignment horizontal="center" vertical="center"/>
    </xf>
    <xf numFmtId="164" fontId="71" fillId="0" borderId="53" xfId="0" applyNumberFormat="1" applyFont="1" applyBorder="1" applyAlignment="1">
      <alignment horizontal="center" vertical="center"/>
    </xf>
    <xf numFmtId="0" fontId="72" fillId="0" borderId="25" xfId="0" applyFont="1" applyBorder="1" applyAlignment="1">
      <alignment vertical="center"/>
    </xf>
    <xf numFmtId="164" fontId="71" fillId="0" borderId="24" xfId="0" applyNumberFormat="1" applyFont="1" applyBorder="1" applyAlignment="1">
      <alignment horizontal="center" vertical="center"/>
    </xf>
    <xf numFmtId="0" fontId="75" fillId="0" borderId="69" xfId="0" applyFont="1" applyBorder="1" applyAlignment="1">
      <alignment vertical="center"/>
    </xf>
    <xf numFmtId="173" fontId="75" fillId="0" borderId="0" xfId="0" applyNumberFormat="1" applyFont="1" applyAlignment="1">
      <alignment vertical="center"/>
    </xf>
    <xf numFmtId="0" fontId="75" fillId="26" borderId="0" xfId="0" applyFont="1" applyFill="1" applyAlignment="1">
      <alignment vertical="center"/>
    </xf>
    <xf numFmtId="0" fontId="49" fillId="0" borderId="0" xfId="1" applyFont="1" applyAlignment="1">
      <alignment vertical="center"/>
    </xf>
    <xf numFmtId="0" fontId="42" fillId="0" borderId="0" xfId="2" applyFont="1"/>
    <xf numFmtId="166" fontId="75" fillId="0" borderId="70" xfId="0" applyNumberFormat="1" applyFont="1" applyBorder="1" applyAlignment="1">
      <alignment vertical="center"/>
    </xf>
    <xf numFmtId="175" fontId="75" fillId="0" borderId="70" xfId="0" applyNumberFormat="1" applyFont="1" applyBorder="1" applyAlignment="1">
      <alignment vertical="center"/>
    </xf>
    <xf numFmtId="0" fontId="42" fillId="0" borderId="47" xfId="2"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5"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165" fontId="7"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63"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5" fillId="0" borderId="0" xfId="1" applyFont="1" applyAlignment="1">
      <alignment horizontal="center" vertical="center" wrapText="1"/>
    </xf>
    <xf numFmtId="0" fontId="45" fillId="0" borderId="0" xfId="0" applyFont="1" applyAlignment="1">
      <alignment horizontal="center" vertical="center"/>
    </xf>
    <xf numFmtId="0" fontId="71" fillId="0" borderId="0" xfId="0" applyFont="1" applyAlignment="1">
      <alignment horizontal="center" vertical="center"/>
    </xf>
    <xf numFmtId="0" fontId="73" fillId="0" borderId="0" xfId="0" applyFont="1" applyAlignment="1">
      <alignment horizontal="center" vertical="center"/>
    </xf>
    <xf numFmtId="0" fontId="75" fillId="0" borderId="55" xfId="0" applyFont="1" applyBorder="1" applyAlignment="1">
      <alignment horizontal="center" vertical="center"/>
    </xf>
    <xf numFmtId="0" fontId="75" fillId="0" borderId="56" xfId="0" applyFont="1" applyBorder="1" applyAlignment="1">
      <alignment horizontal="center" vertical="center"/>
    </xf>
    <xf numFmtId="0" fontId="75" fillId="0" borderId="57" xfId="0" applyFont="1" applyBorder="1" applyAlignment="1">
      <alignment horizontal="center" vertical="center"/>
    </xf>
    <xf numFmtId="0" fontId="75" fillId="0" borderId="0" xfId="0" applyFont="1" applyAlignment="1">
      <alignment horizontal="left" vertical="center" wrapText="1"/>
    </xf>
    <xf numFmtId="0" fontId="73" fillId="0" borderId="0" xfId="0" applyFont="1" applyAlignment="1">
      <alignment horizontal="center" vertical="center" wrapText="1"/>
    </xf>
    <xf numFmtId="0" fontId="75" fillId="0" borderId="0" xfId="0" applyFont="1" applyAlignment="1">
      <alignment horizontal="center" vertical="center"/>
    </xf>
    <xf numFmtId="0" fontId="74"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42" fillId="0" borderId="0" xfId="2" applyFont="1" applyAlignment="1">
      <alignment horizontal="center" vertical="top"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47" xfId="52" applyFont="1" applyBorder="1" applyAlignment="1">
      <alignment horizontal="center" vertical="center" wrapText="1"/>
    </xf>
    <xf numFmtId="0" fontId="42" fillId="0" borderId="47" xfId="2" applyFont="1" applyBorder="1" applyAlignment="1">
      <alignment horizontal="center" vertical="center" wrapText="1"/>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47" xfId="2" applyFont="1" applyBorder="1" applyAlignment="1">
      <alignment horizontal="center" vertical="center"/>
    </xf>
    <xf numFmtId="0" fontId="42" fillId="0" borderId="50" xfId="52" applyFont="1" applyBorder="1" applyAlignment="1">
      <alignment horizontal="center" vertical="center"/>
    </xf>
    <xf numFmtId="0" fontId="42" fillId="0" borderId="51" xfId="52" applyFont="1" applyBorder="1" applyAlignment="1">
      <alignment horizontal="center" vertical="center"/>
    </xf>
    <xf numFmtId="0" fontId="42" fillId="0" borderId="52" xfId="52" applyFont="1" applyBorder="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165"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49" fillId="0" borderId="0" xfId="2" applyFont="1" applyAlignment="1">
      <alignment horizontal="center"/>
    </xf>
    <xf numFmtId="0" fontId="7" fillId="0" borderId="42" xfId="1" applyFont="1" applyBorder="1" applyAlignment="1">
      <alignment horizontal="center" vertic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5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5/J%2019-15_&#1087;&#1072;&#1089;&#1087;&#1086;&#1088;&#1090;_&#1082;&#1072;&#1088;&#1090;&#1072;/J%2019-15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СР 2 квартал 2018"/>
      <sheetName val="ССР 2001"/>
      <sheetName val="ПИР"/>
      <sheetName val="cводка затрат"/>
    </sheetNames>
    <sheetDataSet>
      <sheetData sheetId="0" refreshError="1"/>
      <sheetData sheetId="1" refreshError="1"/>
      <sheetData sheetId="2" refreshError="1"/>
      <sheetData sheetId="3" refreshError="1">
        <row r="22">
          <cell r="D22">
            <v>0.20255469605424434</v>
          </cell>
          <cell r="E22">
            <v>3.0288426354511868</v>
          </cell>
          <cell r="F22">
            <v>0</v>
          </cell>
          <cell r="G22">
            <v>1.0510393220061424E-2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5_&#1082;&#1072;&#1088;&#1090;&#1099;_&#1050;&#1051;%20&#1056;&#1055;-1-&#1058;&#1055;-1.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C14" sqref="C14"/>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0" t="s">
        <v>609</v>
      </c>
      <c r="B5" s="310"/>
      <c r="C5" s="310"/>
      <c r="D5" s="118"/>
      <c r="E5" s="118"/>
      <c r="F5" s="118"/>
      <c r="G5" s="118"/>
      <c r="H5" s="118"/>
      <c r="I5" s="118"/>
      <c r="J5" s="118"/>
    </row>
    <row r="6" spans="1:22" s="8" customFormat="1" ht="18.75" x14ac:dyDescent="0.3">
      <c r="A6" s="13"/>
      <c r="H6" s="12"/>
    </row>
    <row r="7" spans="1:22" s="8" customFormat="1" ht="18.75" x14ac:dyDescent="0.2">
      <c r="A7" s="314" t="s">
        <v>6</v>
      </c>
      <c r="B7" s="314"/>
      <c r="C7" s="31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15" t="s">
        <v>570</v>
      </c>
      <c r="B9" s="315"/>
      <c r="C9" s="315"/>
      <c r="D9" s="7"/>
      <c r="E9" s="7"/>
      <c r="F9" s="7"/>
      <c r="G9" s="7"/>
      <c r="H9" s="7"/>
      <c r="I9" s="10"/>
      <c r="J9" s="10"/>
      <c r="K9" s="10"/>
      <c r="L9" s="10"/>
      <c r="M9" s="10"/>
      <c r="N9" s="10"/>
      <c r="O9" s="10"/>
      <c r="P9" s="10"/>
      <c r="Q9" s="10"/>
      <c r="R9" s="10"/>
      <c r="S9" s="10"/>
      <c r="T9" s="10"/>
      <c r="U9" s="10"/>
      <c r="V9" s="10"/>
    </row>
    <row r="10" spans="1:22" s="8" customFormat="1" ht="18.75" x14ac:dyDescent="0.2">
      <c r="A10" s="311" t="s">
        <v>5</v>
      </c>
      <c r="B10" s="311"/>
      <c r="C10" s="31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16" t="s">
        <v>587</v>
      </c>
      <c r="B12" s="316"/>
      <c r="C12" s="316"/>
      <c r="D12" s="7"/>
      <c r="E12" s="7"/>
      <c r="F12" s="7"/>
      <c r="G12" s="7"/>
      <c r="H12" s="7"/>
      <c r="I12" s="10"/>
      <c r="J12" s="10"/>
      <c r="K12" s="10"/>
      <c r="L12" s="10"/>
      <c r="M12" s="10"/>
      <c r="N12" s="10"/>
      <c r="O12" s="10"/>
      <c r="P12" s="10"/>
      <c r="Q12" s="10"/>
      <c r="R12" s="10"/>
      <c r="S12" s="10"/>
      <c r="T12" s="10"/>
      <c r="U12" s="10"/>
      <c r="V12" s="10"/>
    </row>
    <row r="13" spans="1:22" s="8" customFormat="1" ht="18.75" x14ac:dyDescent="0.2">
      <c r="A13" s="317" t="s">
        <v>4</v>
      </c>
      <c r="B13" s="317"/>
      <c r="C13" s="31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52"/>
      <c r="B14" s="152"/>
      <c r="C14" s="152"/>
      <c r="D14" s="4"/>
      <c r="E14" s="4"/>
      <c r="F14" s="4"/>
      <c r="G14" s="4"/>
      <c r="H14" s="4"/>
      <c r="I14" s="4"/>
      <c r="J14" s="4"/>
      <c r="K14" s="4"/>
      <c r="L14" s="4"/>
      <c r="M14" s="4"/>
      <c r="N14" s="4"/>
      <c r="O14" s="4"/>
      <c r="P14" s="4"/>
      <c r="Q14" s="4"/>
      <c r="R14" s="4"/>
      <c r="S14" s="4"/>
      <c r="T14" s="4"/>
      <c r="U14" s="4"/>
      <c r="V14" s="4"/>
    </row>
    <row r="15" spans="1:22" s="3" customFormat="1" ht="31.5" customHeight="1" x14ac:dyDescent="0.2">
      <c r="A15" s="318" t="s">
        <v>582</v>
      </c>
      <c r="B15" s="319"/>
      <c r="C15" s="319"/>
      <c r="D15" s="7"/>
      <c r="E15" s="7"/>
      <c r="F15" s="7"/>
      <c r="G15" s="7"/>
      <c r="H15" s="7"/>
      <c r="I15" s="7"/>
      <c r="J15" s="7"/>
      <c r="K15" s="7"/>
      <c r="L15" s="7"/>
      <c r="M15" s="7"/>
      <c r="N15" s="7"/>
      <c r="O15" s="7"/>
      <c r="P15" s="7"/>
      <c r="Q15" s="7"/>
      <c r="R15" s="7"/>
      <c r="S15" s="7"/>
      <c r="T15" s="7"/>
      <c r="U15" s="7"/>
      <c r="V15" s="7"/>
    </row>
    <row r="16" spans="1:22" s="3" customFormat="1" ht="15" customHeight="1" x14ac:dyDescent="0.2">
      <c r="A16" s="311" t="s">
        <v>3</v>
      </c>
      <c r="B16" s="311"/>
      <c r="C16" s="31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2" t="s">
        <v>438</v>
      </c>
      <c r="B18" s="313"/>
      <c r="C18" s="31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61</v>
      </c>
      <c r="B22" s="148" t="s">
        <v>289</v>
      </c>
      <c r="C22" s="26" t="s">
        <v>481</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53" t="s">
        <v>470</v>
      </c>
      <c r="D23" s="5" t="s">
        <v>467</v>
      </c>
      <c r="E23" s="5"/>
      <c r="F23" s="5"/>
      <c r="G23" s="5"/>
      <c r="H23" s="5"/>
      <c r="I23" s="4"/>
      <c r="J23" s="4"/>
      <c r="K23" s="4"/>
      <c r="L23" s="4"/>
      <c r="M23" s="4"/>
      <c r="N23" s="4"/>
      <c r="O23" s="4"/>
      <c r="P23" s="4"/>
      <c r="Q23" s="4"/>
      <c r="R23" s="4"/>
      <c r="S23" s="4"/>
    </row>
    <row r="24" spans="1:22" s="3" customFormat="1" ht="22.5" customHeight="1" x14ac:dyDescent="0.2">
      <c r="A24" s="307"/>
      <c r="B24" s="308"/>
      <c r="C24" s="309"/>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586</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54" t="s">
        <v>524</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07"/>
      <c r="B39" s="308"/>
      <c r="C39" s="309"/>
    </row>
    <row r="40" spans="1:18" ht="63" x14ac:dyDescent="0.25">
      <c r="A40" s="22" t="s">
        <v>399</v>
      </c>
      <c r="B40" s="29" t="s">
        <v>451</v>
      </c>
      <c r="C40" s="174" t="s">
        <v>577</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07"/>
      <c r="B47" s="308"/>
      <c r="C47" s="309"/>
    </row>
    <row r="48" spans="1:18" ht="75.75" customHeight="1" x14ac:dyDescent="0.25">
      <c r="A48" s="22" t="s">
        <v>435</v>
      </c>
      <c r="B48" s="29" t="s">
        <v>449</v>
      </c>
      <c r="C48" s="155">
        <f>'6.2. Паспорт фин осв ввод'!C24</f>
        <v>3.8902892696705909</v>
      </c>
    </row>
    <row r="49" spans="1:3" ht="71.25" customHeight="1" x14ac:dyDescent="0.25">
      <c r="A49" s="22" t="s">
        <v>403</v>
      </c>
      <c r="B49" s="29" t="s">
        <v>450</v>
      </c>
      <c r="C49" s="155">
        <f>'6.2. Паспорт фин осв ввод'!C30</f>
        <v>3.2419077247254924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6" customWidth="1"/>
    <col min="8" max="11" width="8.5703125" style="46" customWidth="1"/>
    <col min="12" max="13" width="6.7109375" style="46" customWidth="1"/>
    <col min="14" max="14" width="7.28515625" style="46" customWidth="1"/>
    <col min="15" max="25" width="6.7109375" style="46" customWidth="1"/>
    <col min="26" max="26" width="7.7109375" style="46" customWidth="1"/>
    <col min="27" max="27" width="6.710937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10" t="str">
        <f>'1. паспорт местоположение'!A5:C5</f>
        <v>Год раскрытия информации: 2023 год</v>
      </c>
      <c r="B4" s="310"/>
      <c r="C4" s="310"/>
      <c r="D4" s="310"/>
      <c r="E4" s="310"/>
      <c r="F4" s="310"/>
      <c r="G4" s="310"/>
      <c r="H4" s="310"/>
      <c r="I4" s="310"/>
      <c r="J4" s="310"/>
      <c r="K4" s="310"/>
      <c r="L4" s="310"/>
      <c r="M4" s="310"/>
      <c r="N4" s="310"/>
      <c r="O4" s="310"/>
      <c r="P4" s="310"/>
      <c r="Q4" s="310"/>
      <c r="R4" s="310"/>
      <c r="S4" s="310"/>
      <c r="T4" s="310"/>
      <c r="U4" s="310"/>
      <c r="V4" s="310"/>
      <c r="W4" s="310"/>
      <c r="X4" s="310"/>
      <c r="Y4" s="310"/>
      <c r="Z4" s="310"/>
      <c r="AA4" s="310"/>
      <c r="AB4" s="310"/>
      <c r="AC4" s="310"/>
    </row>
    <row r="5" spans="1:29" ht="18.75" x14ac:dyDescent="0.3">
      <c r="AC5" s="12"/>
    </row>
    <row r="6" spans="1:29" ht="18.75" x14ac:dyDescent="0.25">
      <c r="A6" s="314" t="s">
        <v>6</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314"/>
      <c r="AC6" s="314"/>
    </row>
    <row r="7" spans="1:29" ht="18.75" x14ac:dyDescent="0.25">
      <c r="A7" s="10"/>
      <c r="B7" s="10"/>
      <c r="C7" s="10"/>
      <c r="D7" s="10"/>
      <c r="E7" s="10"/>
      <c r="F7" s="10"/>
      <c r="G7" s="10"/>
      <c r="H7" s="10"/>
      <c r="I7" s="10"/>
      <c r="J7" s="63"/>
      <c r="K7" s="63"/>
      <c r="L7" s="63"/>
      <c r="M7" s="63"/>
      <c r="N7" s="63"/>
      <c r="O7" s="63"/>
      <c r="P7" s="63"/>
      <c r="Q7" s="63"/>
      <c r="R7" s="63"/>
      <c r="S7" s="63"/>
      <c r="T7" s="63"/>
      <c r="U7" s="63"/>
      <c r="V7" s="63"/>
      <c r="W7" s="63"/>
      <c r="X7" s="63"/>
      <c r="Y7" s="63"/>
      <c r="Z7" s="63"/>
      <c r="AA7" s="63"/>
      <c r="AB7" s="63"/>
      <c r="AC7" s="63"/>
    </row>
    <row r="8" spans="1:29" x14ac:dyDescent="0.25">
      <c r="A8" s="321" t="str">
        <f>'1. паспорт местоположение'!A9:C9</f>
        <v xml:space="preserve">Акционерное общество "Западная энергетическая компания" </v>
      </c>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row>
    <row r="9" spans="1:29" ht="18.75" customHeight="1" x14ac:dyDescent="0.25">
      <c r="A9" s="311" t="s">
        <v>5</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row>
    <row r="10" spans="1:29" ht="18.75" x14ac:dyDescent="0.25">
      <c r="A10" s="10"/>
      <c r="B10" s="10"/>
      <c r="C10" s="10"/>
      <c r="D10" s="10"/>
      <c r="E10" s="10"/>
      <c r="F10" s="10"/>
      <c r="G10" s="10"/>
      <c r="H10" s="10"/>
      <c r="I10" s="10"/>
      <c r="J10" s="63"/>
      <c r="K10" s="63"/>
      <c r="L10" s="63"/>
      <c r="M10" s="63"/>
      <c r="N10" s="63"/>
      <c r="O10" s="63"/>
      <c r="P10" s="63"/>
      <c r="Q10" s="63"/>
      <c r="R10" s="63"/>
      <c r="S10" s="63"/>
      <c r="T10" s="63"/>
      <c r="U10" s="63"/>
      <c r="V10" s="63"/>
      <c r="W10" s="63"/>
      <c r="X10" s="63"/>
      <c r="Y10" s="63"/>
      <c r="Z10" s="63"/>
      <c r="AA10" s="63"/>
      <c r="AB10" s="63"/>
      <c r="AC10" s="63"/>
    </row>
    <row r="11" spans="1:29" x14ac:dyDescent="0.25">
      <c r="A11" s="321" t="str">
        <f>'1. паспорт местоположение'!A12:C12</f>
        <v>J 19-15</v>
      </c>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row>
    <row r="12" spans="1:29" x14ac:dyDescent="0.25">
      <c r="A12" s="311" t="s">
        <v>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row>
    <row r="13" spans="1:29"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row>
    <row r="14" spans="1:29" x14ac:dyDescent="0.25">
      <c r="A14" s="321" t="str">
        <f>'1. паспорт местоположение'!A15</f>
        <v>Строительство КЛ 15 кВ от  РП-1 до ТП-1 пер. Комсомольский, г. Пионерский</v>
      </c>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row>
    <row r="15" spans="1:29" ht="15.75" customHeight="1" x14ac:dyDescent="0.25">
      <c r="A15" s="311" t="s">
        <v>3</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row>
    <row r="16" spans="1:29"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row>
    <row r="18" spans="1:32" x14ac:dyDescent="0.25">
      <c r="A18" s="383" t="s">
        <v>423</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row>
    <row r="20" spans="1:32" ht="33" customHeight="1" x14ac:dyDescent="0.25">
      <c r="A20" s="368" t="s">
        <v>183</v>
      </c>
      <c r="B20" s="368" t="s">
        <v>182</v>
      </c>
      <c r="C20" s="380" t="s">
        <v>181</v>
      </c>
      <c r="D20" s="380"/>
      <c r="E20" s="382" t="s">
        <v>180</v>
      </c>
      <c r="F20" s="382"/>
      <c r="G20" s="388" t="s">
        <v>561</v>
      </c>
      <c r="H20" s="374" t="s">
        <v>551</v>
      </c>
      <c r="I20" s="375"/>
      <c r="J20" s="375"/>
      <c r="K20" s="375"/>
      <c r="L20" s="374" t="s">
        <v>552</v>
      </c>
      <c r="M20" s="375"/>
      <c r="N20" s="375"/>
      <c r="O20" s="375"/>
      <c r="P20" s="374" t="s">
        <v>553</v>
      </c>
      <c r="Q20" s="375"/>
      <c r="R20" s="375"/>
      <c r="S20" s="375"/>
      <c r="T20" s="374" t="s">
        <v>554</v>
      </c>
      <c r="U20" s="375"/>
      <c r="V20" s="375"/>
      <c r="W20" s="375"/>
      <c r="X20" s="374" t="s">
        <v>555</v>
      </c>
      <c r="Y20" s="375"/>
      <c r="Z20" s="375"/>
      <c r="AA20" s="375"/>
      <c r="AB20" s="384" t="s">
        <v>179</v>
      </c>
      <c r="AC20" s="385"/>
      <c r="AD20" s="61"/>
      <c r="AE20" s="61"/>
      <c r="AF20" s="61"/>
    </row>
    <row r="21" spans="1:32" ht="99.75" customHeight="1" x14ac:dyDescent="0.25">
      <c r="A21" s="369"/>
      <c r="B21" s="369"/>
      <c r="C21" s="380"/>
      <c r="D21" s="380"/>
      <c r="E21" s="382"/>
      <c r="F21" s="382"/>
      <c r="G21" s="389"/>
      <c r="H21" s="376" t="s">
        <v>1</v>
      </c>
      <c r="I21" s="376"/>
      <c r="J21" s="376" t="s">
        <v>550</v>
      </c>
      <c r="K21" s="376"/>
      <c r="L21" s="376" t="s">
        <v>1</v>
      </c>
      <c r="M21" s="376"/>
      <c r="N21" s="376" t="s">
        <v>550</v>
      </c>
      <c r="O21" s="376"/>
      <c r="P21" s="376" t="s">
        <v>1</v>
      </c>
      <c r="Q21" s="376"/>
      <c r="R21" s="376" t="s">
        <v>178</v>
      </c>
      <c r="S21" s="376"/>
      <c r="T21" s="376" t="s">
        <v>1</v>
      </c>
      <c r="U21" s="376"/>
      <c r="V21" s="376" t="s">
        <v>178</v>
      </c>
      <c r="W21" s="376"/>
      <c r="X21" s="376" t="s">
        <v>1</v>
      </c>
      <c r="Y21" s="376"/>
      <c r="Z21" s="376" t="s">
        <v>178</v>
      </c>
      <c r="AA21" s="376"/>
      <c r="AB21" s="386"/>
      <c r="AC21" s="387"/>
    </row>
    <row r="22" spans="1:32" ht="89.25" customHeight="1" x14ac:dyDescent="0.25">
      <c r="A22" s="370"/>
      <c r="B22" s="370"/>
      <c r="C22" s="157" t="s">
        <v>1</v>
      </c>
      <c r="D22" s="157" t="s">
        <v>178</v>
      </c>
      <c r="E22" s="165" t="s">
        <v>557</v>
      </c>
      <c r="F22" s="60" t="s">
        <v>562</v>
      </c>
      <c r="G22" s="390"/>
      <c r="H22" s="166" t="s">
        <v>404</v>
      </c>
      <c r="I22" s="166" t="s">
        <v>405</v>
      </c>
      <c r="J22" s="166" t="s">
        <v>404</v>
      </c>
      <c r="K22" s="166" t="s">
        <v>405</v>
      </c>
      <c r="L22" s="166" t="s">
        <v>404</v>
      </c>
      <c r="M22" s="166" t="s">
        <v>405</v>
      </c>
      <c r="N22" s="166" t="s">
        <v>404</v>
      </c>
      <c r="O22" s="166" t="s">
        <v>405</v>
      </c>
      <c r="P22" s="166" t="s">
        <v>404</v>
      </c>
      <c r="Q22" s="166" t="s">
        <v>405</v>
      </c>
      <c r="R22" s="166" t="s">
        <v>404</v>
      </c>
      <c r="S22" s="166" t="s">
        <v>405</v>
      </c>
      <c r="T22" s="166" t="s">
        <v>404</v>
      </c>
      <c r="U22" s="166" t="s">
        <v>405</v>
      </c>
      <c r="V22" s="166" t="s">
        <v>404</v>
      </c>
      <c r="W22" s="166" t="s">
        <v>405</v>
      </c>
      <c r="X22" s="166" t="s">
        <v>404</v>
      </c>
      <c r="Y22" s="166" t="s">
        <v>405</v>
      </c>
      <c r="Z22" s="166" t="s">
        <v>404</v>
      </c>
      <c r="AA22" s="166" t="s">
        <v>405</v>
      </c>
      <c r="AB22" s="157" t="s">
        <v>1</v>
      </c>
      <c r="AC22" s="157" t="s">
        <v>8</v>
      </c>
    </row>
    <row r="23" spans="1:32" ht="19.5" customHeight="1" x14ac:dyDescent="0.25">
      <c r="A23" s="53">
        <v>1</v>
      </c>
      <c r="B23" s="53">
        <v>2</v>
      </c>
      <c r="C23" s="167">
        <f t="shared" ref="C23:AC23" si="0">B23+1</f>
        <v>3</v>
      </c>
      <c r="D23" s="167">
        <f t="shared" si="0"/>
        <v>4</v>
      </c>
      <c r="E23" s="167">
        <f t="shared" si="0"/>
        <v>5</v>
      </c>
      <c r="F23" s="167">
        <f t="shared" si="0"/>
        <v>6</v>
      </c>
      <c r="G23" s="167">
        <f t="shared" si="0"/>
        <v>7</v>
      </c>
      <c r="H23" s="167">
        <f t="shared" si="0"/>
        <v>8</v>
      </c>
      <c r="I23" s="167">
        <f t="shared" si="0"/>
        <v>9</v>
      </c>
      <c r="J23" s="167">
        <f t="shared" si="0"/>
        <v>10</v>
      </c>
      <c r="K23" s="167">
        <f t="shared" si="0"/>
        <v>11</v>
      </c>
      <c r="L23" s="167">
        <f t="shared" si="0"/>
        <v>12</v>
      </c>
      <c r="M23" s="167">
        <f t="shared" si="0"/>
        <v>13</v>
      </c>
      <c r="N23" s="167">
        <f t="shared" si="0"/>
        <v>14</v>
      </c>
      <c r="O23" s="167">
        <f t="shared" si="0"/>
        <v>15</v>
      </c>
      <c r="P23" s="167">
        <f t="shared" si="0"/>
        <v>16</v>
      </c>
      <c r="Q23" s="167">
        <f t="shared" si="0"/>
        <v>17</v>
      </c>
      <c r="R23" s="167">
        <f t="shared" si="0"/>
        <v>18</v>
      </c>
      <c r="S23" s="167">
        <f t="shared" si="0"/>
        <v>19</v>
      </c>
      <c r="T23" s="167">
        <f t="shared" si="0"/>
        <v>20</v>
      </c>
      <c r="U23" s="167">
        <f t="shared" si="0"/>
        <v>21</v>
      </c>
      <c r="V23" s="167">
        <f t="shared" si="0"/>
        <v>22</v>
      </c>
      <c r="W23" s="167">
        <f t="shared" si="0"/>
        <v>23</v>
      </c>
      <c r="X23" s="167">
        <f t="shared" si="0"/>
        <v>24</v>
      </c>
      <c r="Y23" s="167">
        <f t="shared" si="0"/>
        <v>25</v>
      </c>
      <c r="Z23" s="167">
        <f t="shared" si="0"/>
        <v>26</v>
      </c>
      <c r="AA23" s="167">
        <f t="shared" si="0"/>
        <v>27</v>
      </c>
      <c r="AB23" s="167">
        <f>AA23+1</f>
        <v>28</v>
      </c>
      <c r="AC23" s="167">
        <f t="shared" si="0"/>
        <v>29</v>
      </c>
    </row>
    <row r="24" spans="1:32" ht="47.25" customHeight="1" x14ac:dyDescent="0.25">
      <c r="A24" s="58">
        <v>1</v>
      </c>
      <c r="B24" s="57" t="s">
        <v>177</v>
      </c>
      <c r="C24" s="139">
        <f t="shared" ref="C24:C29" si="1">AB24</f>
        <v>1.5714928417674427</v>
      </c>
      <c r="D24" s="139">
        <v>0</v>
      </c>
      <c r="E24" s="163">
        <f t="shared" ref="E24:F24" si="2">SUM(E25:E29)</f>
        <v>1.5714928417674427</v>
      </c>
      <c r="F24" s="163">
        <f t="shared" si="2"/>
        <v>1.5714928417674427</v>
      </c>
      <c r="G24" s="139">
        <v>0</v>
      </c>
      <c r="H24" s="139">
        <v>0</v>
      </c>
      <c r="I24" s="139">
        <v>0</v>
      </c>
      <c r="J24" s="139">
        <v>0</v>
      </c>
      <c r="K24" s="139">
        <v>0</v>
      </c>
      <c r="L24" s="142">
        <v>0</v>
      </c>
      <c r="M24" s="139">
        <v>0</v>
      </c>
      <c r="N24" s="139">
        <v>0</v>
      </c>
      <c r="O24" s="139">
        <v>0</v>
      </c>
      <c r="P24" s="139">
        <v>0</v>
      </c>
      <c r="Q24" s="139">
        <v>0</v>
      </c>
      <c r="R24" s="139">
        <v>0</v>
      </c>
      <c r="S24" s="139">
        <v>0</v>
      </c>
      <c r="T24" s="139">
        <v>0.10419562767521964</v>
      </c>
      <c r="U24" s="139">
        <v>0</v>
      </c>
      <c r="V24" s="139">
        <v>0</v>
      </c>
      <c r="W24" s="139">
        <v>0</v>
      </c>
      <c r="X24" s="139">
        <v>1.4672972140922231</v>
      </c>
      <c r="Y24" s="139">
        <v>0</v>
      </c>
      <c r="Z24" s="139">
        <v>0</v>
      </c>
      <c r="AA24" s="139">
        <v>0</v>
      </c>
      <c r="AB24" s="143">
        <f t="shared" ref="AB24:AB64" si="3">H24+L24+P24+T24+X24</f>
        <v>1.5714928417674427</v>
      </c>
      <c r="AC24" s="143">
        <f>J24+N24+R24+V24+Z24</f>
        <v>0</v>
      </c>
    </row>
    <row r="25" spans="1:32" ht="24" customHeight="1" x14ac:dyDescent="0.25">
      <c r="A25" s="55" t="s">
        <v>176</v>
      </c>
      <c r="B25" s="34" t="s">
        <v>175</v>
      </c>
      <c r="C25" s="139">
        <f t="shared" si="1"/>
        <v>0</v>
      </c>
      <c r="D25" s="139">
        <v>0</v>
      </c>
      <c r="E25" s="164">
        <f>G25+H25+L25+P25+T25+X25</f>
        <v>0</v>
      </c>
      <c r="F25" s="163">
        <f>AB25-H25</f>
        <v>0</v>
      </c>
      <c r="G25" s="140">
        <v>0</v>
      </c>
      <c r="H25" s="140">
        <v>0</v>
      </c>
      <c r="I25" s="140">
        <v>0</v>
      </c>
      <c r="J25" s="140">
        <v>0</v>
      </c>
      <c r="K25" s="140">
        <v>0</v>
      </c>
      <c r="L25" s="140">
        <v>0</v>
      </c>
      <c r="M25" s="140">
        <v>0</v>
      </c>
      <c r="N25" s="140">
        <v>0</v>
      </c>
      <c r="O25" s="140">
        <v>0</v>
      </c>
      <c r="P25" s="140">
        <v>0</v>
      </c>
      <c r="Q25" s="140">
        <v>0</v>
      </c>
      <c r="R25" s="140">
        <v>0</v>
      </c>
      <c r="S25" s="140">
        <v>0</v>
      </c>
      <c r="T25" s="140">
        <v>0</v>
      </c>
      <c r="U25" s="140">
        <v>0</v>
      </c>
      <c r="V25" s="140">
        <v>0</v>
      </c>
      <c r="W25" s="140">
        <v>0</v>
      </c>
      <c r="X25" s="140">
        <v>0</v>
      </c>
      <c r="Y25" s="140">
        <v>0</v>
      </c>
      <c r="Z25" s="140">
        <v>0</v>
      </c>
      <c r="AA25" s="140">
        <v>0</v>
      </c>
      <c r="AB25" s="143">
        <f t="shared" si="3"/>
        <v>0</v>
      </c>
      <c r="AC25" s="143">
        <f t="shared" ref="AC25:AC64" si="4">J25+N25+R25+V25+Z25</f>
        <v>0</v>
      </c>
    </row>
    <row r="26" spans="1:32" x14ac:dyDescent="0.25">
      <c r="A26" s="55" t="s">
        <v>174</v>
      </c>
      <c r="B26" s="34" t="s">
        <v>173</v>
      </c>
      <c r="C26" s="139">
        <f t="shared" si="1"/>
        <v>0</v>
      </c>
      <c r="D26" s="139">
        <v>0</v>
      </c>
      <c r="E26" s="164">
        <f>G26+H26+L26+P26+T26+X26</f>
        <v>0</v>
      </c>
      <c r="F26" s="163">
        <f>AB26-H26</f>
        <v>0</v>
      </c>
      <c r="G26" s="140">
        <v>0</v>
      </c>
      <c r="H26" s="140">
        <v>0</v>
      </c>
      <c r="I26" s="140">
        <v>0</v>
      </c>
      <c r="J26" s="140">
        <v>0</v>
      </c>
      <c r="K26" s="140">
        <v>0</v>
      </c>
      <c r="L26" s="140">
        <v>0</v>
      </c>
      <c r="M26" s="140">
        <v>0</v>
      </c>
      <c r="N26" s="140">
        <v>0</v>
      </c>
      <c r="O26" s="140">
        <v>0</v>
      </c>
      <c r="P26" s="140">
        <v>0</v>
      </c>
      <c r="Q26" s="140">
        <v>0</v>
      </c>
      <c r="R26" s="140">
        <v>0</v>
      </c>
      <c r="S26" s="140">
        <v>0</v>
      </c>
      <c r="T26" s="140">
        <v>0</v>
      </c>
      <c r="U26" s="140">
        <v>0</v>
      </c>
      <c r="V26" s="140">
        <v>0</v>
      </c>
      <c r="W26" s="140">
        <v>0</v>
      </c>
      <c r="X26" s="140">
        <v>0</v>
      </c>
      <c r="Y26" s="140">
        <v>0</v>
      </c>
      <c r="Z26" s="140">
        <v>0</v>
      </c>
      <c r="AA26" s="140">
        <v>0</v>
      </c>
      <c r="AB26" s="143">
        <f t="shared" si="3"/>
        <v>0</v>
      </c>
      <c r="AC26" s="143">
        <f t="shared" si="4"/>
        <v>0</v>
      </c>
    </row>
    <row r="27" spans="1:32" ht="31.5" x14ac:dyDescent="0.25">
      <c r="A27" s="55" t="s">
        <v>172</v>
      </c>
      <c r="B27" s="34" t="s">
        <v>360</v>
      </c>
      <c r="C27" s="139">
        <f t="shared" si="1"/>
        <v>1.5714928417674427</v>
      </c>
      <c r="D27" s="139">
        <v>0</v>
      </c>
      <c r="E27" s="164">
        <f>G27+H27+L27+P27+T27+X27</f>
        <v>1.5714928417674427</v>
      </c>
      <c r="F27" s="163">
        <f>AB27-H27</f>
        <v>1.5714928417674427</v>
      </c>
      <c r="G27" s="140">
        <v>0</v>
      </c>
      <c r="H27" s="140">
        <v>0</v>
      </c>
      <c r="I27" s="140">
        <v>0</v>
      </c>
      <c r="J27" s="140">
        <v>0</v>
      </c>
      <c r="K27" s="140">
        <v>0</v>
      </c>
      <c r="L27" s="141">
        <v>0</v>
      </c>
      <c r="M27" s="140">
        <v>0</v>
      </c>
      <c r="N27" s="140">
        <v>0</v>
      </c>
      <c r="O27" s="140">
        <v>0</v>
      </c>
      <c r="P27" s="140">
        <v>0</v>
      </c>
      <c r="Q27" s="140">
        <v>0</v>
      </c>
      <c r="R27" s="140">
        <v>0</v>
      </c>
      <c r="S27" s="140">
        <v>0</v>
      </c>
      <c r="T27" s="140">
        <f>T24</f>
        <v>0.10419562767521964</v>
      </c>
      <c r="U27" s="140">
        <v>0</v>
      </c>
      <c r="V27" s="140">
        <v>0</v>
      </c>
      <c r="W27" s="140">
        <v>0</v>
      </c>
      <c r="X27" s="140">
        <f>X24</f>
        <v>1.4672972140922231</v>
      </c>
      <c r="Y27" s="140">
        <v>0</v>
      </c>
      <c r="Z27" s="140">
        <v>0</v>
      </c>
      <c r="AA27" s="140">
        <v>0</v>
      </c>
      <c r="AB27" s="143">
        <f t="shared" si="3"/>
        <v>1.5714928417674427</v>
      </c>
      <c r="AC27" s="143">
        <f t="shared" si="4"/>
        <v>0</v>
      </c>
    </row>
    <row r="28" spans="1:32" x14ac:dyDescent="0.25">
      <c r="A28" s="55" t="s">
        <v>171</v>
      </c>
      <c r="B28" s="34" t="s">
        <v>170</v>
      </c>
      <c r="C28" s="139">
        <f t="shared" si="1"/>
        <v>0</v>
      </c>
      <c r="D28" s="139">
        <v>0</v>
      </c>
      <c r="E28" s="164">
        <f>G28+AB28</f>
        <v>0</v>
      </c>
      <c r="F28" s="163">
        <f>AB28-H28</f>
        <v>0</v>
      </c>
      <c r="G28" s="140">
        <v>0</v>
      </c>
      <c r="H28" s="140">
        <v>0</v>
      </c>
      <c r="I28" s="140">
        <v>0</v>
      </c>
      <c r="J28" s="140">
        <v>0</v>
      </c>
      <c r="K28" s="140">
        <v>0</v>
      </c>
      <c r="L28" s="140">
        <v>0</v>
      </c>
      <c r="M28" s="140">
        <v>0</v>
      </c>
      <c r="N28" s="140">
        <v>0</v>
      </c>
      <c r="O28" s="140">
        <v>0</v>
      </c>
      <c r="P28" s="140">
        <v>0</v>
      </c>
      <c r="Q28" s="140">
        <v>0</v>
      </c>
      <c r="R28" s="140">
        <v>0</v>
      </c>
      <c r="S28" s="140">
        <v>0</v>
      </c>
      <c r="T28" s="140">
        <v>0</v>
      </c>
      <c r="U28" s="140">
        <v>0</v>
      </c>
      <c r="V28" s="140">
        <v>0</v>
      </c>
      <c r="W28" s="140">
        <v>0</v>
      </c>
      <c r="X28" s="140">
        <v>0</v>
      </c>
      <c r="Y28" s="140">
        <v>0</v>
      </c>
      <c r="Z28" s="140">
        <v>0</v>
      </c>
      <c r="AA28" s="140">
        <v>0</v>
      </c>
      <c r="AB28" s="143">
        <f t="shared" si="3"/>
        <v>0</v>
      </c>
      <c r="AC28" s="143">
        <f t="shared" si="4"/>
        <v>0</v>
      </c>
    </row>
    <row r="29" spans="1:32" x14ac:dyDescent="0.25">
      <c r="A29" s="55" t="s">
        <v>169</v>
      </c>
      <c r="B29" s="59" t="s">
        <v>168</v>
      </c>
      <c r="C29" s="139">
        <f t="shared" si="1"/>
        <v>0</v>
      </c>
      <c r="D29" s="139">
        <v>0</v>
      </c>
      <c r="E29" s="164">
        <v>0</v>
      </c>
      <c r="F29" s="163">
        <f>AB29-H29</f>
        <v>0</v>
      </c>
      <c r="G29" s="140">
        <v>0</v>
      </c>
      <c r="H29" s="140">
        <v>0</v>
      </c>
      <c r="I29" s="140">
        <v>0</v>
      </c>
      <c r="J29" s="140">
        <v>0</v>
      </c>
      <c r="K29" s="140">
        <v>0</v>
      </c>
      <c r="L29" s="140">
        <v>0</v>
      </c>
      <c r="M29" s="140">
        <v>0</v>
      </c>
      <c r="N29" s="140">
        <v>0</v>
      </c>
      <c r="O29" s="140">
        <v>0</v>
      </c>
      <c r="P29" s="140">
        <v>0</v>
      </c>
      <c r="Q29" s="140">
        <v>0</v>
      </c>
      <c r="R29" s="140">
        <v>0</v>
      </c>
      <c r="S29" s="140">
        <v>0</v>
      </c>
      <c r="T29" s="140">
        <v>0</v>
      </c>
      <c r="U29" s="140">
        <v>0</v>
      </c>
      <c r="V29" s="140">
        <v>0</v>
      </c>
      <c r="W29" s="140">
        <v>0</v>
      </c>
      <c r="X29" s="140">
        <v>0</v>
      </c>
      <c r="Y29" s="140">
        <v>0</v>
      </c>
      <c r="Z29" s="140">
        <v>0</v>
      </c>
      <c r="AA29" s="140">
        <v>0</v>
      </c>
      <c r="AB29" s="143">
        <f t="shared" si="3"/>
        <v>0</v>
      </c>
      <c r="AC29" s="143">
        <f t="shared" si="4"/>
        <v>0</v>
      </c>
    </row>
    <row r="30" spans="1:32" ht="47.25" x14ac:dyDescent="0.25">
      <c r="A30" s="58" t="s">
        <v>60</v>
      </c>
      <c r="B30" s="57" t="s">
        <v>167</v>
      </c>
      <c r="C30" s="139">
        <v>1.3317735947181697</v>
      </c>
      <c r="D30" s="139">
        <v>0</v>
      </c>
      <c r="E30" s="163">
        <v>1.3317735947181697</v>
      </c>
      <c r="F30" s="163">
        <v>1.3317735947181697</v>
      </c>
      <c r="G30" s="139">
        <v>0</v>
      </c>
      <c r="H30" s="139">
        <v>0</v>
      </c>
      <c r="I30" s="139">
        <v>0</v>
      </c>
      <c r="J30" s="139">
        <v>0</v>
      </c>
      <c r="K30" s="139">
        <v>0</v>
      </c>
      <c r="L30" s="142">
        <v>0</v>
      </c>
      <c r="M30" s="139">
        <v>0</v>
      </c>
      <c r="N30" s="139">
        <v>0</v>
      </c>
      <c r="O30" s="139">
        <v>0</v>
      </c>
      <c r="P30" s="139">
        <v>0</v>
      </c>
      <c r="Q30" s="139">
        <v>0</v>
      </c>
      <c r="R30" s="139">
        <v>0</v>
      </c>
      <c r="S30" s="139">
        <v>0</v>
      </c>
      <c r="T30" s="139">
        <v>8.8301379385779366E-2</v>
      </c>
      <c r="U30" s="139">
        <v>0</v>
      </c>
      <c r="V30" s="139">
        <v>0</v>
      </c>
      <c r="W30" s="139">
        <v>0</v>
      </c>
      <c r="X30" s="139">
        <v>1.2434722153323925</v>
      </c>
      <c r="Y30" s="139">
        <v>0</v>
      </c>
      <c r="Z30" s="139">
        <v>0</v>
      </c>
      <c r="AA30" s="139">
        <v>0</v>
      </c>
      <c r="AB30" s="143">
        <f t="shared" si="3"/>
        <v>1.3317735947181719</v>
      </c>
      <c r="AC30" s="143">
        <f t="shared" si="4"/>
        <v>0</v>
      </c>
    </row>
    <row r="31" spans="1:32" x14ac:dyDescent="0.25">
      <c r="A31" s="58" t="s">
        <v>166</v>
      </c>
      <c r="B31" s="34" t="s">
        <v>165</v>
      </c>
      <c r="C31" s="139">
        <v>2.3572392626511604E-2</v>
      </c>
      <c r="D31" s="139">
        <v>0</v>
      </c>
      <c r="E31" s="163">
        <v>2.3572392626511604E-2</v>
      </c>
      <c r="F31" s="163">
        <v>2.3572392626511604E-2</v>
      </c>
      <c r="G31" s="140">
        <v>0</v>
      </c>
      <c r="H31" s="140">
        <v>0</v>
      </c>
      <c r="I31" s="140">
        <v>0</v>
      </c>
      <c r="J31" s="140">
        <v>0</v>
      </c>
      <c r="K31" s="140">
        <v>0</v>
      </c>
      <c r="L31" s="140">
        <v>0</v>
      </c>
      <c r="M31" s="140">
        <v>0</v>
      </c>
      <c r="N31" s="140">
        <v>0</v>
      </c>
      <c r="O31" s="140">
        <v>0</v>
      </c>
      <c r="P31" s="140">
        <v>0</v>
      </c>
      <c r="Q31" s="140">
        <v>0</v>
      </c>
      <c r="R31" s="140">
        <v>0</v>
      </c>
      <c r="S31" s="140">
        <v>0</v>
      </c>
      <c r="T31" s="140">
        <v>0</v>
      </c>
      <c r="U31" s="140">
        <v>0</v>
      </c>
      <c r="V31" s="140">
        <v>0</v>
      </c>
      <c r="W31" s="140">
        <v>0</v>
      </c>
      <c r="X31" s="140">
        <v>0</v>
      </c>
      <c r="Y31" s="140">
        <v>0</v>
      </c>
      <c r="Z31" s="140">
        <v>0</v>
      </c>
      <c r="AA31" s="140">
        <v>0</v>
      </c>
      <c r="AB31" s="143">
        <f t="shared" si="3"/>
        <v>0</v>
      </c>
      <c r="AC31" s="143">
        <f t="shared" si="4"/>
        <v>0</v>
      </c>
    </row>
    <row r="32" spans="1:32" ht="31.5" x14ac:dyDescent="0.25">
      <c r="A32" s="58" t="s">
        <v>164</v>
      </c>
      <c r="B32" s="34" t="s">
        <v>163</v>
      </c>
      <c r="C32" s="139">
        <v>1.2583928696491984</v>
      </c>
      <c r="D32" s="139">
        <v>0</v>
      </c>
      <c r="E32" s="163">
        <v>1.2583928696491984</v>
      </c>
      <c r="F32" s="163">
        <v>1.2583928696491984</v>
      </c>
      <c r="G32" s="140">
        <v>0</v>
      </c>
      <c r="H32" s="140">
        <v>0</v>
      </c>
      <c r="I32" s="140">
        <v>0</v>
      </c>
      <c r="J32" s="140">
        <v>0</v>
      </c>
      <c r="K32" s="140">
        <v>0</v>
      </c>
      <c r="L32" s="140">
        <v>0</v>
      </c>
      <c r="M32" s="140">
        <v>0</v>
      </c>
      <c r="N32" s="140">
        <v>0</v>
      </c>
      <c r="O32" s="140">
        <v>0</v>
      </c>
      <c r="P32" s="140">
        <v>0</v>
      </c>
      <c r="Q32" s="140">
        <v>0</v>
      </c>
      <c r="R32" s="140">
        <v>0</v>
      </c>
      <c r="S32" s="140">
        <v>0</v>
      </c>
      <c r="T32" s="140">
        <v>0</v>
      </c>
      <c r="U32" s="140">
        <v>0</v>
      </c>
      <c r="V32" s="140">
        <v>0</v>
      </c>
      <c r="W32" s="140">
        <v>0</v>
      </c>
      <c r="X32" s="140">
        <v>0</v>
      </c>
      <c r="Y32" s="140">
        <v>0</v>
      </c>
      <c r="Z32" s="140">
        <v>0</v>
      </c>
      <c r="AA32" s="140">
        <v>0</v>
      </c>
      <c r="AB32" s="143">
        <f t="shared" si="3"/>
        <v>0</v>
      </c>
      <c r="AC32" s="143">
        <f t="shared" si="4"/>
        <v>0</v>
      </c>
    </row>
    <row r="33" spans="1:29" x14ac:dyDescent="0.25">
      <c r="A33" s="58" t="s">
        <v>162</v>
      </c>
      <c r="B33" s="34" t="s">
        <v>161</v>
      </c>
      <c r="C33" s="139">
        <v>3.1962566273236069E-3</v>
      </c>
      <c r="D33" s="139">
        <v>0</v>
      </c>
      <c r="E33" s="163">
        <v>3.1962566273236069E-3</v>
      </c>
      <c r="F33" s="163">
        <v>3.1962566273236069E-3</v>
      </c>
      <c r="G33" s="140">
        <v>0</v>
      </c>
      <c r="H33" s="140">
        <v>0</v>
      </c>
      <c r="I33" s="140">
        <v>0</v>
      </c>
      <c r="J33" s="140">
        <v>0</v>
      </c>
      <c r="K33" s="140">
        <v>0</v>
      </c>
      <c r="L33" s="140">
        <v>0</v>
      </c>
      <c r="M33" s="140">
        <v>0</v>
      </c>
      <c r="N33" s="140">
        <v>0</v>
      </c>
      <c r="O33" s="140">
        <v>0</v>
      </c>
      <c r="P33" s="140">
        <v>0</v>
      </c>
      <c r="Q33" s="140">
        <v>0</v>
      </c>
      <c r="R33" s="140">
        <v>0</v>
      </c>
      <c r="S33" s="140">
        <v>0</v>
      </c>
      <c r="T33" s="140">
        <v>0</v>
      </c>
      <c r="U33" s="140">
        <v>0</v>
      </c>
      <c r="V33" s="140">
        <v>0</v>
      </c>
      <c r="W33" s="140">
        <v>0</v>
      </c>
      <c r="X33" s="140">
        <v>0</v>
      </c>
      <c r="Y33" s="140">
        <v>0</v>
      </c>
      <c r="Z33" s="140">
        <v>0</v>
      </c>
      <c r="AA33" s="140">
        <v>0</v>
      </c>
      <c r="AB33" s="143">
        <f t="shared" si="3"/>
        <v>0</v>
      </c>
      <c r="AC33" s="143">
        <f t="shared" si="4"/>
        <v>0</v>
      </c>
    </row>
    <row r="34" spans="1:29" x14ac:dyDescent="0.25">
      <c r="A34" s="58" t="s">
        <v>160</v>
      </c>
      <c r="B34" s="34" t="s">
        <v>159</v>
      </c>
      <c r="C34" s="139">
        <v>4.6612075815135941E-2</v>
      </c>
      <c r="D34" s="139">
        <v>0</v>
      </c>
      <c r="E34" s="163">
        <v>4.6612075815135941E-2</v>
      </c>
      <c r="F34" s="163">
        <v>4.6612075815135941E-2</v>
      </c>
      <c r="G34" s="140">
        <v>0</v>
      </c>
      <c r="H34" s="140">
        <v>0</v>
      </c>
      <c r="I34" s="140">
        <v>0</v>
      </c>
      <c r="J34" s="140">
        <v>0</v>
      </c>
      <c r="K34" s="140">
        <v>0</v>
      </c>
      <c r="L34" s="140">
        <v>0</v>
      </c>
      <c r="M34" s="140">
        <v>0</v>
      </c>
      <c r="N34" s="140">
        <v>0</v>
      </c>
      <c r="O34" s="140">
        <v>0</v>
      </c>
      <c r="P34" s="140">
        <v>0</v>
      </c>
      <c r="Q34" s="140">
        <v>0</v>
      </c>
      <c r="R34" s="140">
        <v>0</v>
      </c>
      <c r="S34" s="140">
        <v>0</v>
      </c>
      <c r="T34" s="140">
        <v>0</v>
      </c>
      <c r="U34" s="140">
        <v>0</v>
      </c>
      <c r="V34" s="140">
        <v>0</v>
      </c>
      <c r="W34" s="140">
        <v>0</v>
      </c>
      <c r="X34" s="140">
        <v>0</v>
      </c>
      <c r="Y34" s="140">
        <v>0</v>
      </c>
      <c r="Z34" s="140">
        <v>0</v>
      </c>
      <c r="AA34" s="140">
        <v>0</v>
      </c>
      <c r="AB34" s="143">
        <f t="shared" si="3"/>
        <v>0</v>
      </c>
      <c r="AC34" s="143">
        <f t="shared" si="4"/>
        <v>0</v>
      </c>
    </row>
    <row r="35" spans="1:29" ht="31.5" x14ac:dyDescent="0.25">
      <c r="A35" s="58" t="s">
        <v>59</v>
      </c>
      <c r="B35" s="57" t="s">
        <v>158</v>
      </c>
      <c r="C35" s="139">
        <f t="shared" ref="C35:C64" si="5">AB35</f>
        <v>0</v>
      </c>
      <c r="D35" s="139">
        <v>0</v>
      </c>
      <c r="E35" s="163">
        <v>0</v>
      </c>
      <c r="F35" s="163">
        <f t="shared" ref="F35:F64" si="6">AB35-H35</f>
        <v>0</v>
      </c>
      <c r="G35" s="139">
        <v>0</v>
      </c>
      <c r="H35" s="139">
        <v>0</v>
      </c>
      <c r="I35" s="139">
        <v>0</v>
      </c>
      <c r="J35" s="139">
        <v>0</v>
      </c>
      <c r="K35" s="139">
        <v>0</v>
      </c>
      <c r="L35" s="142">
        <v>0</v>
      </c>
      <c r="M35" s="139">
        <v>0</v>
      </c>
      <c r="N35" s="139">
        <v>0</v>
      </c>
      <c r="O35" s="139">
        <v>0</v>
      </c>
      <c r="P35" s="139">
        <v>0</v>
      </c>
      <c r="Q35" s="139">
        <v>0</v>
      </c>
      <c r="R35" s="139">
        <v>0</v>
      </c>
      <c r="S35" s="139">
        <v>0</v>
      </c>
      <c r="T35" s="139">
        <v>0</v>
      </c>
      <c r="U35" s="139">
        <v>0</v>
      </c>
      <c r="V35" s="139">
        <v>0</v>
      </c>
      <c r="W35" s="139">
        <v>0</v>
      </c>
      <c r="X35" s="139">
        <v>0</v>
      </c>
      <c r="Y35" s="139">
        <v>0</v>
      </c>
      <c r="Z35" s="139">
        <v>0</v>
      </c>
      <c r="AA35" s="139">
        <v>0</v>
      </c>
      <c r="AB35" s="143">
        <f t="shared" si="3"/>
        <v>0</v>
      </c>
      <c r="AC35" s="143">
        <f t="shared" si="4"/>
        <v>0</v>
      </c>
    </row>
    <row r="36" spans="1:29" ht="31.5" x14ac:dyDescent="0.25">
      <c r="A36" s="55" t="s">
        <v>157</v>
      </c>
      <c r="B36" s="54" t="s">
        <v>156</v>
      </c>
      <c r="C36" s="139">
        <f t="shared" si="5"/>
        <v>0</v>
      </c>
      <c r="D36" s="139">
        <v>0</v>
      </c>
      <c r="E36" s="163">
        <f t="shared" ref="E36:E42" si="7">G36+AB36</f>
        <v>0</v>
      </c>
      <c r="F36" s="163">
        <f t="shared" si="6"/>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3">
        <f t="shared" si="3"/>
        <v>0</v>
      </c>
      <c r="AC36" s="143">
        <f t="shared" si="4"/>
        <v>0</v>
      </c>
    </row>
    <row r="37" spans="1:29" x14ac:dyDescent="0.25">
      <c r="A37" s="55" t="s">
        <v>155</v>
      </c>
      <c r="B37" s="54" t="s">
        <v>145</v>
      </c>
      <c r="C37" s="139">
        <f t="shared" si="5"/>
        <v>0</v>
      </c>
      <c r="D37" s="139">
        <v>0</v>
      </c>
      <c r="E37" s="163">
        <f t="shared" si="7"/>
        <v>0</v>
      </c>
      <c r="F37" s="163">
        <f t="shared" si="6"/>
        <v>0</v>
      </c>
      <c r="G37" s="140">
        <v>0</v>
      </c>
      <c r="H37" s="140">
        <v>0</v>
      </c>
      <c r="I37" s="140">
        <v>0</v>
      </c>
      <c r="J37" s="140">
        <v>0</v>
      </c>
      <c r="K37" s="140">
        <v>0</v>
      </c>
      <c r="L37" s="141">
        <v>0</v>
      </c>
      <c r="M37" s="140">
        <v>0</v>
      </c>
      <c r="N37" s="140">
        <v>0</v>
      </c>
      <c r="O37" s="140">
        <v>0</v>
      </c>
      <c r="P37" s="140">
        <v>0</v>
      </c>
      <c r="Q37" s="140">
        <v>0</v>
      </c>
      <c r="R37" s="140">
        <v>0</v>
      </c>
      <c r="S37" s="140">
        <v>0</v>
      </c>
      <c r="T37" s="140">
        <v>0</v>
      </c>
      <c r="U37" s="140">
        <v>0</v>
      </c>
      <c r="V37" s="140">
        <v>0</v>
      </c>
      <c r="W37" s="140">
        <v>0</v>
      </c>
      <c r="X37" s="140">
        <v>0</v>
      </c>
      <c r="Y37" s="140">
        <v>0</v>
      </c>
      <c r="Z37" s="140">
        <v>0</v>
      </c>
      <c r="AA37" s="140">
        <v>0</v>
      </c>
      <c r="AB37" s="143">
        <f t="shared" si="3"/>
        <v>0</v>
      </c>
      <c r="AC37" s="143">
        <f t="shared" si="4"/>
        <v>0</v>
      </c>
    </row>
    <row r="38" spans="1:29" x14ac:dyDescent="0.25">
      <c r="A38" s="55" t="s">
        <v>154</v>
      </c>
      <c r="B38" s="54" t="s">
        <v>143</v>
      </c>
      <c r="C38" s="139">
        <f t="shared" si="5"/>
        <v>0</v>
      </c>
      <c r="D38" s="139">
        <v>0</v>
      </c>
      <c r="E38" s="163">
        <f t="shared" si="7"/>
        <v>0</v>
      </c>
      <c r="F38" s="163">
        <f t="shared" si="6"/>
        <v>0</v>
      </c>
      <c r="G38" s="140">
        <v>0</v>
      </c>
      <c r="H38" s="140">
        <v>0</v>
      </c>
      <c r="I38" s="140">
        <v>0</v>
      </c>
      <c r="J38" s="140">
        <v>0</v>
      </c>
      <c r="K38" s="140">
        <v>0</v>
      </c>
      <c r="L38" s="140">
        <v>0</v>
      </c>
      <c r="M38" s="140">
        <v>0</v>
      </c>
      <c r="N38" s="140">
        <v>0</v>
      </c>
      <c r="O38" s="140">
        <v>0</v>
      </c>
      <c r="P38" s="140">
        <v>0</v>
      </c>
      <c r="Q38" s="140">
        <v>0</v>
      </c>
      <c r="R38" s="140">
        <v>0</v>
      </c>
      <c r="S38" s="140">
        <v>0</v>
      </c>
      <c r="T38" s="140">
        <v>0</v>
      </c>
      <c r="U38" s="140">
        <v>0</v>
      </c>
      <c r="V38" s="140">
        <v>0</v>
      </c>
      <c r="W38" s="140">
        <v>0</v>
      </c>
      <c r="X38" s="140">
        <v>0</v>
      </c>
      <c r="Y38" s="140">
        <v>0</v>
      </c>
      <c r="Z38" s="140">
        <v>0</v>
      </c>
      <c r="AA38" s="140">
        <v>0</v>
      </c>
      <c r="AB38" s="143">
        <f t="shared" si="3"/>
        <v>0</v>
      </c>
      <c r="AC38" s="143">
        <f t="shared" si="4"/>
        <v>0</v>
      </c>
    </row>
    <row r="39" spans="1:29" ht="31.5" x14ac:dyDescent="0.25">
      <c r="A39" s="55" t="s">
        <v>153</v>
      </c>
      <c r="B39" s="34" t="s">
        <v>141</v>
      </c>
      <c r="C39" s="139">
        <f t="shared" si="5"/>
        <v>0</v>
      </c>
      <c r="D39" s="139">
        <v>0</v>
      </c>
      <c r="E39" s="163">
        <f t="shared" si="7"/>
        <v>0</v>
      </c>
      <c r="F39" s="163">
        <f t="shared" si="6"/>
        <v>0</v>
      </c>
      <c r="G39" s="140">
        <v>0</v>
      </c>
      <c r="H39" s="140">
        <v>0</v>
      </c>
      <c r="I39" s="140">
        <v>0</v>
      </c>
      <c r="J39" s="140">
        <v>0</v>
      </c>
      <c r="K39" s="140">
        <v>0</v>
      </c>
      <c r="L39" s="140">
        <v>0</v>
      </c>
      <c r="M39" s="140">
        <v>0</v>
      </c>
      <c r="N39" s="140">
        <v>0</v>
      </c>
      <c r="O39" s="140">
        <v>0</v>
      </c>
      <c r="P39" s="140">
        <v>0</v>
      </c>
      <c r="Q39" s="140">
        <v>0</v>
      </c>
      <c r="R39" s="140">
        <v>0</v>
      </c>
      <c r="S39" s="140">
        <v>0</v>
      </c>
      <c r="T39" s="140">
        <v>0</v>
      </c>
      <c r="U39" s="140">
        <v>0</v>
      </c>
      <c r="V39" s="140">
        <v>0</v>
      </c>
      <c r="W39" s="140">
        <v>0</v>
      </c>
      <c r="X39" s="140">
        <v>0</v>
      </c>
      <c r="Y39" s="140">
        <v>0</v>
      </c>
      <c r="Z39" s="140">
        <v>0</v>
      </c>
      <c r="AA39" s="140">
        <v>0</v>
      </c>
      <c r="AB39" s="143">
        <f t="shared" si="3"/>
        <v>0</v>
      </c>
      <c r="AC39" s="143">
        <f t="shared" si="4"/>
        <v>0</v>
      </c>
    </row>
    <row r="40" spans="1:29" ht="31.5" x14ac:dyDescent="0.25">
      <c r="A40" s="55" t="s">
        <v>152</v>
      </c>
      <c r="B40" s="34" t="s">
        <v>139</v>
      </c>
      <c r="C40" s="139">
        <f t="shared" si="5"/>
        <v>0</v>
      </c>
      <c r="D40" s="139">
        <v>0</v>
      </c>
      <c r="E40" s="163">
        <f t="shared" si="7"/>
        <v>0</v>
      </c>
      <c r="F40" s="163">
        <f t="shared" si="6"/>
        <v>0</v>
      </c>
      <c r="G40" s="140">
        <v>0</v>
      </c>
      <c r="H40" s="140">
        <v>0</v>
      </c>
      <c r="I40" s="140">
        <v>0</v>
      </c>
      <c r="J40" s="140">
        <v>0</v>
      </c>
      <c r="K40" s="140">
        <v>0</v>
      </c>
      <c r="L40" s="140">
        <v>0</v>
      </c>
      <c r="M40" s="140">
        <v>0</v>
      </c>
      <c r="N40" s="140">
        <v>0</v>
      </c>
      <c r="O40" s="140">
        <v>0</v>
      </c>
      <c r="P40" s="140">
        <v>0</v>
      </c>
      <c r="Q40" s="140">
        <v>0</v>
      </c>
      <c r="R40" s="140">
        <v>0</v>
      </c>
      <c r="S40" s="140">
        <v>0</v>
      </c>
      <c r="T40" s="140">
        <v>0</v>
      </c>
      <c r="U40" s="140">
        <v>0</v>
      </c>
      <c r="V40" s="140">
        <v>0</v>
      </c>
      <c r="W40" s="140">
        <v>0</v>
      </c>
      <c r="X40" s="140">
        <v>0</v>
      </c>
      <c r="Y40" s="140">
        <v>0</v>
      </c>
      <c r="Z40" s="140">
        <v>0</v>
      </c>
      <c r="AA40" s="140">
        <v>0</v>
      </c>
      <c r="AB40" s="143">
        <f t="shared" si="3"/>
        <v>0</v>
      </c>
      <c r="AC40" s="143">
        <f t="shared" si="4"/>
        <v>0</v>
      </c>
    </row>
    <row r="41" spans="1:29" x14ac:dyDescent="0.25">
      <c r="A41" s="55" t="s">
        <v>151</v>
      </c>
      <c r="B41" s="34" t="s">
        <v>137</v>
      </c>
      <c r="C41" s="139">
        <f t="shared" si="5"/>
        <v>0.26</v>
      </c>
      <c r="D41" s="139">
        <v>0</v>
      </c>
      <c r="E41" s="163">
        <f t="shared" si="7"/>
        <v>0.26</v>
      </c>
      <c r="F41" s="163">
        <f t="shared" si="6"/>
        <v>0.26</v>
      </c>
      <c r="G41" s="140">
        <v>0</v>
      </c>
      <c r="H41" s="140">
        <v>0</v>
      </c>
      <c r="I41" s="140">
        <v>0</v>
      </c>
      <c r="J41" s="140">
        <v>0</v>
      </c>
      <c r="K41" s="140">
        <v>0</v>
      </c>
      <c r="L41" s="140">
        <v>0</v>
      </c>
      <c r="M41" s="140">
        <v>0</v>
      </c>
      <c r="N41" s="140">
        <v>0</v>
      </c>
      <c r="O41" s="140">
        <v>0</v>
      </c>
      <c r="P41" s="140">
        <v>0</v>
      </c>
      <c r="Q41" s="140">
        <v>0</v>
      </c>
      <c r="R41" s="140">
        <v>0</v>
      </c>
      <c r="S41" s="140">
        <v>0</v>
      </c>
      <c r="T41" s="140">
        <v>0</v>
      </c>
      <c r="U41" s="140">
        <v>0</v>
      </c>
      <c r="V41" s="140">
        <v>0</v>
      </c>
      <c r="W41" s="140">
        <v>0</v>
      </c>
      <c r="X41" s="140">
        <v>0.26</v>
      </c>
      <c r="Y41" s="140">
        <v>0</v>
      </c>
      <c r="Z41" s="140">
        <v>0</v>
      </c>
      <c r="AA41" s="140">
        <v>0</v>
      </c>
      <c r="AB41" s="143">
        <f t="shared" si="3"/>
        <v>0.26</v>
      </c>
      <c r="AC41" s="143">
        <f t="shared" si="4"/>
        <v>0</v>
      </c>
    </row>
    <row r="42" spans="1:29" ht="18.75" x14ac:dyDescent="0.25">
      <c r="A42" s="55" t="s">
        <v>150</v>
      </c>
      <c r="B42" s="54" t="s">
        <v>135</v>
      </c>
      <c r="C42" s="139">
        <f t="shared" si="5"/>
        <v>0</v>
      </c>
      <c r="D42" s="139">
        <v>0</v>
      </c>
      <c r="E42" s="163">
        <f t="shared" si="7"/>
        <v>0</v>
      </c>
      <c r="F42" s="163">
        <f t="shared" si="6"/>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3">
        <f t="shared" si="3"/>
        <v>0</v>
      </c>
      <c r="AC42" s="143">
        <f t="shared" si="4"/>
        <v>0</v>
      </c>
    </row>
    <row r="43" spans="1:29" x14ac:dyDescent="0.25">
      <c r="A43" s="58" t="s">
        <v>58</v>
      </c>
      <c r="B43" s="57" t="s">
        <v>149</v>
      </c>
      <c r="C43" s="139">
        <f t="shared" si="5"/>
        <v>0</v>
      </c>
      <c r="D43" s="139">
        <v>0</v>
      </c>
      <c r="E43" s="163">
        <v>0</v>
      </c>
      <c r="F43" s="163">
        <f t="shared" si="6"/>
        <v>0</v>
      </c>
      <c r="G43" s="139">
        <v>0</v>
      </c>
      <c r="H43" s="139">
        <v>0</v>
      </c>
      <c r="I43" s="139">
        <v>0</v>
      </c>
      <c r="J43" s="139">
        <v>0</v>
      </c>
      <c r="K43" s="139">
        <v>0</v>
      </c>
      <c r="L43" s="142">
        <v>0</v>
      </c>
      <c r="M43" s="139">
        <v>0</v>
      </c>
      <c r="N43" s="139">
        <v>0</v>
      </c>
      <c r="O43" s="139">
        <v>0</v>
      </c>
      <c r="P43" s="139">
        <v>0</v>
      </c>
      <c r="Q43" s="139">
        <v>0</v>
      </c>
      <c r="R43" s="139">
        <v>0</v>
      </c>
      <c r="S43" s="139">
        <v>0</v>
      </c>
      <c r="T43" s="139">
        <v>0</v>
      </c>
      <c r="U43" s="139">
        <v>0</v>
      </c>
      <c r="V43" s="139">
        <v>0</v>
      </c>
      <c r="W43" s="139">
        <v>0</v>
      </c>
      <c r="X43" s="139">
        <v>0</v>
      </c>
      <c r="Y43" s="139">
        <v>0</v>
      </c>
      <c r="Z43" s="139">
        <v>0</v>
      </c>
      <c r="AA43" s="139">
        <v>0</v>
      </c>
      <c r="AB43" s="143">
        <f t="shared" si="3"/>
        <v>0</v>
      </c>
      <c r="AC43" s="143">
        <f t="shared" si="4"/>
        <v>0</v>
      </c>
    </row>
    <row r="44" spans="1:29" x14ac:dyDescent="0.25">
      <c r="A44" s="55" t="s">
        <v>148</v>
      </c>
      <c r="B44" s="34" t="s">
        <v>147</v>
      </c>
      <c r="C44" s="139">
        <f t="shared" si="5"/>
        <v>0</v>
      </c>
      <c r="D44" s="139">
        <v>0</v>
      </c>
      <c r="E44" s="163">
        <f t="shared" ref="E44:E50" si="8">G44+AB44</f>
        <v>0</v>
      </c>
      <c r="F44" s="163">
        <f t="shared" si="6"/>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3">
        <f t="shared" si="3"/>
        <v>0</v>
      </c>
      <c r="AC44" s="143">
        <f t="shared" si="4"/>
        <v>0</v>
      </c>
    </row>
    <row r="45" spans="1:29" x14ac:dyDescent="0.25">
      <c r="A45" s="55" t="s">
        <v>146</v>
      </c>
      <c r="B45" s="34" t="s">
        <v>145</v>
      </c>
      <c r="C45" s="139">
        <f t="shared" si="5"/>
        <v>0</v>
      </c>
      <c r="D45" s="139">
        <v>0</v>
      </c>
      <c r="E45" s="163">
        <f t="shared" si="8"/>
        <v>0</v>
      </c>
      <c r="F45" s="163">
        <f t="shared" si="6"/>
        <v>0</v>
      </c>
      <c r="G45" s="140">
        <v>0</v>
      </c>
      <c r="H45" s="140">
        <v>0</v>
      </c>
      <c r="I45" s="140">
        <v>0</v>
      </c>
      <c r="J45" s="140">
        <v>0</v>
      </c>
      <c r="K45" s="140">
        <v>0</v>
      </c>
      <c r="L45" s="141">
        <v>0</v>
      </c>
      <c r="M45" s="140">
        <v>0</v>
      </c>
      <c r="N45" s="140">
        <v>0</v>
      </c>
      <c r="O45" s="140">
        <v>0</v>
      </c>
      <c r="P45" s="140">
        <v>0</v>
      </c>
      <c r="Q45" s="140">
        <v>0</v>
      </c>
      <c r="R45" s="140">
        <v>0</v>
      </c>
      <c r="S45" s="140">
        <v>0</v>
      </c>
      <c r="T45" s="140">
        <v>0</v>
      </c>
      <c r="U45" s="140">
        <v>0</v>
      </c>
      <c r="V45" s="140">
        <v>0</v>
      </c>
      <c r="W45" s="140">
        <v>0</v>
      </c>
      <c r="X45" s="140">
        <f>X37</f>
        <v>0</v>
      </c>
      <c r="Y45" s="140">
        <v>0</v>
      </c>
      <c r="Z45" s="140">
        <v>0</v>
      </c>
      <c r="AA45" s="140">
        <v>0</v>
      </c>
      <c r="AB45" s="143">
        <f t="shared" si="3"/>
        <v>0</v>
      </c>
      <c r="AC45" s="143">
        <f t="shared" si="4"/>
        <v>0</v>
      </c>
    </row>
    <row r="46" spans="1:29" x14ac:dyDescent="0.25">
      <c r="A46" s="55" t="s">
        <v>144</v>
      </c>
      <c r="B46" s="34" t="s">
        <v>143</v>
      </c>
      <c r="C46" s="139">
        <f t="shared" si="5"/>
        <v>0</v>
      </c>
      <c r="D46" s="139">
        <v>0</v>
      </c>
      <c r="E46" s="163">
        <f t="shared" si="8"/>
        <v>0</v>
      </c>
      <c r="F46" s="163">
        <f t="shared" si="6"/>
        <v>0</v>
      </c>
      <c r="G46" s="140">
        <v>0</v>
      </c>
      <c r="H46" s="140">
        <v>0</v>
      </c>
      <c r="I46" s="140">
        <v>0</v>
      </c>
      <c r="J46" s="140">
        <v>0</v>
      </c>
      <c r="K46" s="140">
        <v>0</v>
      </c>
      <c r="L46" s="140">
        <v>0</v>
      </c>
      <c r="M46" s="140">
        <v>0</v>
      </c>
      <c r="N46" s="140">
        <v>0</v>
      </c>
      <c r="O46" s="140">
        <v>0</v>
      </c>
      <c r="P46" s="140">
        <v>0</v>
      </c>
      <c r="Q46" s="140">
        <v>0</v>
      </c>
      <c r="R46" s="140">
        <v>0</v>
      </c>
      <c r="S46" s="140">
        <v>0</v>
      </c>
      <c r="T46" s="140">
        <v>0</v>
      </c>
      <c r="U46" s="140">
        <v>0</v>
      </c>
      <c r="V46" s="140">
        <v>0</v>
      </c>
      <c r="W46" s="140">
        <v>0</v>
      </c>
      <c r="X46" s="140">
        <v>0</v>
      </c>
      <c r="Y46" s="140">
        <v>0</v>
      </c>
      <c r="Z46" s="140">
        <v>0</v>
      </c>
      <c r="AA46" s="140">
        <v>0</v>
      </c>
      <c r="AB46" s="143">
        <f t="shared" si="3"/>
        <v>0</v>
      </c>
      <c r="AC46" s="143">
        <f t="shared" si="4"/>
        <v>0</v>
      </c>
    </row>
    <row r="47" spans="1:29" ht="31.5" x14ac:dyDescent="0.25">
      <c r="A47" s="55" t="s">
        <v>142</v>
      </c>
      <c r="B47" s="34" t="s">
        <v>141</v>
      </c>
      <c r="C47" s="139">
        <f t="shared" si="5"/>
        <v>0</v>
      </c>
      <c r="D47" s="139">
        <v>0</v>
      </c>
      <c r="E47" s="163">
        <f t="shared" si="8"/>
        <v>0</v>
      </c>
      <c r="F47" s="163">
        <f t="shared" si="6"/>
        <v>0</v>
      </c>
      <c r="G47" s="140">
        <v>0</v>
      </c>
      <c r="H47" s="140">
        <v>0</v>
      </c>
      <c r="I47" s="140">
        <v>0</v>
      </c>
      <c r="J47" s="140">
        <v>0</v>
      </c>
      <c r="K47" s="140">
        <v>0</v>
      </c>
      <c r="L47" s="140">
        <v>0</v>
      </c>
      <c r="M47" s="140">
        <v>0</v>
      </c>
      <c r="N47" s="140">
        <v>0</v>
      </c>
      <c r="O47" s="140">
        <v>0</v>
      </c>
      <c r="P47" s="140">
        <v>0</v>
      </c>
      <c r="Q47" s="140">
        <v>0</v>
      </c>
      <c r="R47" s="140">
        <v>0</v>
      </c>
      <c r="S47" s="140">
        <v>0</v>
      </c>
      <c r="T47" s="140">
        <v>0</v>
      </c>
      <c r="U47" s="140">
        <v>0</v>
      </c>
      <c r="V47" s="140">
        <v>0</v>
      </c>
      <c r="W47" s="140">
        <v>0</v>
      </c>
      <c r="X47" s="140">
        <f>X39</f>
        <v>0</v>
      </c>
      <c r="Y47" s="140">
        <v>0</v>
      </c>
      <c r="Z47" s="140">
        <v>0</v>
      </c>
      <c r="AA47" s="140">
        <v>0</v>
      </c>
      <c r="AB47" s="143">
        <f t="shared" si="3"/>
        <v>0</v>
      </c>
      <c r="AC47" s="143">
        <f t="shared" si="4"/>
        <v>0</v>
      </c>
    </row>
    <row r="48" spans="1:29" ht="31.5" x14ac:dyDescent="0.25">
      <c r="A48" s="55" t="s">
        <v>140</v>
      </c>
      <c r="B48" s="34" t="s">
        <v>139</v>
      </c>
      <c r="C48" s="139">
        <f t="shared" si="5"/>
        <v>0</v>
      </c>
      <c r="D48" s="139">
        <v>0</v>
      </c>
      <c r="E48" s="163">
        <f t="shared" si="8"/>
        <v>0</v>
      </c>
      <c r="F48" s="163">
        <f t="shared" si="6"/>
        <v>0</v>
      </c>
      <c r="G48" s="140">
        <v>0</v>
      </c>
      <c r="H48" s="140">
        <v>0</v>
      </c>
      <c r="I48" s="140">
        <v>0</v>
      </c>
      <c r="J48" s="140">
        <v>0</v>
      </c>
      <c r="K48" s="140">
        <v>0</v>
      </c>
      <c r="L48" s="140">
        <v>0</v>
      </c>
      <c r="M48" s="140">
        <v>0</v>
      </c>
      <c r="N48" s="140">
        <v>0</v>
      </c>
      <c r="O48" s="140">
        <v>0</v>
      </c>
      <c r="P48" s="140">
        <v>0</v>
      </c>
      <c r="Q48" s="140">
        <v>0</v>
      </c>
      <c r="R48" s="140">
        <v>0</v>
      </c>
      <c r="S48" s="140">
        <v>0</v>
      </c>
      <c r="T48" s="140">
        <v>0</v>
      </c>
      <c r="U48" s="140">
        <v>0</v>
      </c>
      <c r="V48" s="140">
        <v>0</v>
      </c>
      <c r="W48" s="140">
        <v>0</v>
      </c>
      <c r="X48" s="140">
        <f>X40</f>
        <v>0</v>
      </c>
      <c r="Y48" s="140">
        <v>0</v>
      </c>
      <c r="Z48" s="140">
        <v>0</v>
      </c>
      <c r="AA48" s="140">
        <v>0</v>
      </c>
      <c r="AB48" s="143">
        <f t="shared" si="3"/>
        <v>0</v>
      </c>
      <c r="AC48" s="143">
        <f t="shared" si="4"/>
        <v>0</v>
      </c>
    </row>
    <row r="49" spans="1:29" x14ac:dyDescent="0.25">
      <c r="A49" s="55" t="s">
        <v>138</v>
      </c>
      <c r="B49" s="34" t="s">
        <v>137</v>
      </c>
      <c r="C49" s="139">
        <f t="shared" si="5"/>
        <v>0.26</v>
      </c>
      <c r="D49" s="139">
        <v>0</v>
      </c>
      <c r="E49" s="163">
        <f t="shared" si="8"/>
        <v>0.26</v>
      </c>
      <c r="F49" s="163">
        <f t="shared" si="6"/>
        <v>0.26</v>
      </c>
      <c r="G49" s="140">
        <v>0</v>
      </c>
      <c r="H49" s="140">
        <v>0</v>
      </c>
      <c r="I49" s="140">
        <v>0</v>
      </c>
      <c r="J49" s="140">
        <v>0</v>
      </c>
      <c r="K49" s="140">
        <v>0</v>
      </c>
      <c r="L49" s="140">
        <v>0</v>
      </c>
      <c r="M49" s="140">
        <v>0</v>
      </c>
      <c r="N49" s="140">
        <v>0</v>
      </c>
      <c r="O49" s="140">
        <v>0</v>
      </c>
      <c r="P49" s="140">
        <v>0</v>
      </c>
      <c r="Q49" s="140">
        <v>0</v>
      </c>
      <c r="R49" s="140">
        <v>0</v>
      </c>
      <c r="S49" s="140">
        <v>0</v>
      </c>
      <c r="T49" s="140">
        <v>0</v>
      </c>
      <c r="U49" s="140">
        <v>0</v>
      </c>
      <c r="V49" s="140">
        <v>0</v>
      </c>
      <c r="W49" s="140">
        <v>0</v>
      </c>
      <c r="X49" s="140">
        <f>X41</f>
        <v>0.26</v>
      </c>
      <c r="Y49" s="140">
        <v>0</v>
      </c>
      <c r="Z49" s="140">
        <v>0</v>
      </c>
      <c r="AA49" s="140">
        <v>0</v>
      </c>
      <c r="AB49" s="143">
        <f t="shared" si="3"/>
        <v>0.26</v>
      </c>
      <c r="AC49" s="143">
        <f t="shared" si="4"/>
        <v>0</v>
      </c>
    </row>
    <row r="50" spans="1:29" ht="18.75" x14ac:dyDescent="0.25">
      <c r="A50" s="55" t="s">
        <v>136</v>
      </c>
      <c r="B50" s="54" t="s">
        <v>135</v>
      </c>
      <c r="C50" s="139">
        <f t="shared" si="5"/>
        <v>0</v>
      </c>
      <c r="D50" s="139">
        <v>0</v>
      </c>
      <c r="E50" s="163">
        <f t="shared" si="8"/>
        <v>0</v>
      </c>
      <c r="F50" s="163">
        <f t="shared" si="6"/>
        <v>0</v>
      </c>
      <c r="G50" s="140">
        <v>0</v>
      </c>
      <c r="H50" s="140">
        <v>0</v>
      </c>
      <c r="I50" s="140">
        <v>0</v>
      </c>
      <c r="J50" s="140">
        <v>0</v>
      </c>
      <c r="K50" s="140">
        <v>0</v>
      </c>
      <c r="L50" s="140">
        <v>0</v>
      </c>
      <c r="M50" s="140">
        <v>0</v>
      </c>
      <c r="N50" s="140">
        <v>0</v>
      </c>
      <c r="O50" s="140">
        <v>0</v>
      </c>
      <c r="P50" s="140">
        <v>0</v>
      </c>
      <c r="Q50" s="140">
        <v>0</v>
      </c>
      <c r="R50" s="140">
        <v>0</v>
      </c>
      <c r="S50" s="140">
        <v>0</v>
      </c>
      <c r="T50" s="140">
        <v>0</v>
      </c>
      <c r="U50" s="140">
        <v>0</v>
      </c>
      <c r="V50" s="140">
        <v>0</v>
      </c>
      <c r="W50" s="140">
        <v>0</v>
      </c>
      <c r="X50" s="140">
        <v>0</v>
      </c>
      <c r="Y50" s="140">
        <v>0</v>
      </c>
      <c r="Z50" s="140">
        <v>0</v>
      </c>
      <c r="AA50" s="140">
        <v>0</v>
      </c>
      <c r="AB50" s="143">
        <f t="shared" si="3"/>
        <v>0</v>
      </c>
      <c r="AC50" s="143">
        <f t="shared" si="4"/>
        <v>0</v>
      </c>
    </row>
    <row r="51" spans="1:29" ht="35.25" customHeight="1" x14ac:dyDescent="0.25">
      <c r="A51" s="58" t="s">
        <v>56</v>
      </c>
      <c r="B51" s="57" t="s">
        <v>134</v>
      </c>
      <c r="C51" s="139">
        <f t="shared" si="5"/>
        <v>0</v>
      </c>
      <c r="D51" s="139">
        <v>0</v>
      </c>
      <c r="E51" s="163">
        <v>0</v>
      </c>
      <c r="F51" s="163">
        <f t="shared" si="6"/>
        <v>0</v>
      </c>
      <c r="G51" s="139">
        <v>0</v>
      </c>
      <c r="H51" s="139">
        <v>0</v>
      </c>
      <c r="I51" s="139">
        <v>0</v>
      </c>
      <c r="J51" s="139">
        <v>0</v>
      </c>
      <c r="K51" s="139">
        <v>0</v>
      </c>
      <c r="L51" s="142">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43">
        <f t="shared" si="3"/>
        <v>0</v>
      </c>
      <c r="AC51" s="143">
        <f t="shared" si="4"/>
        <v>0</v>
      </c>
    </row>
    <row r="52" spans="1:29" x14ac:dyDescent="0.25">
      <c r="A52" s="55" t="s">
        <v>133</v>
      </c>
      <c r="B52" s="34" t="s">
        <v>132</v>
      </c>
      <c r="C52" s="139">
        <f t="shared" si="5"/>
        <v>1.3317735947181719</v>
      </c>
      <c r="D52" s="139">
        <v>0</v>
      </c>
      <c r="E52" s="163">
        <f>C52</f>
        <v>1.3317735947181719</v>
      </c>
      <c r="F52" s="163">
        <f t="shared" si="6"/>
        <v>1.3317735947181719</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f>AB30</f>
        <v>1.3317735947181719</v>
      </c>
      <c r="Y52" s="140">
        <v>0</v>
      </c>
      <c r="Z52" s="140">
        <v>0</v>
      </c>
      <c r="AA52" s="140">
        <v>0</v>
      </c>
      <c r="AB52" s="143">
        <f t="shared" si="3"/>
        <v>1.3317735947181719</v>
      </c>
      <c r="AC52" s="143">
        <f t="shared" si="4"/>
        <v>0</v>
      </c>
    </row>
    <row r="53" spans="1:29" x14ac:dyDescent="0.25">
      <c r="A53" s="55" t="s">
        <v>131</v>
      </c>
      <c r="B53" s="34" t="s">
        <v>125</v>
      </c>
      <c r="C53" s="139">
        <f t="shared" si="5"/>
        <v>0</v>
      </c>
      <c r="D53" s="139">
        <v>0</v>
      </c>
      <c r="E53" s="163">
        <f>G53+AB53</f>
        <v>0</v>
      </c>
      <c r="F53" s="163">
        <f t="shared" si="6"/>
        <v>0</v>
      </c>
      <c r="G53" s="140">
        <v>0</v>
      </c>
      <c r="H53" s="140">
        <v>0</v>
      </c>
      <c r="I53" s="140">
        <v>0</v>
      </c>
      <c r="J53" s="140">
        <v>0</v>
      </c>
      <c r="K53" s="140">
        <v>0</v>
      </c>
      <c r="L53" s="141">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3">
        <f t="shared" si="3"/>
        <v>0</v>
      </c>
      <c r="AC53" s="143">
        <f t="shared" si="4"/>
        <v>0</v>
      </c>
    </row>
    <row r="54" spans="1:29" x14ac:dyDescent="0.25">
      <c r="A54" s="55" t="s">
        <v>130</v>
      </c>
      <c r="B54" s="54" t="s">
        <v>124</v>
      </c>
      <c r="C54" s="139">
        <f t="shared" si="5"/>
        <v>0</v>
      </c>
      <c r="D54" s="139">
        <v>0</v>
      </c>
      <c r="E54" s="163">
        <f>G54+AB54</f>
        <v>0</v>
      </c>
      <c r="F54" s="163">
        <f t="shared" si="6"/>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f>X45</f>
        <v>0</v>
      </c>
      <c r="Y54" s="140">
        <v>0</v>
      </c>
      <c r="Z54" s="140">
        <v>0</v>
      </c>
      <c r="AA54" s="140">
        <v>0</v>
      </c>
      <c r="AB54" s="143">
        <f t="shared" si="3"/>
        <v>0</v>
      </c>
      <c r="AC54" s="143">
        <f t="shared" si="4"/>
        <v>0</v>
      </c>
    </row>
    <row r="55" spans="1:29" x14ac:dyDescent="0.25">
      <c r="A55" s="55" t="s">
        <v>129</v>
      </c>
      <c r="B55" s="54" t="s">
        <v>123</v>
      </c>
      <c r="C55" s="139">
        <f t="shared" si="5"/>
        <v>0</v>
      </c>
      <c r="D55" s="139">
        <v>0</v>
      </c>
      <c r="E55" s="163">
        <f>G55+AB55</f>
        <v>0</v>
      </c>
      <c r="F55" s="163">
        <f t="shared" si="6"/>
        <v>0</v>
      </c>
      <c r="G55" s="140">
        <v>0</v>
      </c>
      <c r="H55" s="140">
        <v>0</v>
      </c>
      <c r="I55" s="140">
        <v>0</v>
      </c>
      <c r="J55" s="140">
        <v>0</v>
      </c>
      <c r="K55" s="140">
        <v>0</v>
      </c>
      <c r="L55" s="140">
        <v>0</v>
      </c>
      <c r="M55" s="140">
        <v>0</v>
      </c>
      <c r="N55" s="140">
        <v>0</v>
      </c>
      <c r="O55" s="140">
        <v>0</v>
      </c>
      <c r="P55" s="140">
        <v>0</v>
      </c>
      <c r="Q55" s="140">
        <v>0</v>
      </c>
      <c r="R55" s="140">
        <v>0</v>
      </c>
      <c r="S55" s="140">
        <v>0</v>
      </c>
      <c r="T55" s="140">
        <v>0</v>
      </c>
      <c r="U55" s="140">
        <v>0</v>
      </c>
      <c r="V55" s="140">
        <v>0</v>
      </c>
      <c r="W55" s="140">
        <v>0</v>
      </c>
      <c r="X55" s="140">
        <v>0</v>
      </c>
      <c r="Y55" s="140">
        <v>0</v>
      </c>
      <c r="Z55" s="140">
        <v>0</v>
      </c>
      <c r="AA55" s="140">
        <v>0</v>
      </c>
      <c r="AB55" s="143">
        <f t="shared" si="3"/>
        <v>0</v>
      </c>
      <c r="AC55" s="143">
        <f t="shared" si="4"/>
        <v>0</v>
      </c>
    </row>
    <row r="56" spans="1:29" x14ac:dyDescent="0.25">
      <c r="A56" s="55" t="s">
        <v>128</v>
      </c>
      <c r="B56" s="54" t="s">
        <v>122</v>
      </c>
      <c r="C56" s="139">
        <f t="shared" si="5"/>
        <v>0.26</v>
      </c>
      <c r="D56" s="139">
        <v>0</v>
      </c>
      <c r="E56" s="163">
        <f>G56+AB56</f>
        <v>0.26</v>
      </c>
      <c r="F56" s="163">
        <f t="shared" si="6"/>
        <v>0.26</v>
      </c>
      <c r="G56" s="140">
        <v>0</v>
      </c>
      <c r="H56" s="140">
        <v>0</v>
      </c>
      <c r="I56" s="140">
        <v>0</v>
      </c>
      <c r="J56" s="140">
        <v>0</v>
      </c>
      <c r="K56" s="140">
        <v>0</v>
      </c>
      <c r="L56" s="140">
        <v>0</v>
      </c>
      <c r="M56" s="140">
        <v>0</v>
      </c>
      <c r="N56" s="140">
        <v>0</v>
      </c>
      <c r="O56" s="140">
        <v>0</v>
      </c>
      <c r="P56" s="140">
        <v>0</v>
      </c>
      <c r="Q56" s="140">
        <v>0</v>
      </c>
      <c r="R56" s="140">
        <v>0</v>
      </c>
      <c r="S56" s="140">
        <v>0</v>
      </c>
      <c r="T56" s="140">
        <v>0</v>
      </c>
      <c r="U56" s="140">
        <v>0</v>
      </c>
      <c r="V56" s="140">
        <v>0</v>
      </c>
      <c r="W56" s="140">
        <v>0</v>
      </c>
      <c r="X56" s="140">
        <f>X47+X48+X49</f>
        <v>0.26</v>
      </c>
      <c r="Y56" s="140">
        <v>0</v>
      </c>
      <c r="Z56" s="140">
        <v>0</v>
      </c>
      <c r="AA56" s="140">
        <v>0</v>
      </c>
      <c r="AB56" s="143">
        <f t="shared" si="3"/>
        <v>0.26</v>
      </c>
      <c r="AC56" s="143">
        <f t="shared" si="4"/>
        <v>0</v>
      </c>
    </row>
    <row r="57" spans="1:29" ht="18.75" x14ac:dyDescent="0.25">
      <c r="A57" s="55" t="s">
        <v>127</v>
      </c>
      <c r="B57" s="54" t="s">
        <v>121</v>
      </c>
      <c r="C57" s="139">
        <f t="shared" si="5"/>
        <v>0</v>
      </c>
      <c r="D57" s="139">
        <v>0</v>
      </c>
      <c r="E57" s="163">
        <f>G57+AB57</f>
        <v>0</v>
      </c>
      <c r="F57" s="163">
        <f t="shared" si="6"/>
        <v>0</v>
      </c>
      <c r="G57" s="140">
        <v>0</v>
      </c>
      <c r="H57" s="140">
        <v>0</v>
      </c>
      <c r="I57" s="140">
        <v>0</v>
      </c>
      <c r="J57" s="140">
        <v>0</v>
      </c>
      <c r="K57" s="140">
        <v>0</v>
      </c>
      <c r="L57" s="140">
        <v>0</v>
      </c>
      <c r="M57" s="140">
        <v>0</v>
      </c>
      <c r="N57" s="140">
        <v>0</v>
      </c>
      <c r="O57" s="140">
        <v>0</v>
      </c>
      <c r="P57" s="140">
        <v>0</v>
      </c>
      <c r="Q57" s="140">
        <v>0</v>
      </c>
      <c r="R57" s="140">
        <v>0</v>
      </c>
      <c r="S57" s="140">
        <v>0</v>
      </c>
      <c r="T57" s="140">
        <v>0</v>
      </c>
      <c r="U57" s="140">
        <v>0</v>
      </c>
      <c r="V57" s="140">
        <v>0</v>
      </c>
      <c r="W57" s="140">
        <v>0</v>
      </c>
      <c r="X57" s="140">
        <v>0</v>
      </c>
      <c r="Y57" s="140">
        <v>0</v>
      </c>
      <c r="Z57" s="140">
        <v>0</v>
      </c>
      <c r="AA57" s="140">
        <v>0</v>
      </c>
      <c r="AB57" s="143">
        <f t="shared" si="3"/>
        <v>0</v>
      </c>
      <c r="AC57" s="143">
        <f t="shared" si="4"/>
        <v>0</v>
      </c>
    </row>
    <row r="58" spans="1:29" ht="36.75" customHeight="1" x14ac:dyDescent="0.25">
      <c r="A58" s="58" t="s">
        <v>55</v>
      </c>
      <c r="B58" s="76" t="s">
        <v>225</v>
      </c>
      <c r="C58" s="139">
        <f t="shared" si="5"/>
        <v>0</v>
      </c>
      <c r="D58" s="139">
        <v>0</v>
      </c>
      <c r="E58" s="163">
        <v>0</v>
      </c>
      <c r="F58" s="163">
        <f t="shared" si="6"/>
        <v>0</v>
      </c>
      <c r="G58" s="139">
        <v>0</v>
      </c>
      <c r="H58" s="139">
        <v>0</v>
      </c>
      <c r="I58" s="139">
        <v>0</v>
      </c>
      <c r="J58" s="139">
        <v>0</v>
      </c>
      <c r="K58" s="139">
        <v>0</v>
      </c>
      <c r="L58" s="142">
        <v>0</v>
      </c>
      <c r="M58" s="139">
        <v>0</v>
      </c>
      <c r="N58" s="139">
        <v>0</v>
      </c>
      <c r="O58" s="139">
        <v>0</v>
      </c>
      <c r="P58" s="139">
        <v>0</v>
      </c>
      <c r="Q58" s="139">
        <v>0</v>
      </c>
      <c r="R58" s="139">
        <v>0</v>
      </c>
      <c r="S58" s="139">
        <v>0</v>
      </c>
      <c r="T58" s="139">
        <v>0</v>
      </c>
      <c r="U58" s="139">
        <v>0</v>
      </c>
      <c r="V58" s="139">
        <v>0</v>
      </c>
      <c r="W58" s="139">
        <v>0</v>
      </c>
      <c r="X58" s="139">
        <v>0</v>
      </c>
      <c r="Y58" s="139">
        <v>0</v>
      </c>
      <c r="Z58" s="139">
        <v>0</v>
      </c>
      <c r="AA58" s="139">
        <v>0</v>
      </c>
      <c r="AB58" s="143">
        <f t="shared" si="3"/>
        <v>0</v>
      </c>
      <c r="AC58" s="143">
        <f t="shared" si="4"/>
        <v>0</v>
      </c>
    </row>
    <row r="59" spans="1:29" x14ac:dyDescent="0.25">
      <c r="A59" s="58" t="s">
        <v>53</v>
      </c>
      <c r="B59" s="57" t="s">
        <v>126</v>
      </c>
      <c r="C59" s="139">
        <f t="shared" si="5"/>
        <v>0</v>
      </c>
      <c r="D59" s="139">
        <v>0</v>
      </c>
      <c r="E59" s="163">
        <v>0</v>
      </c>
      <c r="F59" s="163">
        <f t="shared" si="6"/>
        <v>0</v>
      </c>
      <c r="G59" s="139">
        <v>0</v>
      </c>
      <c r="H59" s="139">
        <v>0</v>
      </c>
      <c r="I59" s="139">
        <v>0</v>
      </c>
      <c r="J59" s="139">
        <v>0</v>
      </c>
      <c r="K59" s="139">
        <v>0</v>
      </c>
      <c r="L59" s="142">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43">
        <f t="shared" si="3"/>
        <v>0</v>
      </c>
      <c r="AC59" s="143">
        <f t="shared" si="4"/>
        <v>0</v>
      </c>
    </row>
    <row r="60" spans="1:29" x14ac:dyDescent="0.25">
      <c r="A60" s="55" t="s">
        <v>219</v>
      </c>
      <c r="B60" s="56" t="s">
        <v>147</v>
      </c>
      <c r="C60" s="139">
        <f t="shared" si="5"/>
        <v>0</v>
      </c>
      <c r="D60" s="139">
        <v>0</v>
      </c>
      <c r="E60" s="163">
        <v>0</v>
      </c>
      <c r="F60" s="163">
        <f t="shared" si="6"/>
        <v>0</v>
      </c>
      <c r="G60" s="140">
        <v>0</v>
      </c>
      <c r="H60" s="140">
        <v>0</v>
      </c>
      <c r="I60" s="140">
        <v>0</v>
      </c>
      <c r="J60" s="140">
        <v>0</v>
      </c>
      <c r="K60" s="140">
        <v>0</v>
      </c>
      <c r="L60" s="140">
        <v>0</v>
      </c>
      <c r="M60" s="140">
        <v>0</v>
      </c>
      <c r="N60" s="140">
        <v>0</v>
      </c>
      <c r="O60" s="140">
        <v>0</v>
      </c>
      <c r="P60" s="140">
        <v>0</v>
      </c>
      <c r="Q60" s="140">
        <v>0</v>
      </c>
      <c r="R60" s="140">
        <v>0</v>
      </c>
      <c r="S60" s="140">
        <v>0</v>
      </c>
      <c r="T60" s="140">
        <v>0</v>
      </c>
      <c r="U60" s="140">
        <v>0</v>
      </c>
      <c r="V60" s="140">
        <v>0</v>
      </c>
      <c r="W60" s="140">
        <v>0</v>
      </c>
      <c r="X60" s="140">
        <v>0</v>
      </c>
      <c r="Y60" s="140">
        <v>0</v>
      </c>
      <c r="Z60" s="140">
        <v>0</v>
      </c>
      <c r="AA60" s="140">
        <v>0</v>
      </c>
      <c r="AB60" s="143">
        <f t="shared" si="3"/>
        <v>0</v>
      </c>
      <c r="AC60" s="143">
        <f t="shared" si="4"/>
        <v>0</v>
      </c>
    </row>
    <row r="61" spans="1:29" x14ac:dyDescent="0.25">
      <c r="A61" s="55" t="s">
        <v>220</v>
      </c>
      <c r="B61" s="56" t="s">
        <v>145</v>
      </c>
      <c r="C61" s="139">
        <f t="shared" si="5"/>
        <v>0</v>
      </c>
      <c r="D61" s="139">
        <v>0</v>
      </c>
      <c r="E61" s="163">
        <v>0</v>
      </c>
      <c r="F61" s="163">
        <f t="shared" si="6"/>
        <v>0</v>
      </c>
      <c r="G61" s="140">
        <v>0</v>
      </c>
      <c r="H61" s="140">
        <v>0</v>
      </c>
      <c r="I61" s="140">
        <v>0</v>
      </c>
      <c r="J61" s="140">
        <v>0</v>
      </c>
      <c r="K61" s="140">
        <v>0</v>
      </c>
      <c r="L61" s="140">
        <v>0</v>
      </c>
      <c r="M61" s="140">
        <v>0</v>
      </c>
      <c r="N61" s="140">
        <v>0</v>
      </c>
      <c r="O61" s="140">
        <v>0</v>
      </c>
      <c r="P61" s="140">
        <v>0</v>
      </c>
      <c r="Q61" s="140">
        <v>0</v>
      </c>
      <c r="R61" s="140">
        <v>0</v>
      </c>
      <c r="S61" s="140">
        <v>0</v>
      </c>
      <c r="T61" s="140">
        <v>0</v>
      </c>
      <c r="U61" s="140">
        <v>0</v>
      </c>
      <c r="V61" s="140">
        <v>0</v>
      </c>
      <c r="W61" s="140">
        <v>0</v>
      </c>
      <c r="X61" s="140">
        <v>0</v>
      </c>
      <c r="Y61" s="140">
        <v>0</v>
      </c>
      <c r="Z61" s="140">
        <v>0</v>
      </c>
      <c r="AA61" s="140">
        <v>0</v>
      </c>
      <c r="AB61" s="143">
        <f t="shared" si="3"/>
        <v>0</v>
      </c>
      <c r="AC61" s="143">
        <f t="shared" si="4"/>
        <v>0</v>
      </c>
    </row>
    <row r="62" spans="1:29" x14ac:dyDescent="0.25">
      <c r="A62" s="55" t="s">
        <v>221</v>
      </c>
      <c r="B62" s="56" t="s">
        <v>143</v>
      </c>
      <c r="C62" s="139">
        <f t="shared" si="5"/>
        <v>0</v>
      </c>
      <c r="D62" s="139">
        <v>0</v>
      </c>
      <c r="E62" s="163">
        <v>0</v>
      </c>
      <c r="F62" s="163">
        <f t="shared" si="6"/>
        <v>0</v>
      </c>
      <c r="G62" s="140">
        <v>0</v>
      </c>
      <c r="H62" s="140">
        <v>0</v>
      </c>
      <c r="I62" s="140">
        <v>0</v>
      </c>
      <c r="J62" s="140">
        <v>0</v>
      </c>
      <c r="K62" s="140">
        <v>0</v>
      </c>
      <c r="L62" s="140">
        <v>0</v>
      </c>
      <c r="M62" s="140">
        <v>0</v>
      </c>
      <c r="N62" s="140">
        <v>0</v>
      </c>
      <c r="O62" s="140">
        <v>0</v>
      </c>
      <c r="P62" s="140">
        <v>0</v>
      </c>
      <c r="Q62" s="140">
        <v>0</v>
      </c>
      <c r="R62" s="140">
        <v>0</v>
      </c>
      <c r="S62" s="140">
        <v>0</v>
      </c>
      <c r="T62" s="140">
        <v>0</v>
      </c>
      <c r="U62" s="140">
        <v>0</v>
      </c>
      <c r="V62" s="140">
        <v>0</v>
      </c>
      <c r="W62" s="140">
        <v>0</v>
      </c>
      <c r="X62" s="140">
        <v>0</v>
      </c>
      <c r="Y62" s="140">
        <v>0</v>
      </c>
      <c r="Z62" s="140">
        <v>0</v>
      </c>
      <c r="AA62" s="140">
        <v>0</v>
      </c>
      <c r="AB62" s="143">
        <f t="shared" si="3"/>
        <v>0</v>
      </c>
      <c r="AC62" s="143">
        <f t="shared" si="4"/>
        <v>0</v>
      </c>
    </row>
    <row r="63" spans="1:29" x14ac:dyDescent="0.25">
      <c r="A63" s="55" t="s">
        <v>222</v>
      </c>
      <c r="B63" s="56" t="s">
        <v>224</v>
      </c>
      <c r="C63" s="139">
        <f t="shared" si="5"/>
        <v>0</v>
      </c>
      <c r="D63" s="139">
        <v>0</v>
      </c>
      <c r="E63" s="163">
        <v>0</v>
      </c>
      <c r="F63" s="163">
        <f t="shared" si="6"/>
        <v>0</v>
      </c>
      <c r="G63" s="140">
        <v>0</v>
      </c>
      <c r="H63" s="140">
        <v>0</v>
      </c>
      <c r="I63" s="140">
        <v>0</v>
      </c>
      <c r="J63" s="140">
        <v>0</v>
      </c>
      <c r="K63" s="140">
        <v>0</v>
      </c>
      <c r="L63" s="140">
        <v>0</v>
      </c>
      <c r="M63" s="140">
        <v>0</v>
      </c>
      <c r="N63" s="140">
        <v>0</v>
      </c>
      <c r="O63" s="140">
        <v>0</v>
      </c>
      <c r="P63" s="140">
        <v>0</v>
      </c>
      <c r="Q63" s="140">
        <v>0</v>
      </c>
      <c r="R63" s="140">
        <v>0</v>
      </c>
      <c r="S63" s="140">
        <v>0</v>
      </c>
      <c r="T63" s="140">
        <v>0</v>
      </c>
      <c r="U63" s="140">
        <v>0</v>
      </c>
      <c r="V63" s="140">
        <v>0</v>
      </c>
      <c r="W63" s="140">
        <v>0</v>
      </c>
      <c r="X63" s="140">
        <v>0</v>
      </c>
      <c r="Y63" s="140">
        <v>0</v>
      </c>
      <c r="Z63" s="140">
        <v>0</v>
      </c>
      <c r="AA63" s="140">
        <v>0</v>
      </c>
      <c r="AB63" s="143">
        <f t="shared" si="3"/>
        <v>0</v>
      </c>
      <c r="AC63" s="143">
        <f t="shared" si="4"/>
        <v>0</v>
      </c>
    </row>
    <row r="64" spans="1:29" ht="18.75" x14ac:dyDescent="0.25">
      <c r="A64" s="55" t="s">
        <v>223</v>
      </c>
      <c r="B64" s="54" t="s">
        <v>121</v>
      </c>
      <c r="C64" s="139">
        <f t="shared" si="5"/>
        <v>0</v>
      </c>
      <c r="D64" s="139">
        <v>0</v>
      </c>
      <c r="E64" s="163">
        <v>0</v>
      </c>
      <c r="F64" s="163">
        <f t="shared" si="6"/>
        <v>0</v>
      </c>
      <c r="G64" s="140">
        <v>0</v>
      </c>
      <c r="H64" s="140">
        <v>0</v>
      </c>
      <c r="I64" s="140">
        <v>0</v>
      </c>
      <c r="J64" s="140">
        <v>0</v>
      </c>
      <c r="K64" s="140">
        <v>0</v>
      </c>
      <c r="L64" s="140">
        <v>0</v>
      </c>
      <c r="M64" s="140">
        <v>0</v>
      </c>
      <c r="N64" s="140">
        <v>0</v>
      </c>
      <c r="O64" s="140">
        <v>0</v>
      </c>
      <c r="P64" s="140">
        <v>0</v>
      </c>
      <c r="Q64" s="140">
        <v>0</v>
      </c>
      <c r="R64" s="140">
        <v>0</v>
      </c>
      <c r="S64" s="140">
        <v>0</v>
      </c>
      <c r="T64" s="140">
        <v>0</v>
      </c>
      <c r="U64" s="140">
        <v>0</v>
      </c>
      <c r="V64" s="140">
        <v>0</v>
      </c>
      <c r="W64" s="140">
        <v>0</v>
      </c>
      <c r="X64" s="140">
        <v>0</v>
      </c>
      <c r="Y64" s="140">
        <v>0</v>
      </c>
      <c r="Z64" s="140">
        <v>0</v>
      </c>
      <c r="AA64" s="140">
        <v>0</v>
      </c>
      <c r="AB64" s="143">
        <f t="shared" si="3"/>
        <v>0</v>
      </c>
      <c r="AC64" s="143">
        <f t="shared" si="4"/>
        <v>0</v>
      </c>
    </row>
    <row r="65" spans="1:28" x14ac:dyDescent="0.25">
      <c r="A65" s="52"/>
      <c r="B65" s="47"/>
      <c r="C65" s="47"/>
      <c r="D65" s="47"/>
      <c r="E65" s="47"/>
      <c r="F65" s="47"/>
      <c r="G65" s="47"/>
      <c r="H65" s="47"/>
      <c r="I65" s="47"/>
      <c r="J65" s="47"/>
      <c r="K65" s="47"/>
      <c r="L65" s="52"/>
      <c r="M65" s="52"/>
    </row>
    <row r="66" spans="1:28" ht="54" customHeight="1" x14ac:dyDescent="0.25">
      <c r="B66" s="379"/>
      <c r="C66" s="379"/>
      <c r="D66" s="379"/>
      <c r="E66" s="379"/>
      <c r="F66" s="379"/>
      <c r="G66" s="379"/>
      <c r="H66" s="379"/>
      <c r="I66" s="379"/>
      <c r="J66" s="49"/>
      <c r="K66" s="49"/>
      <c r="L66" s="51"/>
      <c r="M66" s="51"/>
      <c r="N66" s="51"/>
      <c r="O66" s="51"/>
      <c r="P66" s="51"/>
      <c r="Q66" s="51"/>
      <c r="R66" s="51"/>
      <c r="S66" s="51"/>
      <c r="T66" s="51"/>
      <c r="U66" s="51"/>
      <c r="V66" s="51"/>
      <c r="W66" s="51"/>
      <c r="X66" s="51"/>
      <c r="Y66" s="51"/>
      <c r="Z66" s="51"/>
      <c r="AA66" s="51"/>
      <c r="AB66" s="51"/>
    </row>
    <row r="68" spans="1:28" ht="50.25" customHeight="1" x14ac:dyDescent="0.25">
      <c r="B68" s="379"/>
      <c r="C68" s="379"/>
      <c r="D68" s="379"/>
      <c r="E68" s="379"/>
      <c r="F68" s="379"/>
      <c r="G68" s="379"/>
      <c r="H68" s="379"/>
      <c r="I68" s="379"/>
      <c r="J68" s="49"/>
      <c r="K68" s="49"/>
    </row>
    <row r="70" spans="1:28" ht="36.75" customHeight="1" x14ac:dyDescent="0.25">
      <c r="B70" s="379"/>
      <c r="C70" s="379"/>
      <c r="D70" s="379"/>
      <c r="E70" s="379"/>
      <c r="F70" s="379"/>
      <c r="G70" s="379"/>
      <c r="H70" s="379"/>
      <c r="I70" s="379"/>
      <c r="J70" s="49"/>
      <c r="K70" s="49"/>
    </row>
    <row r="71" spans="1:28" x14ac:dyDescent="0.25">
      <c r="N71" s="50"/>
    </row>
    <row r="72" spans="1:28" ht="51" customHeight="1" x14ac:dyDescent="0.25">
      <c r="B72" s="379"/>
      <c r="C72" s="379"/>
      <c r="D72" s="379"/>
      <c r="E72" s="379"/>
      <c r="F72" s="379"/>
      <c r="G72" s="379"/>
      <c r="H72" s="379"/>
      <c r="I72" s="379"/>
      <c r="J72" s="49"/>
      <c r="K72" s="49"/>
      <c r="N72" s="50"/>
    </row>
    <row r="73" spans="1:28" ht="32.25" customHeight="1" x14ac:dyDescent="0.25">
      <c r="B73" s="379"/>
      <c r="C73" s="379"/>
      <c r="D73" s="379"/>
      <c r="E73" s="379"/>
      <c r="F73" s="379"/>
      <c r="G73" s="379"/>
      <c r="H73" s="379"/>
      <c r="I73" s="379"/>
      <c r="J73" s="49"/>
      <c r="K73" s="49"/>
    </row>
    <row r="74" spans="1:28" ht="51.75" customHeight="1" x14ac:dyDescent="0.25">
      <c r="B74" s="379"/>
      <c r="C74" s="379"/>
      <c r="D74" s="379"/>
      <c r="E74" s="379"/>
      <c r="F74" s="379"/>
      <c r="G74" s="379"/>
      <c r="H74" s="379"/>
      <c r="I74" s="379"/>
      <c r="J74" s="49"/>
      <c r="K74" s="49"/>
    </row>
    <row r="75" spans="1:28" ht="21.75" customHeight="1" x14ac:dyDescent="0.25">
      <c r="B75" s="377"/>
      <c r="C75" s="377"/>
      <c r="D75" s="377"/>
      <c r="E75" s="377"/>
      <c r="F75" s="377"/>
      <c r="G75" s="377"/>
      <c r="H75" s="377"/>
      <c r="I75" s="377"/>
      <c r="J75" s="48"/>
      <c r="K75" s="48"/>
    </row>
    <row r="76" spans="1:28" ht="23.25" customHeight="1" x14ac:dyDescent="0.25"/>
    <row r="77" spans="1:28" ht="18.75" customHeight="1" x14ac:dyDescent="0.25">
      <c r="B77" s="378"/>
      <c r="C77" s="378"/>
      <c r="D77" s="378"/>
      <c r="E77" s="378"/>
      <c r="F77" s="378"/>
      <c r="G77" s="378"/>
      <c r="H77" s="378"/>
      <c r="I77" s="378"/>
      <c r="J77" s="47"/>
      <c r="K77" s="47"/>
    </row>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50" priority="10" operator="notEqual">
      <formula>0</formula>
    </cfRule>
  </conditionalFormatting>
  <conditionalFormatting sqref="AB24:AC64">
    <cfRule type="cellIs" dxfId="49" priority="9" operator="notEqual">
      <formula>0</formula>
    </cfRule>
  </conditionalFormatting>
  <conditionalFormatting sqref="E24:F24">
    <cfRule type="cellIs" dxfId="48" priority="8" operator="notEqual">
      <formula>0</formula>
    </cfRule>
  </conditionalFormatting>
  <conditionalFormatting sqref="E58:F64 E51:F51 E25:F43">
    <cfRule type="cellIs" dxfId="47" priority="7" operator="notEqual">
      <formula>0</formula>
    </cfRule>
  </conditionalFormatting>
  <conditionalFormatting sqref="F44 F50">
    <cfRule type="cellIs" dxfId="46" priority="6" operator="notEqual">
      <formula>0</formula>
    </cfRule>
  </conditionalFormatting>
  <conditionalFormatting sqref="F45:F49">
    <cfRule type="cellIs" dxfId="45" priority="5" operator="notEqual">
      <formula>0</formula>
    </cfRule>
  </conditionalFormatting>
  <conditionalFormatting sqref="E44:E50">
    <cfRule type="cellIs" dxfId="44" priority="4" operator="notEqual">
      <formula>0</formula>
    </cfRule>
  </conditionalFormatting>
  <conditionalFormatting sqref="E52:F52 F53:F57">
    <cfRule type="cellIs" dxfId="43" priority="3" operator="notEqual">
      <formula>0</formula>
    </cfRule>
  </conditionalFormatting>
  <conditionalFormatting sqref="E53:E57">
    <cfRule type="cellIs" dxfId="42" priority="2" operator="notEqual">
      <formula>0</formula>
    </cfRule>
  </conditionalFormatting>
  <conditionalFormatting sqref="D24:D64">
    <cfRule type="cellIs" dxfId="41"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topLeftCell="A14" zoomScale="70" zoomScaleNormal="70" zoomScaleSheetLayoutView="70" workbookViewId="0">
      <selection activeCell="W31" sqref="W31:X31"/>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6" width="19" style="46" customWidth="1"/>
    <col min="7" max="7" width="12" style="46" customWidth="1"/>
    <col min="8" max="15" width="9.28515625" style="46" customWidth="1"/>
    <col min="16" max="17" width="8" style="46" customWidth="1"/>
    <col min="18" max="19" width="8.5703125" style="46" customWidth="1"/>
    <col min="20" max="21" width="8" style="46" customWidth="1"/>
    <col min="22" max="23" width="8.5703125" style="46" customWidth="1"/>
    <col min="24" max="25" width="8" style="46" customWidth="1"/>
    <col min="26" max="27" width="8.570312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10" t="str">
        <f>'6.1. Паспорт сетевой график'!A5:K5</f>
        <v>Год раскрытия информации: 2023 год</v>
      </c>
      <c r="B4" s="310"/>
      <c r="C4" s="310"/>
      <c r="D4" s="310"/>
      <c r="E4" s="310"/>
      <c r="F4" s="310"/>
      <c r="G4" s="310"/>
      <c r="H4" s="310"/>
      <c r="I4" s="310"/>
      <c r="J4" s="310"/>
      <c r="K4" s="310"/>
      <c r="L4" s="310"/>
      <c r="M4" s="310"/>
      <c r="N4" s="310"/>
      <c r="O4" s="310"/>
      <c r="P4" s="310"/>
      <c r="Q4" s="310"/>
      <c r="R4" s="310"/>
      <c r="S4" s="310"/>
      <c r="T4" s="310"/>
      <c r="U4" s="310"/>
      <c r="V4" s="310"/>
      <c r="W4" s="310"/>
      <c r="X4" s="310"/>
      <c r="Y4" s="310"/>
      <c r="Z4" s="310"/>
      <c r="AA4" s="310"/>
      <c r="AB4" s="310"/>
      <c r="AC4" s="310"/>
    </row>
    <row r="5" spans="1:29" ht="18.75" x14ac:dyDescent="0.3">
      <c r="AC5" s="12"/>
    </row>
    <row r="6" spans="1:29" ht="18.75" x14ac:dyDescent="0.25">
      <c r="A6" s="399" t="s">
        <v>6</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399"/>
    </row>
    <row r="7" spans="1:29" ht="18.75" x14ac:dyDescent="0.25">
      <c r="A7" s="302"/>
      <c r="B7" s="302"/>
      <c r="C7" s="302"/>
      <c r="D7" s="302"/>
      <c r="E7" s="302"/>
      <c r="F7" s="302"/>
      <c r="G7" s="302"/>
      <c r="H7" s="178"/>
      <c r="I7" s="178"/>
      <c r="J7" s="178"/>
      <c r="K7" s="178"/>
      <c r="L7" s="178"/>
      <c r="M7" s="178"/>
      <c r="N7" s="178"/>
      <c r="O7" s="178"/>
      <c r="P7" s="178"/>
      <c r="Q7" s="178"/>
      <c r="R7" s="178"/>
      <c r="S7" s="178"/>
      <c r="T7" s="178"/>
      <c r="U7" s="178"/>
      <c r="V7" s="178"/>
      <c r="W7" s="178"/>
      <c r="X7" s="178"/>
      <c r="Y7" s="178"/>
      <c r="Z7" s="178"/>
      <c r="AA7" s="178"/>
      <c r="AB7" s="178"/>
      <c r="AC7" s="178"/>
    </row>
    <row r="8" spans="1:29" x14ac:dyDescent="0.25">
      <c r="A8" s="400" t="str">
        <f>'6.1. Паспорт сетевой график'!A9</f>
        <v xml:space="preserve">Акционерное общество "Западная энергетическая компания" </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row>
    <row r="9" spans="1:29" ht="18.75" customHeight="1" x14ac:dyDescent="0.25">
      <c r="A9" s="317" t="s">
        <v>5</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row>
    <row r="10" spans="1:29" ht="18.75" x14ac:dyDescent="0.25">
      <c r="A10" s="302"/>
      <c r="B10" s="302"/>
      <c r="C10" s="302"/>
      <c r="D10" s="302"/>
      <c r="E10" s="302"/>
      <c r="F10" s="302"/>
      <c r="G10" s="302"/>
      <c r="H10" s="178"/>
      <c r="I10" s="178"/>
      <c r="J10" s="178"/>
      <c r="K10" s="178"/>
      <c r="L10" s="178"/>
      <c r="M10" s="178"/>
      <c r="N10" s="178"/>
      <c r="O10" s="178"/>
      <c r="P10" s="178"/>
      <c r="Q10" s="178"/>
      <c r="R10" s="178"/>
      <c r="S10" s="178"/>
      <c r="T10" s="178"/>
      <c r="U10" s="178"/>
      <c r="V10" s="178"/>
      <c r="W10" s="178"/>
      <c r="X10" s="178"/>
      <c r="Y10" s="178"/>
      <c r="Z10" s="178"/>
      <c r="AA10" s="178"/>
      <c r="AB10" s="178"/>
      <c r="AC10" s="178"/>
    </row>
    <row r="11" spans="1:29" x14ac:dyDescent="0.25">
      <c r="A11" s="400" t="str">
        <f>'6.1. Паспорт сетевой график'!A12</f>
        <v>J 19-15</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row>
    <row r="12" spans="1:29" x14ac:dyDescent="0.25">
      <c r="A12" s="317" t="s">
        <v>4</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row>
    <row r="13" spans="1:29" ht="16.5" customHeight="1" x14ac:dyDescent="0.3">
      <c r="A13" s="179"/>
      <c r="B13" s="179"/>
      <c r="C13" s="179"/>
      <c r="D13" s="179"/>
      <c r="E13" s="179"/>
      <c r="F13" s="179"/>
      <c r="G13" s="179"/>
      <c r="H13" s="62"/>
      <c r="I13" s="62"/>
      <c r="J13" s="62"/>
      <c r="K13" s="62"/>
      <c r="L13" s="62"/>
      <c r="M13" s="62"/>
      <c r="N13" s="62"/>
      <c r="O13" s="62"/>
      <c r="P13" s="62"/>
      <c r="Q13" s="62"/>
      <c r="R13" s="62"/>
      <c r="S13" s="62"/>
      <c r="T13" s="62"/>
      <c r="U13" s="62"/>
      <c r="V13" s="62"/>
      <c r="W13" s="62"/>
      <c r="X13" s="62"/>
      <c r="Y13" s="62"/>
      <c r="Z13" s="62"/>
      <c r="AA13" s="62"/>
      <c r="AB13" s="62"/>
      <c r="AC13" s="62"/>
    </row>
    <row r="14" spans="1:29" ht="36" customHeight="1" x14ac:dyDescent="0.25">
      <c r="A14" s="319" t="str">
        <f>'6.1. Паспорт сетевой график'!A15</f>
        <v>Строительство КЛ 15 кВ от  РП-1 до ТП-1 пер. Комсомольский, г. Пионерский</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row>
    <row r="15" spans="1:29" ht="15.75" customHeight="1" x14ac:dyDescent="0.25">
      <c r="A15" s="317" t="s">
        <v>3</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row>
    <row r="16" spans="1:29"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row>
    <row r="18" spans="1:32" x14ac:dyDescent="0.25">
      <c r="A18" s="383" t="s">
        <v>423</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row>
    <row r="20" spans="1:32" ht="33" customHeight="1" x14ac:dyDescent="0.25">
      <c r="A20" s="368" t="s">
        <v>183</v>
      </c>
      <c r="B20" s="368" t="s">
        <v>182</v>
      </c>
      <c r="C20" s="392" t="s">
        <v>181</v>
      </c>
      <c r="D20" s="392"/>
      <c r="E20" s="395" t="s">
        <v>180</v>
      </c>
      <c r="F20" s="395"/>
      <c r="G20" s="368" t="s">
        <v>593</v>
      </c>
      <c r="H20" s="396">
        <v>2020</v>
      </c>
      <c r="I20" s="397"/>
      <c r="J20" s="397"/>
      <c r="K20" s="398"/>
      <c r="L20" s="393">
        <v>2021</v>
      </c>
      <c r="M20" s="394"/>
      <c r="N20" s="394"/>
      <c r="O20" s="394"/>
      <c r="P20" s="393">
        <v>2022</v>
      </c>
      <c r="Q20" s="394"/>
      <c r="R20" s="394"/>
      <c r="S20" s="394"/>
      <c r="T20" s="393">
        <v>2023</v>
      </c>
      <c r="U20" s="394"/>
      <c r="V20" s="394"/>
      <c r="W20" s="394"/>
      <c r="X20" s="393">
        <v>2024</v>
      </c>
      <c r="Y20" s="394"/>
      <c r="Z20" s="394"/>
      <c r="AA20" s="394"/>
      <c r="AB20" s="391" t="s">
        <v>179</v>
      </c>
      <c r="AC20" s="391"/>
      <c r="AD20" s="61"/>
      <c r="AE20" s="61"/>
      <c r="AF20" s="61"/>
    </row>
    <row r="21" spans="1:32" ht="99.75" customHeight="1" x14ac:dyDescent="0.25">
      <c r="A21" s="369"/>
      <c r="B21" s="369"/>
      <c r="C21" s="392"/>
      <c r="D21" s="392"/>
      <c r="E21" s="395"/>
      <c r="F21" s="395"/>
      <c r="G21" s="369"/>
      <c r="H21" s="392" t="s">
        <v>572</v>
      </c>
      <c r="I21" s="392"/>
      <c r="J21" s="392" t="s">
        <v>8</v>
      </c>
      <c r="K21" s="392"/>
      <c r="L21" s="392" t="s">
        <v>573</v>
      </c>
      <c r="M21" s="392"/>
      <c r="N21" s="392" t="s">
        <v>8</v>
      </c>
      <c r="O21" s="392"/>
      <c r="P21" s="392" t="s">
        <v>1</v>
      </c>
      <c r="Q21" s="392"/>
      <c r="R21" s="392" t="s">
        <v>8</v>
      </c>
      <c r="S21" s="392"/>
      <c r="T21" s="392" t="s">
        <v>1</v>
      </c>
      <c r="U21" s="392"/>
      <c r="V21" s="392" t="s">
        <v>178</v>
      </c>
      <c r="W21" s="392"/>
      <c r="X21" s="392" t="s">
        <v>1</v>
      </c>
      <c r="Y21" s="392"/>
      <c r="Z21" s="392" t="s">
        <v>178</v>
      </c>
      <c r="AA21" s="392"/>
      <c r="AB21" s="391"/>
      <c r="AC21" s="391"/>
    </row>
    <row r="22" spans="1:32" ht="89.25" customHeight="1" x14ac:dyDescent="0.25">
      <c r="A22" s="370"/>
      <c r="B22" s="370"/>
      <c r="C22" s="157" t="s">
        <v>1</v>
      </c>
      <c r="D22" s="157" t="s">
        <v>178</v>
      </c>
      <c r="E22" s="60" t="s">
        <v>571</v>
      </c>
      <c r="F22" s="60" t="s">
        <v>610</v>
      </c>
      <c r="G22" s="370"/>
      <c r="H22" s="180" t="s">
        <v>404</v>
      </c>
      <c r="I22" s="180" t="s">
        <v>405</v>
      </c>
      <c r="J22" s="180" t="s">
        <v>404</v>
      </c>
      <c r="K22" s="180" t="s">
        <v>405</v>
      </c>
      <c r="L22" s="180" t="s">
        <v>404</v>
      </c>
      <c r="M22" s="180" t="s">
        <v>405</v>
      </c>
      <c r="N22" s="180" t="s">
        <v>404</v>
      </c>
      <c r="O22" s="180" t="s">
        <v>405</v>
      </c>
      <c r="P22" s="180" t="s">
        <v>404</v>
      </c>
      <c r="Q22" s="180" t="s">
        <v>405</v>
      </c>
      <c r="R22" s="180" t="s">
        <v>404</v>
      </c>
      <c r="S22" s="180" t="s">
        <v>405</v>
      </c>
      <c r="T22" s="180" t="s">
        <v>404</v>
      </c>
      <c r="U22" s="180" t="s">
        <v>405</v>
      </c>
      <c r="V22" s="180" t="s">
        <v>404</v>
      </c>
      <c r="W22" s="180" t="s">
        <v>405</v>
      </c>
      <c r="X22" s="180" t="s">
        <v>404</v>
      </c>
      <c r="Y22" s="180" t="s">
        <v>405</v>
      </c>
      <c r="Z22" s="180" t="s">
        <v>404</v>
      </c>
      <c r="AA22" s="180" t="s">
        <v>405</v>
      </c>
      <c r="AB22" s="157" t="s">
        <v>1</v>
      </c>
      <c r="AC22" s="157" t="s">
        <v>565</v>
      </c>
    </row>
    <row r="23" spans="1:32" ht="19.5" customHeight="1" x14ac:dyDescent="0.25">
      <c r="A23" s="306">
        <v>1</v>
      </c>
      <c r="B23" s="306">
        <v>2</v>
      </c>
      <c r="C23" s="306">
        <v>3</v>
      </c>
      <c r="D23" s="306">
        <v>4</v>
      </c>
      <c r="E23" s="306">
        <v>5</v>
      </c>
      <c r="F23" s="306">
        <v>6</v>
      </c>
      <c r="G23" s="306">
        <v>7</v>
      </c>
      <c r="H23" s="306">
        <v>8</v>
      </c>
      <c r="I23" s="306">
        <v>9</v>
      </c>
      <c r="J23" s="306">
        <v>10</v>
      </c>
      <c r="K23" s="306">
        <v>11</v>
      </c>
      <c r="L23" s="306">
        <v>12</v>
      </c>
      <c r="M23" s="306">
        <v>13</v>
      </c>
      <c r="N23" s="306">
        <v>14</v>
      </c>
      <c r="O23" s="306">
        <v>15</v>
      </c>
      <c r="P23" s="306">
        <v>16</v>
      </c>
      <c r="Q23" s="306">
        <v>17</v>
      </c>
      <c r="R23" s="306">
        <v>18</v>
      </c>
      <c r="S23" s="306">
        <v>19</v>
      </c>
      <c r="T23" s="306">
        <v>20</v>
      </c>
      <c r="U23" s="306">
        <v>21</v>
      </c>
      <c r="V23" s="306">
        <v>22</v>
      </c>
      <c r="W23" s="306">
        <v>23</v>
      </c>
      <c r="X23" s="306">
        <v>24</v>
      </c>
      <c r="Y23" s="306">
        <v>25</v>
      </c>
      <c r="Z23" s="306">
        <v>26</v>
      </c>
      <c r="AA23" s="306">
        <v>27</v>
      </c>
      <c r="AB23" s="306">
        <v>28</v>
      </c>
      <c r="AC23" s="306">
        <v>29</v>
      </c>
    </row>
    <row r="24" spans="1:32" ht="47.25" customHeight="1" x14ac:dyDescent="0.25">
      <c r="A24" s="181">
        <v>1</v>
      </c>
      <c r="B24" s="182" t="s">
        <v>177</v>
      </c>
      <c r="C24" s="183">
        <f>C30*1.2</f>
        <v>3.8902892696705909</v>
      </c>
      <c r="D24" s="183">
        <f>D30*1.2</f>
        <v>3.8902892696705909</v>
      </c>
      <c r="E24" s="183">
        <f>C24</f>
        <v>3.8902892696705909</v>
      </c>
      <c r="F24" s="183">
        <f>D24</f>
        <v>3.8902892696705909</v>
      </c>
      <c r="G24" s="183">
        <v>0</v>
      </c>
      <c r="H24" s="183">
        <v>0</v>
      </c>
      <c r="I24" s="183">
        <f t="shared" ref="I24:Y24" si="0">SUM(I25:I29)</f>
        <v>0</v>
      </c>
      <c r="J24" s="183">
        <v>0</v>
      </c>
      <c r="K24" s="183">
        <f t="shared" si="0"/>
        <v>0</v>
      </c>
      <c r="L24" s="183">
        <v>0</v>
      </c>
      <c r="M24" s="183">
        <f t="shared" si="0"/>
        <v>0</v>
      </c>
      <c r="N24" s="183">
        <v>0</v>
      </c>
      <c r="O24" s="183">
        <f t="shared" si="0"/>
        <v>0</v>
      </c>
      <c r="P24" s="183">
        <v>0</v>
      </c>
      <c r="Q24" s="183">
        <f t="shared" si="0"/>
        <v>0</v>
      </c>
      <c r="R24" s="183">
        <v>0</v>
      </c>
      <c r="S24" s="183">
        <f t="shared" ref="S24" si="1">SUM(S25:S29)</f>
        <v>0</v>
      </c>
      <c r="T24" s="183">
        <v>3.8902892696705909</v>
      </c>
      <c r="U24" s="183">
        <f t="shared" si="0"/>
        <v>0</v>
      </c>
      <c r="V24" s="183">
        <v>3.8902892696705909</v>
      </c>
      <c r="W24" s="183">
        <f t="shared" ref="W24" si="2">SUM(W25:W29)</f>
        <v>0</v>
      </c>
      <c r="X24" s="183">
        <f t="shared" si="0"/>
        <v>0</v>
      </c>
      <c r="Y24" s="183">
        <f t="shared" si="0"/>
        <v>0</v>
      </c>
      <c r="Z24" s="183">
        <v>0</v>
      </c>
      <c r="AA24" s="183">
        <f t="shared" ref="AA24" si="3">SUM(AA25:AA29)</f>
        <v>0</v>
      </c>
      <c r="AB24" s="183">
        <f>H24+L24+P24+T24+X24</f>
        <v>3.8902892696705909</v>
      </c>
      <c r="AC24" s="194">
        <f>SUM(J24,N24,R24,V24,Z24)</f>
        <v>3.8902892696705909</v>
      </c>
    </row>
    <row r="25" spans="1:32" ht="24" customHeight="1" x14ac:dyDescent="0.25">
      <c r="A25" s="184" t="s">
        <v>176</v>
      </c>
      <c r="B25" s="185" t="s">
        <v>175</v>
      </c>
      <c r="C25" s="183">
        <f>'6.2. Паспорт фин осв ввод утв'!C25</f>
        <v>0</v>
      </c>
      <c r="D25" s="183">
        <f>'6.2. Паспорт фин осв ввод утв'!D25</f>
        <v>0</v>
      </c>
      <c r="E25" s="183">
        <f t="shared" ref="E25:E64" si="4">C25</f>
        <v>0</v>
      </c>
      <c r="F25" s="183">
        <f t="shared" ref="F25:F64" si="5">D25</f>
        <v>0</v>
      </c>
      <c r="G25" s="183">
        <v>0</v>
      </c>
      <c r="H25" s="183">
        <v>0</v>
      </c>
      <c r="I25" s="186">
        <v>0</v>
      </c>
      <c r="J25" s="186">
        <f t="shared" ref="J25:J64" si="6">H25</f>
        <v>0</v>
      </c>
      <c r="K25" s="186">
        <v>0</v>
      </c>
      <c r="L25" s="183">
        <f>C25</f>
        <v>0</v>
      </c>
      <c r="M25" s="186">
        <v>0</v>
      </c>
      <c r="N25" s="186">
        <f t="shared" ref="N25:N64" si="7">L25</f>
        <v>0</v>
      </c>
      <c r="O25" s="186">
        <v>0</v>
      </c>
      <c r="P25" s="183">
        <v>0</v>
      </c>
      <c r="Q25" s="186">
        <v>0</v>
      </c>
      <c r="R25" s="183">
        <v>0</v>
      </c>
      <c r="S25" s="186">
        <v>0</v>
      </c>
      <c r="T25" s="183">
        <v>0</v>
      </c>
      <c r="U25" s="186">
        <v>0</v>
      </c>
      <c r="V25" s="183">
        <v>0</v>
      </c>
      <c r="W25" s="186">
        <v>0</v>
      </c>
      <c r="X25" s="186">
        <v>0</v>
      </c>
      <c r="Y25" s="186">
        <v>0</v>
      </c>
      <c r="Z25" s="183">
        <v>0</v>
      </c>
      <c r="AA25" s="186">
        <v>0</v>
      </c>
      <c r="AB25" s="183">
        <f t="shared" ref="AB25:AB64" si="8">H25+L25+P25+T25+X25</f>
        <v>0</v>
      </c>
      <c r="AC25" s="194">
        <f t="shared" ref="AC25:AC64" si="9">SUM(J25,N25,R25,V25,Z25)</f>
        <v>0</v>
      </c>
    </row>
    <row r="26" spans="1:32" x14ac:dyDescent="0.25">
      <c r="A26" s="184" t="s">
        <v>174</v>
      </c>
      <c r="B26" s="185" t="s">
        <v>173</v>
      </c>
      <c r="C26" s="183">
        <f>'6.2. Паспорт фин осв ввод утв'!C26</f>
        <v>0</v>
      </c>
      <c r="D26" s="183">
        <f>'6.2. Паспорт фин осв ввод утв'!D26</f>
        <v>0</v>
      </c>
      <c r="E26" s="183">
        <f t="shared" si="4"/>
        <v>0</v>
      </c>
      <c r="F26" s="183">
        <f t="shared" si="5"/>
        <v>0</v>
      </c>
      <c r="G26" s="183">
        <v>0</v>
      </c>
      <c r="H26" s="183">
        <v>0</v>
      </c>
      <c r="I26" s="186">
        <v>0</v>
      </c>
      <c r="J26" s="186">
        <f t="shared" si="6"/>
        <v>0</v>
      </c>
      <c r="K26" s="186">
        <v>0</v>
      </c>
      <c r="L26" s="183">
        <f>C26</f>
        <v>0</v>
      </c>
      <c r="M26" s="186">
        <v>0</v>
      </c>
      <c r="N26" s="186">
        <f t="shared" si="7"/>
        <v>0</v>
      </c>
      <c r="O26" s="186">
        <v>0</v>
      </c>
      <c r="P26" s="183">
        <v>0</v>
      </c>
      <c r="Q26" s="186">
        <v>0</v>
      </c>
      <c r="R26" s="183">
        <v>0</v>
      </c>
      <c r="S26" s="186">
        <v>0</v>
      </c>
      <c r="T26" s="183">
        <v>0</v>
      </c>
      <c r="U26" s="186">
        <v>0</v>
      </c>
      <c r="V26" s="183">
        <v>0</v>
      </c>
      <c r="W26" s="186">
        <v>0</v>
      </c>
      <c r="X26" s="186">
        <v>0</v>
      </c>
      <c r="Y26" s="186">
        <v>0</v>
      </c>
      <c r="Z26" s="183">
        <v>0</v>
      </c>
      <c r="AA26" s="186">
        <v>0</v>
      </c>
      <c r="AB26" s="183">
        <f t="shared" si="8"/>
        <v>0</v>
      </c>
      <c r="AC26" s="194">
        <f t="shared" si="9"/>
        <v>0</v>
      </c>
    </row>
    <row r="27" spans="1:32" ht="31.5" x14ac:dyDescent="0.25">
      <c r="A27" s="184" t="s">
        <v>172</v>
      </c>
      <c r="B27" s="185" t="s">
        <v>360</v>
      </c>
      <c r="C27" s="183">
        <f>C24</f>
        <v>3.8902892696705909</v>
      </c>
      <c r="D27" s="183">
        <f>D24</f>
        <v>3.8902892696705909</v>
      </c>
      <c r="E27" s="183">
        <f t="shared" si="4"/>
        <v>3.8902892696705909</v>
      </c>
      <c r="F27" s="183">
        <f t="shared" si="5"/>
        <v>3.8902892696705909</v>
      </c>
      <c r="G27" s="183">
        <v>0</v>
      </c>
      <c r="H27" s="183">
        <v>0</v>
      </c>
      <c r="I27" s="186">
        <v>0</v>
      </c>
      <c r="J27" s="186">
        <v>0</v>
      </c>
      <c r="K27" s="186">
        <v>0</v>
      </c>
      <c r="L27" s="183">
        <v>0</v>
      </c>
      <c r="M27" s="186">
        <v>0</v>
      </c>
      <c r="N27" s="186">
        <v>0</v>
      </c>
      <c r="O27" s="186">
        <v>0</v>
      </c>
      <c r="P27" s="183">
        <v>0</v>
      </c>
      <c r="Q27" s="186">
        <v>0</v>
      </c>
      <c r="R27" s="183">
        <v>0</v>
      </c>
      <c r="S27" s="186">
        <v>0</v>
      </c>
      <c r="T27" s="183">
        <v>3.8902892696705909</v>
      </c>
      <c r="U27" s="186">
        <v>0</v>
      </c>
      <c r="V27" s="183">
        <v>3.8902892696705909</v>
      </c>
      <c r="W27" s="186">
        <v>0</v>
      </c>
      <c r="X27" s="186">
        <v>0</v>
      </c>
      <c r="Y27" s="186">
        <v>0</v>
      </c>
      <c r="Z27" s="183">
        <v>0</v>
      </c>
      <c r="AA27" s="186">
        <v>0</v>
      </c>
      <c r="AB27" s="183">
        <f t="shared" si="8"/>
        <v>3.8902892696705909</v>
      </c>
      <c r="AC27" s="194">
        <f t="shared" si="9"/>
        <v>3.8902892696705909</v>
      </c>
    </row>
    <row r="28" spans="1:32" x14ac:dyDescent="0.25">
      <c r="A28" s="184" t="s">
        <v>171</v>
      </c>
      <c r="B28" s="185" t="s">
        <v>566</v>
      </c>
      <c r="C28" s="183">
        <f>'6.2. Паспорт фин осв ввод утв'!C28</f>
        <v>0</v>
      </c>
      <c r="D28" s="183">
        <f>'6.2. Паспорт фин осв ввод утв'!D28</f>
        <v>0</v>
      </c>
      <c r="E28" s="183">
        <f t="shared" si="4"/>
        <v>0</v>
      </c>
      <c r="F28" s="183">
        <f t="shared" si="5"/>
        <v>0</v>
      </c>
      <c r="G28" s="183">
        <v>0</v>
      </c>
      <c r="H28" s="183">
        <v>0</v>
      </c>
      <c r="I28" s="186">
        <v>0</v>
      </c>
      <c r="J28" s="186">
        <f t="shared" si="6"/>
        <v>0</v>
      </c>
      <c r="K28" s="186">
        <v>0</v>
      </c>
      <c r="L28" s="183">
        <f>C28</f>
        <v>0</v>
      </c>
      <c r="M28" s="186">
        <v>0</v>
      </c>
      <c r="N28" s="186">
        <f t="shared" si="7"/>
        <v>0</v>
      </c>
      <c r="O28" s="186">
        <v>0</v>
      </c>
      <c r="P28" s="183">
        <v>0</v>
      </c>
      <c r="Q28" s="186">
        <v>0</v>
      </c>
      <c r="R28" s="183">
        <v>0</v>
      </c>
      <c r="S28" s="186">
        <v>0</v>
      </c>
      <c r="T28" s="183">
        <v>0</v>
      </c>
      <c r="U28" s="186">
        <v>0</v>
      </c>
      <c r="V28" s="183">
        <v>0</v>
      </c>
      <c r="W28" s="186">
        <v>0</v>
      </c>
      <c r="X28" s="186">
        <v>0</v>
      </c>
      <c r="Y28" s="186">
        <v>0</v>
      </c>
      <c r="Z28" s="183">
        <v>0</v>
      </c>
      <c r="AA28" s="186">
        <v>0</v>
      </c>
      <c r="AB28" s="183">
        <f t="shared" si="8"/>
        <v>0</v>
      </c>
      <c r="AC28" s="194">
        <f t="shared" si="9"/>
        <v>0</v>
      </c>
    </row>
    <row r="29" spans="1:32" x14ac:dyDescent="0.25">
      <c r="A29" s="184" t="s">
        <v>169</v>
      </c>
      <c r="B29" s="59" t="s">
        <v>168</v>
      </c>
      <c r="C29" s="183">
        <f>'6.2. Паспорт фин осв ввод утв'!C29</f>
        <v>0</v>
      </c>
      <c r="D29" s="183">
        <f>'6.2. Паспорт фин осв ввод утв'!D29</f>
        <v>0</v>
      </c>
      <c r="E29" s="183">
        <f t="shared" si="4"/>
        <v>0</v>
      </c>
      <c r="F29" s="183">
        <f t="shared" si="5"/>
        <v>0</v>
      </c>
      <c r="G29" s="183">
        <v>0</v>
      </c>
      <c r="H29" s="183">
        <v>0</v>
      </c>
      <c r="I29" s="186">
        <v>0</v>
      </c>
      <c r="J29" s="187">
        <f t="shared" si="6"/>
        <v>0</v>
      </c>
      <c r="K29" s="186">
        <v>0</v>
      </c>
      <c r="L29" s="183">
        <f>C29</f>
        <v>0</v>
      </c>
      <c r="M29" s="186">
        <v>0</v>
      </c>
      <c r="N29" s="187">
        <f t="shared" si="7"/>
        <v>0</v>
      </c>
      <c r="O29" s="186">
        <v>0</v>
      </c>
      <c r="P29" s="183">
        <v>0</v>
      </c>
      <c r="Q29" s="186">
        <v>0</v>
      </c>
      <c r="R29" s="183">
        <v>0</v>
      </c>
      <c r="S29" s="186">
        <v>0</v>
      </c>
      <c r="T29" s="183">
        <v>0</v>
      </c>
      <c r="U29" s="186">
        <v>0</v>
      </c>
      <c r="V29" s="183">
        <v>0</v>
      </c>
      <c r="W29" s="186">
        <v>0</v>
      </c>
      <c r="X29" s="186">
        <v>0</v>
      </c>
      <c r="Y29" s="186">
        <v>0</v>
      </c>
      <c r="Z29" s="183">
        <v>0</v>
      </c>
      <c r="AA29" s="186">
        <v>0</v>
      </c>
      <c r="AB29" s="183">
        <f t="shared" si="8"/>
        <v>0</v>
      </c>
      <c r="AC29" s="194">
        <f t="shared" si="9"/>
        <v>0</v>
      </c>
    </row>
    <row r="30" spans="1:32" s="303" customFormat="1" ht="47.25" x14ac:dyDescent="0.25">
      <c r="A30" s="181" t="s">
        <v>60</v>
      </c>
      <c r="B30" s="182" t="s">
        <v>167</v>
      </c>
      <c r="C30" s="183">
        <f>SUM(C31:C34)</f>
        <v>3.2419077247254924</v>
      </c>
      <c r="D30" s="183">
        <f>SUM(D31:D34)</f>
        <v>3.2419077247254924</v>
      </c>
      <c r="E30" s="183">
        <f t="shared" si="4"/>
        <v>3.2419077247254924</v>
      </c>
      <c r="F30" s="183">
        <f t="shared" si="5"/>
        <v>3.2419077247254924</v>
      </c>
      <c r="G30" s="183">
        <v>0</v>
      </c>
      <c r="H30" s="183">
        <v>0</v>
      </c>
      <c r="I30" s="183">
        <v>0</v>
      </c>
      <c r="J30" s="183">
        <v>0</v>
      </c>
      <c r="K30" s="183">
        <v>0</v>
      </c>
      <c r="L30" s="183">
        <v>0</v>
      </c>
      <c r="M30" s="183">
        <v>0</v>
      </c>
      <c r="N30" s="183">
        <v>0</v>
      </c>
      <c r="O30" s="183">
        <v>0</v>
      </c>
      <c r="P30" s="183">
        <v>0</v>
      </c>
      <c r="Q30" s="183">
        <v>0</v>
      </c>
      <c r="R30" s="183">
        <v>0</v>
      </c>
      <c r="S30" s="183">
        <v>0</v>
      </c>
      <c r="T30" s="183">
        <v>3.2419077247254924</v>
      </c>
      <c r="U30" s="183">
        <v>0</v>
      </c>
      <c r="V30" s="183">
        <v>3.2419077247254924</v>
      </c>
      <c r="W30" s="183">
        <v>0</v>
      </c>
      <c r="X30" s="183">
        <v>0</v>
      </c>
      <c r="Y30" s="183">
        <v>0</v>
      </c>
      <c r="Z30" s="183">
        <v>0</v>
      </c>
      <c r="AA30" s="183">
        <v>0</v>
      </c>
      <c r="AB30" s="183">
        <f t="shared" si="8"/>
        <v>3.2419077247254924</v>
      </c>
      <c r="AC30" s="194">
        <f t="shared" si="9"/>
        <v>3.2419077247254924</v>
      </c>
    </row>
    <row r="31" spans="1:32" x14ac:dyDescent="0.25">
      <c r="A31" s="181" t="s">
        <v>166</v>
      </c>
      <c r="B31" s="185" t="s">
        <v>165</v>
      </c>
      <c r="C31" s="183">
        <f>'[2]cводка затрат'!$D$22</f>
        <v>0.20255469605424434</v>
      </c>
      <c r="D31" s="183">
        <f>'[2]cводка затрат'!$D$22</f>
        <v>0.20255469605424434</v>
      </c>
      <c r="E31" s="183">
        <f t="shared" si="4"/>
        <v>0.20255469605424434</v>
      </c>
      <c r="F31" s="183">
        <f t="shared" si="5"/>
        <v>0.20255469605424434</v>
      </c>
      <c r="G31" s="183">
        <v>0</v>
      </c>
      <c r="H31" s="183">
        <v>0</v>
      </c>
      <c r="I31" s="186">
        <v>0</v>
      </c>
      <c r="J31" s="186">
        <f t="shared" si="6"/>
        <v>0</v>
      </c>
      <c r="K31" s="186">
        <v>0</v>
      </c>
      <c r="L31" s="183">
        <v>0</v>
      </c>
      <c r="M31" s="186">
        <v>0</v>
      </c>
      <c r="N31" s="186">
        <f t="shared" si="7"/>
        <v>0</v>
      </c>
      <c r="O31" s="186">
        <v>0</v>
      </c>
      <c r="P31" s="183">
        <v>0</v>
      </c>
      <c r="Q31" s="186">
        <v>0</v>
      </c>
      <c r="R31" s="183">
        <v>0</v>
      </c>
      <c r="S31" s="186">
        <v>0</v>
      </c>
      <c r="T31" s="183">
        <v>0.20255469605424434</v>
      </c>
      <c r="U31" s="186">
        <v>0</v>
      </c>
      <c r="V31" s="183">
        <v>0.20255469605424434</v>
      </c>
      <c r="W31" s="186">
        <v>0</v>
      </c>
      <c r="X31" s="186">
        <v>0</v>
      </c>
      <c r="Y31" s="186">
        <v>0</v>
      </c>
      <c r="Z31" s="183">
        <v>0</v>
      </c>
      <c r="AA31" s="186">
        <v>0</v>
      </c>
      <c r="AB31" s="183">
        <f t="shared" si="8"/>
        <v>0.20255469605424434</v>
      </c>
      <c r="AC31" s="194">
        <f t="shared" si="9"/>
        <v>0.20255469605424434</v>
      </c>
    </row>
    <row r="32" spans="1:32" ht="31.5" x14ac:dyDescent="0.25">
      <c r="A32" s="181" t="s">
        <v>164</v>
      </c>
      <c r="B32" s="185" t="s">
        <v>163</v>
      </c>
      <c r="C32" s="183">
        <f>'[2]cводка затрат'!$E$22</f>
        <v>3.0288426354511868</v>
      </c>
      <c r="D32" s="183">
        <f>'[2]cводка затрат'!$E$22</f>
        <v>3.0288426354511868</v>
      </c>
      <c r="E32" s="183">
        <f t="shared" si="4"/>
        <v>3.0288426354511868</v>
      </c>
      <c r="F32" s="183">
        <f t="shared" si="5"/>
        <v>3.0288426354511868</v>
      </c>
      <c r="G32" s="183">
        <v>0</v>
      </c>
      <c r="H32" s="183">
        <v>0</v>
      </c>
      <c r="I32" s="186">
        <v>0</v>
      </c>
      <c r="J32" s="186">
        <f t="shared" si="6"/>
        <v>0</v>
      </c>
      <c r="K32" s="186">
        <v>0</v>
      </c>
      <c r="L32" s="183">
        <v>0</v>
      </c>
      <c r="M32" s="186">
        <v>0</v>
      </c>
      <c r="N32" s="186">
        <v>0</v>
      </c>
      <c r="O32" s="186">
        <v>0</v>
      </c>
      <c r="P32" s="183">
        <v>0</v>
      </c>
      <c r="Q32" s="186">
        <v>0</v>
      </c>
      <c r="R32" s="183">
        <v>0</v>
      </c>
      <c r="S32" s="186">
        <v>0</v>
      </c>
      <c r="T32" s="183">
        <v>3.0288426354511868</v>
      </c>
      <c r="U32" s="186">
        <v>0</v>
      </c>
      <c r="V32" s="183">
        <v>3.0288426354511868</v>
      </c>
      <c r="W32" s="186">
        <v>0</v>
      </c>
      <c r="X32" s="186">
        <v>0</v>
      </c>
      <c r="Y32" s="186">
        <v>0</v>
      </c>
      <c r="Z32" s="183">
        <v>0</v>
      </c>
      <c r="AA32" s="186">
        <v>0</v>
      </c>
      <c r="AB32" s="183">
        <f t="shared" si="8"/>
        <v>3.0288426354511868</v>
      </c>
      <c r="AC32" s="194">
        <f t="shared" si="9"/>
        <v>3.0288426354511868</v>
      </c>
    </row>
    <row r="33" spans="1:29" x14ac:dyDescent="0.25">
      <c r="A33" s="181" t="s">
        <v>162</v>
      </c>
      <c r="B33" s="185" t="s">
        <v>161</v>
      </c>
      <c r="C33" s="183">
        <f>'[2]cводка затрат'!$F$22</f>
        <v>0</v>
      </c>
      <c r="D33" s="183">
        <f>'[2]cводка затрат'!$F$22</f>
        <v>0</v>
      </c>
      <c r="E33" s="183">
        <f t="shared" si="4"/>
        <v>0</v>
      </c>
      <c r="F33" s="183">
        <f t="shared" si="5"/>
        <v>0</v>
      </c>
      <c r="G33" s="183">
        <v>0</v>
      </c>
      <c r="H33" s="183">
        <v>0</v>
      </c>
      <c r="I33" s="186">
        <v>0</v>
      </c>
      <c r="J33" s="186">
        <f t="shared" si="6"/>
        <v>0</v>
      </c>
      <c r="K33" s="186">
        <v>0</v>
      </c>
      <c r="L33" s="183">
        <f>C33</f>
        <v>0</v>
      </c>
      <c r="M33" s="186">
        <v>0</v>
      </c>
      <c r="N33" s="186">
        <f t="shared" si="7"/>
        <v>0</v>
      </c>
      <c r="O33" s="186">
        <v>0</v>
      </c>
      <c r="P33" s="183">
        <v>0</v>
      </c>
      <c r="Q33" s="186">
        <v>0</v>
      </c>
      <c r="R33" s="183">
        <v>0</v>
      </c>
      <c r="S33" s="186">
        <v>0</v>
      </c>
      <c r="T33" s="183">
        <v>0</v>
      </c>
      <c r="U33" s="186">
        <v>0</v>
      </c>
      <c r="V33" s="183">
        <v>0</v>
      </c>
      <c r="W33" s="186">
        <v>0</v>
      </c>
      <c r="X33" s="186">
        <v>0</v>
      </c>
      <c r="Y33" s="186">
        <v>0</v>
      </c>
      <c r="Z33" s="183">
        <v>0</v>
      </c>
      <c r="AA33" s="186">
        <v>0</v>
      </c>
      <c r="AB33" s="183">
        <f t="shared" si="8"/>
        <v>0</v>
      </c>
      <c r="AC33" s="194">
        <f t="shared" si="9"/>
        <v>0</v>
      </c>
    </row>
    <row r="34" spans="1:29" x14ac:dyDescent="0.25">
      <c r="A34" s="181" t="s">
        <v>160</v>
      </c>
      <c r="B34" s="185" t="s">
        <v>159</v>
      </c>
      <c r="C34" s="183">
        <f>'[2]cводка затрат'!$G$22+'[2]cводка затрат'!$H$22</f>
        <v>1.0510393220061424E-2</v>
      </c>
      <c r="D34" s="183">
        <f>'[2]cводка затрат'!$G$22+'[2]cводка затрат'!$H$22</f>
        <v>1.0510393220061424E-2</v>
      </c>
      <c r="E34" s="183">
        <f t="shared" si="4"/>
        <v>1.0510393220061424E-2</v>
      </c>
      <c r="F34" s="183">
        <f t="shared" si="5"/>
        <v>1.0510393220061424E-2</v>
      </c>
      <c r="G34" s="183">
        <v>0</v>
      </c>
      <c r="H34" s="183">
        <v>0</v>
      </c>
      <c r="I34" s="186">
        <v>0</v>
      </c>
      <c r="J34" s="186">
        <f t="shared" si="6"/>
        <v>0</v>
      </c>
      <c r="K34" s="186">
        <v>0</v>
      </c>
      <c r="L34" s="183">
        <v>0</v>
      </c>
      <c r="M34" s="186">
        <v>0</v>
      </c>
      <c r="N34" s="186">
        <v>0</v>
      </c>
      <c r="O34" s="186">
        <v>0</v>
      </c>
      <c r="P34" s="183">
        <v>0</v>
      </c>
      <c r="Q34" s="186">
        <v>0</v>
      </c>
      <c r="R34" s="183">
        <v>0</v>
      </c>
      <c r="S34" s="186">
        <v>0</v>
      </c>
      <c r="T34" s="183">
        <v>1.0510393220061424E-2</v>
      </c>
      <c r="U34" s="186">
        <v>0</v>
      </c>
      <c r="V34" s="183">
        <v>1.0510393220061424E-2</v>
      </c>
      <c r="W34" s="186">
        <v>0</v>
      </c>
      <c r="X34" s="186">
        <v>0</v>
      </c>
      <c r="Y34" s="186">
        <v>0</v>
      </c>
      <c r="Z34" s="183">
        <v>0</v>
      </c>
      <c r="AA34" s="186">
        <v>0</v>
      </c>
      <c r="AB34" s="183">
        <f t="shared" si="8"/>
        <v>1.0510393220061424E-2</v>
      </c>
      <c r="AC34" s="194">
        <f t="shared" si="9"/>
        <v>1.0510393220061424E-2</v>
      </c>
    </row>
    <row r="35" spans="1:29" s="303" customFormat="1" ht="31.5" x14ac:dyDescent="0.25">
      <c r="A35" s="181" t="s">
        <v>59</v>
      </c>
      <c r="B35" s="182" t="s">
        <v>158</v>
      </c>
      <c r="C35" s="183">
        <f>'6.2. Паспорт фин осв ввод утв'!C35</f>
        <v>0</v>
      </c>
      <c r="D35" s="183">
        <f>'6.2. Паспорт фин осв ввод утв'!D35</f>
        <v>0</v>
      </c>
      <c r="E35" s="183">
        <f t="shared" si="4"/>
        <v>0</v>
      </c>
      <c r="F35" s="183">
        <f t="shared" si="5"/>
        <v>0</v>
      </c>
      <c r="G35" s="183">
        <v>0</v>
      </c>
      <c r="H35" s="183">
        <v>0</v>
      </c>
      <c r="I35" s="183">
        <v>0</v>
      </c>
      <c r="J35" s="183">
        <f t="shared" si="6"/>
        <v>0</v>
      </c>
      <c r="K35" s="183">
        <v>0</v>
      </c>
      <c r="L35" s="183">
        <f t="shared" ref="L35:L40" si="10">C35</f>
        <v>0</v>
      </c>
      <c r="M35" s="183">
        <v>0</v>
      </c>
      <c r="N35" s="183">
        <f t="shared" si="7"/>
        <v>0</v>
      </c>
      <c r="O35" s="183">
        <v>0</v>
      </c>
      <c r="P35" s="183">
        <v>0</v>
      </c>
      <c r="Q35" s="183">
        <v>0</v>
      </c>
      <c r="R35" s="183">
        <v>0</v>
      </c>
      <c r="S35" s="183">
        <v>0</v>
      </c>
      <c r="T35" s="183">
        <v>0</v>
      </c>
      <c r="U35" s="183">
        <v>0</v>
      </c>
      <c r="V35" s="183">
        <v>0</v>
      </c>
      <c r="W35" s="183">
        <v>0</v>
      </c>
      <c r="X35" s="183">
        <v>0</v>
      </c>
      <c r="Y35" s="183">
        <v>0</v>
      </c>
      <c r="Z35" s="183">
        <v>0</v>
      </c>
      <c r="AA35" s="183">
        <v>0</v>
      </c>
      <c r="AB35" s="183">
        <f t="shared" si="8"/>
        <v>0</v>
      </c>
      <c r="AC35" s="194">
        <f t="shared" si="9"/>
        <v>0</v>
      </c>
    </row>
    <row r="36" spans="1:29" ht="31.5" x14ac:dyDescent="0.25">
      <c r="A36" s="184" t="s">
        <v>157</v>
      </c>
      <c r="B36" s="188" t="s">
        <v>156</v>
      </c>
      <c r="C36" s="183">
        <f>'6.2. Паспорт фин осв ввод утв'!C36</f>
        <v>0</v>
      </c>
      <c r="D36" s="183">
        <f>'6.2. Паспорт фин осв ввод утв'!D36</f>
        <v>0</v>
      </c>
      <c r="E36" s="183">
        <f t="shared" si="4"/>
        <v>0</v>
      </c>
      <c r="F36" s="183">
        <f t="shared" si="5"/>
        <v>0</v>
      </c>
      <c r="G36" s="183">
        <v>0</v>
      </c>
      <c r="H36" s="183">
        <v>0</v>
      </c>
      <c r="I36" s="186">
        <v>0</v>
      </c>
      <c r="J36" s="189">
        <f t="shared" si="6"/>
        <v>0</v>
      </c>
      <c r="K36" s="186">
        <v>0</v>
      </c>
      <c r="L36" s="183">
        <f t="shared" si="10"/>
        <v>0</v>
      </c>
      <c r="M36" s="186">
        <v>0</v>
      </c>
      <c r="N36" s="189">
        <f t="shared" si="7"/>
        <v>0</v>
      </c>
      <c r="O36" s="186">
        <v>0</v>
      </c>
      <c r="P36" s="183">
        <v>0</v>
      </c>
      <c r="Q36" s="186">
        <v>0</v>
      </c>
      <c r="R36" s="183">
        <v>0</v>
      </c>
      <c r="S36" s="186">
        <v>0</v>
      </c>
      <c r="T36" s="183">
        <v>0</v>
      </c>
      <c r="U36" s="186">
        <v>0</v>
      </c>
      <c r="V36" s="183">
        <v>0</v>
      </c>
      <c r="W36" s="186">
        <v>0</v>
      </c>
      <c r="X36" s="186">
        <v>0</v>
      </c>
      <c r="Y36" s="186">
        <v>0</v>
      </c>
      <c r="Z36" s="183">
        <v>0</v>
      </c>
      <c r="AA36" s="186">
        <v>0</v>
      </c>
      <c r="AB36" s="183">
        <f t="shared" si="8"/>
        <v>0</v>
      </c>
      <c r="AC36" s="194">
        <f t="shared" si="9"/>
        <v>0</v>
      </c>
    </row>
    <row r="37" spans="1:29" x14ac:dyDescent="0.25">
      <c r="A37" s="184" t="s">
        <v>155</v>
      </c>
      <c r="B37" s="188" t="s">
        <v>145</v>
      </c>
      <c r="C37" s="183">
        <f>'6.2. Паспорт фин осв ввод утв'!C37</f>
        <v>0</v>
      </c>
      <c r="D37" s="183">
        <f>'6.2. Паспорт фин осв ввод утв'!D37</f>
        <v>0</v>
      </c>
      <c r="E37" s="183">
        <f t="shared" si="4"/>
        <v>0</v>
      </c>
      <c r="F37" s="183">
        <f t="shared" si="5"/>
        <v>0</v>
      </c>
      <c r="G37" s="183">
        <v>0</v>
      </c>
      <c r="H37" s="183">
        <v>0</v>
      </c>
      <c r="I37" s="186">
        <v>0</v>
      </c>
      <c r="J37" s="189">
        <f t="shared" si="6"/>
        <v>0</v>
      </c>
      <c r="K37" s="186">
        <v>0</v>
      </c>
      <c r="L37" s="183">
        <f t="shared" si="10"/>
        <v>0</v>
      </c>
      <c r="M37" s="186">
        <v>0</v>
      </c>
      <c r="N37" s="189">
        <f t="shared" si="7"/>
        <v>0</v>
      </c>
      <c r="O37" s="186">
        <v>0</v>
      </c>
      <c r="P37" s="183">
        <v>0</v>
      </c>
      <c r="Q37" s="186">
        <v>0</v>
      </c>
      <c r="R37" s="183">
        <v>0</v>
      </c>
      <c r="S37" s="186">
        <v>0</v>
      </c>
      <c r="T37" s="183">
        <v>0</v>
      </c>
      <c r="U37" s="186">
        <v>0</v>
      </c>
      <c r="V37" s="183">
        <v>0</v>
      </c>
      <c r="W37" s="186">
        <v>0</v>
      </c>
      <c r="X37" s="186">
        <v>0</v>
      </c>
      <c r="Y37" s="186">
        <v>0</v>
      </c>
      <c r="Z37" s="183">
        <v>0</v>
      </c>
      <c r="AA37" s="186">
        <v>0</v>
      </c>
      <c r="AB37" s="183">
        <f t="shared" si="8"/>
        <v>0</v>
      </c>
      <c r="AC37" s="194">
        <f t="shared" si="9"/>
        <v>0</v>
      </c>
    </row>
    <row r="38" spans="1:29" x14ac:dyDescent="0.25">
      <c r="A38" s="184" t="s">
        <v>154</v>
      </c>
      <c r="B38" s="188" t="s">
        <v>143</v>
      </c>
      <c r="C38" s="183">
        <f>'6.2. Паспорт фин осв ввод утв'!C38</f>
        <v>0</v>
      </c>
      <c r="D38" s="183">
        <f>'6.2. Паспорт фин осв ввод утв'!D38</f>
        <v>0</v>
      </c>
      <c r="E38" s="183">
        <f t="shared" si="4"/>
        <v>0</v>
      </c>
      <c r="F38" s="183">
        <f t="shared" si="5"/>
        <v>0</v>
      </c>
      <c r="G38" s="183">
        <v>0</v>
      </c>
      <c r="H38" s="183">
        <v>0</v>
      </c>
      <c r="I38" s="186">
        <v>0</v>
      </c>
      <c r="J38" s="189">
        <f t="shared" si="6"/>
        <v>0</v>
      </c>
      <c r="K38" s="186">
        <v>0</v>
      </c>
      <c r="L38" s="183">
        <f t="shared" si="10"/>
        <v>0</v>
      </c>
      <c r="M38" s="186">
        <v>0</v>
      </c>
      <c r="N38" s="189">
        <f t="shared" si="7"/>
        <v>0</v>
      </c>
      <c r="O38" s="186">
        <v>0</v>
      </c>
      <c r="P38" s="183">
        <v>0</v>
      </c>
      <c r="Q38" s="186">
        <v>0</v>
      </c>
      <c r="R38" s="183">
        <v>0</v>
      </c>
      <c r="S38" s="186">
        <v>0</v>
      </c>
      <c r="T38" s="183">
        <v>0</v>
      </c>
      <c r="U38" s="186">
        <v>0</v>
      </c>
      <c r="V38" s="183">
        <v>0</v>
      </c>
      <c r="W38" s="186">
        <v>0</v>
      </c>
      <c r="X38" s="186">
        <v>0</v>
      </c>
      <c r="Y38" s="186">
        <v>0</v>
      </c>
      <c r="Z38" s="183">
        <v>0</v>
      </c>
      <c r="AA38" s="186">
        <v>0</v>
      </c>
      <c r="AB38" s="183">
        <f t="shared" si="8"/>
        <v>0</v>
      </c>
      <c r="AC38" s="194">
        <f t="shared" si="9"/>
        <v>0</v>
      </c>
    </row>
    <row r="39" spans="1:29" ht="31.5" x14ac:dyDescent="0.25">
      <c r="A39" s="184" t="s">
        <v>153</v>
      </c>
      <c r="B39" s="185" t="s">
        <v>141</v>
      </c>
      <c r="C39" s="183">
        <f>'6.2. Паспорт фин осв ввод утв'!C39</f>
        <v>0</v>
      </c>
      <c r="D39" s="183">
        <f>'6.2. Паспорт фин осв ввод утв'!D39</f>
        <v>0</v>
      </c>
      <c r="E39" s="183">
        <f t="shared" si="4"/>
        <v>0</v>
      </c>
      <c r="F39" s="183">
        <f t="shared" si="5"/>
        <v>0</v>
      </c>
      <c r="G39" s="183">
        <v>0</v>
      </c>
      <c r="H39" s="183">
        <v>0</v>
      </c>
      <c r="I39" s="186">
        <v>0</v>
      </c>
      <c r="J39" s="186">
        <f t="shared" si="6"/>
        <v>0</v>
      </c>
      <c r="K39" s="186">
        <v>0</v>
      </c>
      <c r="L39" s="183">
        <f t="shared" si="10"/>
        <v>0</v>
      </c>
      <c r="M39" s="186">
        <v>0</v>
      </c>
      <c r="N39" s="186">
        <f t="shared" si="7"/>
        <v>0</v>
      </c>
      <c r="O39" s="186">
        <v>0</v>
      </c>
      <c r="P39" s="183">
        <v>0</v>
      </c>
      <c r="Q39" s="186">
        <v>0</v>
      </c>
      <c r="R39" s="183">
        <v>0</v>
      </c>
      <c r="S39" s="186">
        <v>0</v>
      </c>
      <c r="T39" s="183">
        <v>0</v>
      </c>
      <c r="U39" s="186">
        <v>0</v>
      </c>
      <c r="V39" s="183">
        <v>0</v>
      </c>
      <c r="W39" s="186">
        <v>0</v>
      </c>
      <c r="X39" s="186">
        <v>0</v>
      </c>
      <c r="Y39" s="186">
        <v>0</v>
      </c>
      <c r="Z39" s="183">
        <v>0</v>
      </c>
      <c r="AA39" s="186">
        <v>0</v>
      </c>
      <c r="AB39" s="183">
        <f t="shared" si="8"/>
        <v>0</v>
      </c>
      <c r="AC39" s="194">
        <f t="shared" si="9"/>
        <v>0</v>
      </c>
    </row>
    <row r="40" spans="1:29" ht="31.5" x14ac:dyDescent="0.25">
      <c r="A40" s="184" t="s">
        <v>152</v>
      </c>
      <c r="B40" s="185" t="s">
        <v>139</v>
      </c>
      <c r="C40" s="183">
        <f>'6.2. Паспорт фин осв ввод утв'!C40</f>
        <v>0</v>
      </c>
      <c r="D40" s="183">
        <f>'6.2. Паспорт фин осв ввод утв'!D40</f>
        <v>0</v>
      </c>
      <c r="E40" s="183">
        <f t="shared" si="4"/>
        <v>0</v>
      </c>
      <c r="F40" s="183">
        <f t="shared" si="5"/>
        <v>0</v>
      </c>
      <c r="G40" s="183">
        <v>0</v>
      </c>
      <c r="H40" s="183">
        <v>0</v>
      </c>
      <c r="I40" s="186">
        <v>0</v>
      </c>
      <c r="J40" s="186">
        <f t="shared" si="6"/>
        <v>0</v>
      </c>
      <c r="K40" s="186">
        <v>0</v>
      </c>
      <c r="L40" s="183">
        <f t="shared" si="10"/>
        <v>0</v>
      </c>
      <c r="M40" s="186">
        <v>0</v>
      </c>
      <c r="N40" s="186">
        <f t="shared" si="7"/>
        <v>0</v>
      </c>
      <c r="O40" s="186">
        <v>0</v>
      </c>
      <c r="P40" s="183">
        <v>0</v>
      </c>
      <c r="Q40" s="186">
        <v>0</v>
      </c>
      <c r="R40" s="183">
        <v>0</v>
      </c>
      <c r="S40" s="186">
        <v>0</v>
      </c>
      <c r="T40" s="183">
        <v>0</v>
      </c>
      <c r="U40" s="186">
        <v>0</v>
      </c>
      <c r="V40" s="183">
        <v>0</v>
      </c>
      <c r="W40" s="186">
        <v>0</v>
      </c>
      <c r="X40" s="186">
        <v>0</v>
      </c>
      <c r="Y40" s="186">
        <v>0</v>
      </c>
      <c r="Z40" s="183">
        <v>0</v>
      </c>
      <c r="AA40" s="186">
        <v>0</v>
      </c>
      <c r="AB40" s="183">
        <f t="shared" si="8"/>
        <v>0</v>
      </c>
      <c r="AC40" s="194">
        <f t="shared" si="9"/>
        <v>0</v>
      </c>
    </row>
    <row r="41" spans="1:29" x14ac:dyDescent="0.25">
      <c r="A41" s="184" t="s">
        <v>151</v>
      </c>
      <c r="B41" s="185" t="s">
        <v>137</v>
      </c>
      <c r="C41" s="183">
        <v>0.6</v>
      </c>
      <c r="D41" s="183">
        <v>0.6</v>
      </c>
      <c r="E41" s="183">
        <f t="shared" si="4"/>
        <v>0.6</v>
      </c>
      <c r="F41" s="183">
        <f t="shared" si="5"/>
        <v>0.6</v>
      </c>
      <c r="G41" s="183">
        <v>0</v>
      </c>
      <c r="H41" s="183">
        <v>0</v>
      </c>
      <c r="I41" s="186">
        <v>0</v>
      </c>
      <c r="J41" s="186">
        <f t="shared" si="6"/>
        <v>0</v>
      </c>
      <c r="K41" s="186">
        <v>0</v>
      </c>
      <c r="L41" s="183">
        <v>0</v>
      </c>
      <c r="M41" s="186">
        <v>0</v>
      </c>
      <c r="N41" s="186">
        <v>0</v>
      </c>
      <c r="O41" s="186">
        <v>0</v>
      </c>
      <c r="P41" s="183">
        <v>0</v>
      </c>
      <c r="Q41" s="186">
        <v>0</v>
      </c>
      <c r="R41" s="183">
        <v>0</v>
      </c>
      <c r="S41" s="186">
        <v>0</v>
      </c>
      <c r="T41" s="183">
        <v>0.6</v>
      </c>
      <c r="U41" s="186">
        <v>0</v>
      </c>
      <c r="V41" s="183">
        <v>0.6</v>
      </c>
      <c r="W41" s="186">
        <v>0</v>
      </c>
      <c r="X41" s="186">
        <v>0</v>
      </c>
      <c r="Y41" s="186">
        <v>0</v>
      </c>
      <c r="Z41" s="183">
        <v>0</v>
      </c>
      <c r="AA41" s="186">
        <v>0</v>
      </c>
      <c r="AB41" s="183">
        <f t="shared" si="8"/>
        <v>0.6</v>
      </c>
      <c r="AC41" s="194">
        <f t="shared" si="9"/>
        <v>0.6</v>
      </c>
    </row>
    <row r="42" spans="1:29" ht="18.75" x14ac:dyDescent="0.25">
      <c r="A42" s="184" t="s">
        <v>150</v>
      </c>
      <c r="B42" s="188" t="s">
        <v>567</v>
      </c>
      <c r="C42" s="183">
        <f>'6.2. Паспорт фин осв ввод утв'!C42</f>
        <v>0</v>
      </c>
      <c r="D42" s="183">
        <f>'6.2. Паспорт фин осв ввод утв'!D42</f>
        <v>0</v>
      </c>
      <c r="E42" s="183">
        <f t="shared" si="4"/>
        <v>0</v>
      </c>
      <c r="F42" s="183">
        <f t="shared" si="5"/>
        <v>0</v>
      </c>
      <c r="G42" s="183">
        <v>0</v>
      </c>
      <c r="H42" s="183">
        <v>0</v>
      </c>
      <c r="I42" s="186">
        <v>0</v>
      </c>
      <c r="J42" s="189">
        <f t="shared" si="6"/>
        <v>0</v>
      </c>
      <c r="K42" s="186">
        <v>0</v>
      </c>
      <c r="L42" s="183">
        <f t="shared" ref="L42:L48" si="11">C42</f>
        <v>0</v>
      </c>
      <c r="M42" s="186">
        <v>0</v>
      </c>
      <c r="N42" s="189">
        <f t="shared" si="7"/>
        <v>0</v>
      </c>
      <c r="O42" s="186">
        <v>0</v>
      </c>
      <c r="P42" s="183">
        <v>0</v>
      </c>
      <c r="Q42" s="186">
        <v>0</v>
      </c>
      <c r="R42" s="183">
        <v>0</v>
      </c>
      <c r="S42" s="186">
        <v>0</v>
      </c>
      <c r="T42" s="183">
        <v>0</v>
      </c>
      <c r="U42" s="186">
        <v>0</v>
      </c>
      <c r="V42" s="183">
        <v>0</v>
      </c>
      <c r="W42" s="186">
        <v>0</v>
      </c>
      <c r="X42" s="186">
        <v>0</v>
      </c>
      <c r="Y42" s="186">
        <v>0</v>
      </c>
      <c r="Z42" s="183">
        <v>0</v>
      </c>
      <c r="AA42" s="186">
        <v>0</v>
      </c>
      <c r="AB42" s="183">
        <f t="shared" si="8"/>
        <v>0</v>
      </c>
      <c r="AC42" s="194">
        <f t="shared" si="9"/>
        <v>0</v>
      </c>
    </row>
    <row r="43" spans="1:29" s="303" customFormat="1" x14ac:dyDescent="0.25">
      <c r="A43" s="181" t="s">
        <v>58</v>
      </c>
      <c r="B43" s="182" t="s">
        <v>149</v>
      </c>
      <c r="C43" s="183">
        <f>'6.2. Паспорт фин осв ввод утв'!C43</f>
        <v>0</v>
      </c>
      <c r="D43" s="183">
        <f>'6.2. Паспорт фин осв ввод утв'!D43</f>
        <v>0</v>
      </c>
      <c r="E43" s="183">
        <f t="shared" si="4"/>
        <v>0</v>
      </c>
      <c r="F43" s="183">
        <f t="shared" si="5"/>
        <v>0</v>
      </c>
      <c r="G43" s="183">
        <v>0</v>
      </c>
      <c r="H43" s="183">
        <v>0</v>
      </c>
      <c r="I43" s="183">
        <v>0</v>
      </c>
      <c r="J43" s="183">
        <f t="shared" si="6"/>
        <v>0</v>
      </c>
      <c r="K43" s="183">
        <v>0</v>
      </c>
      <c r="L43" s="183">
        <f t="shared" si="11"/>
        <v>0</v>
      </c>
      <c r="M43" s="183">
        <v>0</v>
      </c>
      <c r="N43" s="183">
        <f t="shared" si="7"/>
        <v>0</v>
      </c>
      <c r="O43" s="183">
        <v>0</v>
      </c>
      <c r="P43" s="183">
        <v>0</v>
      </c>
      <c r="Q43" s="183">
        <v>0</v>
      </c>
      <c r="R43" s="183">
        <v>0</v>
      </c>
      <c r="S43" s="183">
        <v>0</v>
      </c>
      <c r="T43" s="183">
        <v>0</v>
      </c>
      <c r="U43" s="183">
        <v>0</v>
      </c>
      <c r="V43" s="183">
        <v>0</v>
      </c>
      <c r="W43" s="183">
        <v>0</v>
      </c>
      <c r="X43" s="183">
        <v>0</v>
      </c>
      <c r="Y43" s="183">
        <v>0</v>
      </c>
      <c r="Z43" s="183">
        <v>0</v>
      </c>
      <c r="AA43" s="183">
        <v>0</v>
      </c>
      <c r="AB43" s="183">
        <f t="shared" si="8"/>
        <v>0</v>
      </c>
      <c r="AC43" s="194">
        <f t="shared" si="9"/>
        <v>0</v>
      </c>
    </row>
    <row r="44" spans="1:29" x14ac:dyDescent="0.25">
      <c r="A44" s="184" t="s">
        <v>148</v>
      </c>
      <c r="B44" s="185" t="s">
        <v>147</v>
      </c>
      <c r="C44" s="183">
        <f>'6.2. Паспорт фин осв ввод утв'!C44</f>
        <v>0</v>
      </c>
      <c r="D44" s="183">
        <f>'6.2. Паспорт фин осв ввод утв'!D44</f>
        <v>0</v>
      </c>
      <c r="E44" s="183">
        <f t="shared" si="4"/>
        <v>0</v>
      </c>
      <c r="F44" s="183">
        <f t="shared" si="5"/>
        <v>0</v>
      </c>
      <c r="G44" s="183">
        <v>0</v>
      </c>
      <c r="H44" s="183">
        <v>0</v>
      </c>
      <c r="I44" s="186">
        <v>0</v>
      </c>
      <c r="J44" s="186">
        <f t="shared" si="6"/>
        <v>0</v>
      </c>
      <c r="K44" s="186">
        <v>0</v>
      </c>
      <c r="L44" s="183">
        <f t="shared" si="11"/>
        <v>0</v>
      </c>
      <c r="M44" s="186">
        <v>0</v>
      </c>
      <c r="N44" s="186">
        <f t="shared" si="7"/>
        <v>0</v>
      </c>
      <c r="O44" s="186">
        <v>0</v>
      </c>
      <c r="P44" s="183">
        <v>0</v>
      </c>
      <c r="Q44" s="186">
        <v>0</v>
      </c>
      <c r="R44" s="183">
        <v>0</v>
      </c>
      <c r="S44" s="186">
        <v>0</v>
      </c>
      <c r="T44" s="183">
        <v>0</v>
      </c>
      <c r="U44" s="186">
        <v>0</v>
      </c>
      <c r="V44" s="183">
        <v>0</v>
      </c>
      <c r="W44" s="186">
        <v>0</v>
      </c>
      <c r="X44" s="186">
        <v>0</v>
      </c>
      <c r="Y44" s="186">
        <v>0</v>
      </c>
      <c r="Z44" s="183">
        <v>0</v>
      </c>
      <c r="AA44" s="186">
        <v>0</v>
      </c>
      <c r="AB44" s="183">
        <f t="shared" si="8"/>
        <v>0</v>
      </c>
      <c r="AC44" s="194">
        <f t="shared" si="9"/>
        <v>0</v>
      </c>
    </row>
    <row r="45" spans="1:29" x14ac:dyDescent="0.25">
      <c r="A45" s="184" t="s">
        <v>146</v>
      </c>
      <c r="B45" s="185" t="s">
        <v>145</v>
      </c>
      <c r="C45" s="183">
        <f>'6.2. Паспорт фин осв ввод утв'!C45</f>
        <v>0</v>
      </c>
      <c r="D45" s="183">
        <f>'6.2. Паспорт фин осв ввод утв'!D45</f>
        <v>0</v>
      </c>
      <c r="E45" s="183">
        <f t="shared" si="4"/>
        <v>0</v>
      </c>
      <c r="F45" s="183">
        <f t="shared" si="5"/>
        <v>0</v>
      </c>
      <c r="G45" s="183">
        <v>0</v>
      </c>
      <c r="H45" s="183">
        <v>0</v>
      </c>
      <c r="I45" s="186">
        <v>0</v>
      </c>
      <c r="J45" s="186">
        <f t="shared" si="6"/>
        <v>0</v>
      </c>
      <c r="K45" s="186">
        <v>0</v>
      </c>
      <c r="L45" s="183">
        <f t="shared" si="11"/>
        <v>0</v>
      </c>
      <c r="M45" s="186">
        <v>0</v>
      </c>
      <c r="N45" s="186">
        <f t="shared" si="7"/>
        <v>0</v>
      </c>
      <c r="O45" s="186">
        <v>0</v>
      </c>
      <c r="P45" s="183">
        <v>0</v>
      </c>
      <c r="Q45" s="186">
        <v>0</v>
      </c>
      <c r="R45" s="183">
        <v>0</v>
      </c>
      <c r="S45" s="186">
        <v>0</v>
      </c>
      <c r="T45" s="183">
        <v>0</v>
      </c>
      <c r="U45" s="186">
        <v>0</v>
      </c>
      <c r="V45" s="183">
        <v>0</v>
      </c>
      <c r="W45" s="186">
        <v>0</v>
      </c>
      <c r="X45" s="186">
        <v>0</v>
      </c>
      <c r="Y45" s="186">
        <v>0</v>
      </c>
      <c r="Z45" s="183">
        <v>0</v>
      </c>
      <c r="AA45" s="186">
        <v>0</v>
      </c>
      <c r="AB45" s="183">
        <f t="shared" si="8"/>
        <v>0</v>
      </c>
      <c r="AC45" s="194">
        <f t="shared" si="9"/>
        <v>0</v>
      </c>
    </row>
    <row r="46" spans="1:29" x14ac:dyDescent="0.25">
      <c r="A46" s="184" t="s">
        <v>144</v>
      </c>
      <c r="B46" s="185" t="s">
        <v>143</v>
      </c>
      <c r="C46" s="183">
        <f>'6.2. Паспорт фин осв ввод утв'!C46</f>
        <v>0</v>
      </c>
      <c r="D46" s="183">
        <f>'6.2. Паспорт фин осв ввод утв'!D46</f>
        <v>0</v>
      </c>
      <c r="E46" s="183">
        <f t="shared" si="4"/>
        <v>0</v>
      </c>
      <c r="F46" s="183">
        <f t="shared" si="5"/>
        <v>0</v>
      </c>
      <c r="G46" s="183">
        <v>0</v>
      </c>
      <c r="H46" s="183">
        <v>0</v>
      </c>
      <c r="I46" s="186">
        <v>0</v>
      </c>
      <c r="J46" s="186">
        <f t="shared" si="6"/>
        <v>0</v>
      </c>
      <c r="K46" s="186">
        <v>0</v>
      </c>
      <c r="L46" s="183">
        <f t="shared" si="11"/>
        <v>0</v>
      </c>
      <c r="M46" s="186">
        <v>0</v>
      </c>
      <c r="N46" s="186">
        <f t="shared" si="7"/>
        <v>0</v>
      </c>
      <c r="O46" s="186">
        <v>0</v>
      </c>
      <c r="P46" s="183">
        <v>0</v>
      </c>
      <c r="Q46" s="186">
        <v>0</v>
      </c>
      <c r="R46" s="183">
        <v>0</v>
      </c>
      <c r="S46" s="186">
        <v>0</v>
      </c>
      <c r="T46" s="183">
        <v>0</v>
      </c>
      <c r="U46" s="186">
        <v>0</v>
      </c>
      <c r="V46" s="183">
        <v>0</v>
      </c>
      <c r="W46" s="186">
        <v>0</v>
      </c>
      <c r="X46" s="186">
        <v>0</v>
      </c>
      <c r="Y46" s="186">
        <v>0</v>
      </c>
      <c r="Z46" s="183">
        <v>0</v>
      </c>
      <c r="AA46" s="186">
        <v>0</v>
      </c>
      <c r="AB46" s="183">
        <f t="shared" si="8"/>
        <v>0</v>
      </c>
      <c r="AC46" s="194">
        <f t="shared" si="9"/>
        <v>0</v>
      </c>
    </row>
    <row r="47" spans="1:29" ht="31.5" x14ac:dyDescent="0.25">
      <c r="A47" s="184" t="s">
        <v>142</v>
      </c>
      <c r="B47" s="185" t="s">
        <v>141</v>
      </c>
      <c r="C47" s="183">
        <f>'6.2. Паспорт фин осв ввод утв'!C47</f>
        <v>0</v>
      </c>
      <c r="D47" s="183">
        <f>'6.2. Паспорт фин осв ввод утв'!D47</f>
        <v>0</v>
      </c>
      <c r="E47" s="183">
        <f t="shared" si="4"/>
        <v>0</v>
      </c>
      <c r="F47" s="183">
        <f t="shared" si="5"/>
        <v>0</v>
      </c>
      <c r="G47" s="183">
        <v>0</v>
      </c>
      <c r="H47" s="183">
        <v>0</v>
      </c>
      <c r="I47" s="186">
        <v>0</v>
      </c>
      <c r="J47" s="186">
        <f t="shared" si="6"/>
        <v>0</v>
      </c>
      <c r="K47" s="186">
        <v>0</v>
      </c>
      <c r="L47" s="183">
        <f t="shared" si="11"/>
        <v>0</v>
      </c>
      <c r="M47" s="186">
        <v>0</v>
      </c>
      <c r="N47" s="186">
        <f t="shared" si="7"/>
        <v>0</v>
      </c>
      <c r="O47" s="186">
        <v>0</v>
      </c>
      <c r="P47" s="183">
        <v>0</v>
      </c>
      <c r="Q47" s="186">
        <v>0</v>
      </c>
      <c r="R47" s="183">
        <v>0</v>
      </c>
      <c r="S47" s="186">
        <v>0</v>
      </c>
      <c r="T47" s="183">
        <v>0</v>
      </c>
      <c r="U47" s="186">
        <v>0</v>
      </c>
      <c r="V47" s="183">
        <v>0</v>
      </c>
      <c r="W47" s="186">
        <v>0</v>
      </c>
      <c r="X47" s="186">
        <v>0</v>
      </c>
      <c r="Y47" s="186">
        <v>0</v>
      </c>
      <c r="Z47" s="183">
        <v>0</v>
      </c>
      <c r="AA47" s="186">
        <v>0</v>
      </c>
      <c r="AB47" s="183">
        <f t="shared" si="8"/>
        <v>0</v>
      </c>
      <c r="AC47" s="194">
        <f t="shared" si="9"/>
        <v>0</v>
      </c>
    </row>
    <row r="48" spans="1:29" ht="31.5" x14ac:dyDescent="0.25">
      <c r="A48" s="184" t="s">
        <v>140</v>
      </c>
      <c r="B48" s="185" t="s">
        <v>139</v>
      </c>
      <c r="C48" s="183">
        <f>'6.2. Паспорт фин осв ввод утв'!C48</f>
        <v>0</v>
      </c>
      <c r="D48" s="183">
        <f>'6.2. Паспорт фин осв ввод утв'!D48</f>
        <v>0</v>
      </c>
      <c r="E48" s="183">
        <f t="shared" si="4"/>
        <v>0</v>
      </c>
      <c r="F48" s="183">
        <f t="shared" si="5"/>
        <v>0</v>
      </c>
      <c r="G48" s="183">
        <v>0</v>
      </c>
      <c r="H48" s="183">
        <v>0</v>
      </c>
      <c r="I48" s="186">
        <v>0</v>
      </c>
      <c r="J48" s="186">
        <f t="shared" si="6"/>
        <v>0</v>
      </c>
      <c r="K48" s="186">
        <v>0</v>
      </c>
      <c r="L48" s="183">
        <f t="shared" si="11"/>
        <v>0</v>
      </c>
      <c r="M48" s="186">
        <v>0</v>
      </c>
      <c r="N48" s="186">
        <f t="shared" si="7"/>
        <v>0</v>
      </c>
      <c r="O48" s="186">
        <v>0</v>
      </c>
      <c r="P48" s="183">
        <v>0</v>
      </c>
      <c r="Q48" s="186">
        <v>0</v>
      </c>
      <c r="R48" s="183">
        <v>0</v>
      </c>
      <c r="S48" s="186">
        <v>0</v>
      </c>
      <c r="T48" s="183">
        <v>0</v>
      </c>
      <c r="U48" s="186">
        <v>0</v>
      </c>
      <c r="V48" s="183">
        <v>0</v>
      </c>
      <c r="W48" s="186">
        <v>0</v>
      </c>
      <c r="X48" s="186">
        <v>0</v>
      </c>
      <c r="Y48" s="186">
        <v>0</v>
      </c>
      <c r="Z48" s="183">
        <v>0</v>
      </c>
      <c r="AA48" s="186">
        <v>0</v>
      </c>
      <c r="AB48" s="183">
        <f t="shared" si="8"/>
        <v>0</v>
      </c>
      <c r="AC48" s="194">
        <f t="shared" si="9"/>
        <v>0</v>
      </c>
    </row>
    <row r="49" spans="1:29" x14ac:dyDescent="0.25">
      <c r="A49" s="184" t="s">
        <v>138</v>
      </c>
      <c r="B49" s="185" t="s">
        <v>137</v>
      </c>
      <c r="C49" s="183">
        <f>C41</f>
        <v>0.6</v>
      </c>
      <c r="D49" s="183">
        <f>D41</f>
        <v>0.6</v>
      </c>
      <c r="E49" s="183">
        <f t="shared" si="4"/>
        <v>0.6</v>
      </c>
      <c r="F49" s="183">
        <f t="shared" si="5"/>
        <v>0.6</v>
      </c>
      <c r="G49" s="183">
        <v>0</v>
      </c>
      <c r="H49" s="183">
        <v>0</v>
      </c>
      <c r="I49" s="186">
        <v>0</v>
      </c>
      <c r="J49" s="186">
        <f t="shared" si="6"/>
        <v>0</v>
      </c>
      <c r="K49" s="186">
        <v>0</v>
      </c>
      <c r="L49" s="183">
        <v>0</v>
      </c>
      <c r="M49" s="186">
        <v>0</v>
      </c>
      <c r="N49" s="186">
        <f t="shared" si="7"/>
        <v>0</v>
      </c>
      <c r="O49" s="186">
        <v>0</v>
      </c>
      <c r="P49" s="183">
        <v>0</v>
      </c>
      <c r="Q49" s="186">
        <v>0</v>
      </c>
      <c r="R49" s="183">
        <v>0</v>
      </c>
      <c r="S49" s="186">
        <v>0</v>
      </c>
      <c r="T49" s="183">
        <v>0.6</v>
      </c>
      <c r="U49" s="186">
        <v>0</v>
      </c>
      <c r="V49" s="183">
        <v>0.6</v>
      </c>
      <c r="W49" s="186">
        <v>0</v>
      </c>
      <c r="X49" s="186">
        <v>0</v>
      </c>
      <c r="Y49" s="186">
        <v>0</v>
      </c>
      <c r="Z49" s="183">
        <v>0</v>
      </c>
      <c r="AA49" s="186">
        <v>0</v>
      </c>
      <c r="AB49" s="183">
        <f t="shared" si="8"/>
        <v>0.6</v>
      </c>
      <c r="AC49" s="194">
        <f t="shared" si="9"/>
        <v>0.6</v>
      </c>
    </row>
    <row r="50" spans="1:29" ht="18.75" x14ac:dyDescent="0.25">
      <c r="A50" s="184" t="s">
        <v>136</v>
      </c>
      <c r="B50" s="188" t="s">
        <v>567</v>
      </c>
      <c r="C50" s="183">
        <f>'6.2. Паспорт фин осв ввод утв'!C50</f>
        <v>0</v>
      </c>
      <c r="D50" s="183">
        <f>'6.2. Паспорт фин осв ввод утв'!D50</f>
        <v>0</v>
      </c>
      <c r="E50" s="183">
        <f t="shared" si="4"/>
        <v>0</v>
      </c>
      <c r="F50" s="183">
        <f t="shared" si="5"/>
        <v>0</v>
      </c>
      <c r="G50" s="183">
        <v>0</v>
      </c>
      <c r="H50" s="183">
        <v>0</v>
      </c>
      <c r="I50" s="186">
        <v>0</v>
      </c>
      <c r="J50" s="189">
        <f t="shared" si="6"/>
        <v>0</v>
      </c>
      <c r="K50" s="186">
        <v>0</v>
      </c>
      <c r="L50" s="183">
        <f>C50</f>
        <v>0</v>
      </c>
      <c r="M50" s="186">
        <v>0</v>
      </c>
      <c r="N50" s="189">
        <f t="shared" si="7"/>
        <v>0</v>
      </c>
      <c r="O50" s="186">
        <v>0</v>
      </c>
      <c r="P50" s="183">
        <v>0</v>
      </c>
      <c r="Q50" s="186">
        <v>0</v>
      </c>
      <c r="R50" s="183">
        <v>0</v>
      </c>
      <c r="S50" s="186">
        <v>0</v>
      </c>
      <c r="T50" s="183">
        <v>0</v>
      </c>
      <c r="U50" s="186">
        <v>0</v>
      </c>
      <c r="V50" s="183">
        <v>0</v>
      </c>
      <c r="W50" s="186">
        <v>0</v>
      </c>
      <c r="X50" s="186">
        <v>0</v>
      </c>
      <c r="Y50" s="186">
        <v>0</v>
      </c>
      <c r="Z50" s="183">
        <v>0</v>
      </c>
      <c r="AA50" s="186">
        <v>0</v>
      </c>
      <c r="AB50" s="183">
        <f t="shared" si="8"/>
        <v>0</v>
      </c>
      <c r="AC50" s="194">
        <f t="shared" si="9"/>
        <v>0</v>
      </c>
    </row>
    <row r="51" spans="1:29" s="303" customFormat="1" ht="35.25" customHeight="1" x14ac:dyDescent="0.25">
      <c r="A51" s="181" t="s">
        <v>56</v>
      </c>
      <c r="B51" s="182" t="s">
        <v>134</v>
      </c>
      <c r="C51" s="183">
        <f>'6.2. Паспорт фин осв ввод утв'!C51</f>
        <v>0</v>
      </c>
      <c r="D51" s="183">
        <f>'6.2. Паспорт фин осв ввод утв'!D51</f>
        <v>0</v>
      </c>
      <c r="E51" s="183">
        <f t="shared" si="4"/>
        <v>0</v>
      </c>
      <c r="F51" s="183">
        <f t="shared" si="5"/>
        <v>0</v>
      </c>
      <c r="G51" s="183">
        <v>0</v>
      </c>
      <c r="H51" s="183">
        <v>0</v>
      </c>
      <c r="I51" s="183">
        <v>0</v>
      </c>
      <c r="J51" s="183">
        <f t="shared" si="6"/>
        <v>0</v>
      </c>
      <c r="K51" s="183">
        <v>0</v>
      </c>
      <c r="L51" s="183">
        <f>C51</f>
        <v>0</v>
      </c>
      <c r="M51" s="183">
        <v>0</v>
      </c>
      <c r="N51" s="183">
        <f t="shared" si="7"/>
        <v>0</v>
      </c>
      <c r="O51" s="183">
        <v>0</v>
      </c>
      <c r="P51" s="183">
        <v>0</v>
      </c>
      <c r="Q51" s="183">
        <v>0</v>
      </c>
      <c r="R51" s="183">
        <v>0</v>
      </c>
      <c r="S51" s="183">
        <v>0</v>
      </c>
      <c r="T51" s="183">
        <v>0</v>
      </c>
      <c r="U51" s="183">
        <v>0</v>
      </c>
      <c r="V51" s="183">
        <v>0</v>
      </c>
      <c r="W51" s="183">
        <v>0</v>
      </c>
      <c r="X51" s="183">
        <v>0</v>
      </c>
      <c r="Y51" s="183">
        <v>0</v>
      </c>
      <c r="Z51" s="183">
        <v>0</v>
      </c>
      <c r="AA51" s="183">
        <v>0</v>
      </c>
      <c r="AB51" s="183">
        <f t="shared" si="8"/>
        <v>0</v>
      </c>
      <c r="AC51" s="194">
        <f t="shared" si="9"/>
        <v>0</v>
      </c>
    </row>
    <row r="52" spans="1:29" x14ac:dyDescent="0.25">
      <c r="A52" s="184" t="s">
        <v>133</v>
      </c>
      <c r="B52" s="185" t="s">
        <v>132</v>
      </c>
      <c r="C52" s="183">
        <f>C30</f>
        <v>3.2419077247254924</v>
      </c>
      <c r="D52" s="183">
        <f>D30</f>
        <v>3.2419077247254924</v>
      </c>
      <c r="E52" s="183">
        <f t="shared" si="4"/>
        <v>3.2419077247254924</v>
      </c>
      <c r="F52" s="183">
        <f t="shared" si="5"/>
        <v>3.2419077247254924</v>
      </c>
      <c r="G52" s="183">
        <v>0</v>
      </c>
      <c r="H52" s="183">
        <v>0</v>
      </c>
      <c r="I52" s="186">
        <v>0</v>
      </c>
      <c r="J52" s="186">
        <f t="shared" si="6"/>
        <v>0</v>
      </c>
      <c r="K52" s="186">
        <v>0</v>
      </c>
      <c r="L52" s="183">
        <v>0</v>
      </c>
      <c r="M52" s="186">
        <v>0</v>
      </c>
      <c r="N52" s="186">
        <v>0</v>
      </c>
      <c r="O52" s="186">
        <v>0</v>
      </c>
      <c r="P52" s="183">
        <v>0</v>
      </c>
      <c r="Q52" s="186">
        <v>0</v>
      </c>
      <c r="R52" s="183">
        <v>0</v>
      </c>
      <c r="S52" s="186">
        <v>0</v>
      </c>
      <c r="T52" s="183">
        <v>3.2419077247254924</v>
      </c>
      <c r="U52" s="186">
        <v>0</v>
      </c>
      <c r="V52" s="183">
        <v>3.2419077247254924</v>
      </c>
      <c r="W52" s="186">
        <v>0</v>
      </c>
      <c r="X52" s="186">
        <v>0</v>
      </c>
      <c r="Y52" s="186">
        <v>0</v>
      </c>
      <c r="Z52" s="183">
        <v>0</v>
      </c>
      <c r="AA52" s="186">
        <v>0</v>
      </c>
      <c r="AB52" s="183">
        <f t="shared" si="8"/>
        <v>3.2419077247254924</v>
      </c>
      <c r="AC52" s="194">
        <f t="shared" si="9"/>
        <v>3.2419077247254924</v>
      </c>
    </row>
    <row r="53" spans="1:29" x14ac:dyDescent="0.25">
      <c r="A53" s="184" t="s">
        <v>131</v>
      </c>
      <c r="B53" s="185" t="s">
        <v>125</v>
      </c>
      <c r="C53" s="183">
        <f>'6.2. Паспорт фин осв ввод утв'!C53</f>
        <v>0</v>
      </c>
      <c r="D53" s="183">
        <f>'6.2. Паспорт фин осв ввод утв'!D53</f>
        <v>0</v>
      </c>
      <c r="E53" s="183">
        <f t="shared" si="4"/>
        <v>0</v>
      </c>
      <c r="F53" s="183">
        <f t="shared" si="5"/>
        <v>0</v>
      </c>
      <c r="G53" s="183">
        <v>0</v>
      </c>
      <c r="H53" s="183">
        <v>0</v>
      </c>
      <c r="I53" s="186">
        <v>0</v>
      </c>
      <c r="J53" s="186">
        <f t="shared" si="6"/>
        <v>0</v>
      </c>
      <c r="K53" s="186">
        <v>0</v>
      </c>
      <c r="L53" s="183">
        <f>C53</f>
        <v>0</v>
      </c>
      <c r="M53" s="186">
        <v>0</v>
      </c>
      <c r="N53" s="186">
        <f t="shared" si="7"/>
        <v>0</v>
      </c>
      <c r="O53" s="186">
        <v>0</v>
      </c>
      <c r="P53" s="183">
        <v>0</v>
      </c>
      <c r="Q53" s="186">
        <v>0</v>
      </c>
      <c r="R53" s="183">
        <v>0</v>
      </c>
      <c r="S53" s="186">
        <v>0</v>
      </c>
      <c r="T53" s="183">
        <v>0</v>
      </c>
      <c r="U53" s="186">
        <v>0</v>
      </c>
      <c r="V53" s="183">
        <v>0</v>
      </c>
      <c r="W53" s="186">
        <v>0</v>
      </c>
      <c r="X53" s="186">
        <v>0</v>
      </c>
      <c r="Y53" s="186">
        <v>0</v>
      </c>
      <c r="Z53" s="183">
        <v>0</v>
      </c>
      <c r="AA53" s="186">
        <v>0</v>
      </c>
      <c r="AB53" s="183">
        <f t="shared" si="8"/>
        <v>0</v>
      </c>
      <c r="AC53" s="194">
        <f t="shared" si="9"/>
        <v>0</v>
      </c>
    </row>
    <row r="54" spans="1:29" x14ac:dyDescent="0.25">
      <c r="A54" s="184" t="s">
        <v>130</v>
      </c>
      <c r="B54" s="188" t="s">
        <v>124</v>
      </c>
      <c r="C54" s="183">
        <f>'6.2. Паспорт фин осв ввод утв'!C54</f>
        <v>0</v>
      </c>
      <c r="D54" s="183">
        <f>'6.2. Паспорт фин осв ввод утв'!D54</f>
        <v>0</v>
      </c>
      <c r="E54" s="183">
        <f t="shared" si="4"/>
        <v>0</v>
      </c>
      <c r="F54" s="183">
        <f t="shared" si="5"/>
        <v>0</v>
      </c>
      <c r="G54" s="183">
        <v>0</v>
      </c>
      <c r="H54" s="183">
        <v>0</v>
      </c>
      <c r="I54" s="186">
        <v>0</v>
      </c>
      <c r="J54" s="189">
        <f t="shared" si="6"/>
        <v>0</v>
      </c>
      <c r="K54" s="186">
        <v>0</v>
      </c>
      <c r="L54" s="183">
        <f>C54</f>
        <v>0</v>
      </c>
      <c r="M54" s="186">
        <v>0</v>
      </c>
      <c r="N54" s="189">
        <f t="shared" si="7"/>
        <v>0</v>
      </c>
      <c r="O54" s="186">
        <v>0</v>
      </c>
      <c r="P54" s="183">
        <v>0</v>
      </c>
      <c r="Q54" s="186">
        <v>0</v>
      </c>
      <c r="R54" s="183">
        <v>0</v>
      </c>
      <c r="S54" s="186">
        <v>0</v>
      </c>
      <c r="T54" s="183">
        <v>0</v>
      </c>
      <c r="U54" s="186">
        <v>0</v>
      </c>
      <c r="V54" s="183">
        <v>0</v>
      </c>
      <c r="W54" s="186">
        <v>0</v>
      </c>
      <c r="X54" s="186">
        <v>0</v>
      </c>
      <c r="Y54" s="186">
        <v>0</v>
      </c>
      <c r="Z54" s="183">
        <v>0</v>
      </c>
      <c r="AA54" s="186">
        <v>0</v>
      </c>
      <c r="AB54" s="183">
        <f t="shared" si="8"/>
        <v>0</v>
      </c>
      <c r="AC54" s="194">
        <f t="shared" si="9"/>
        <v>0</v>
      </c>
    </row>
    <row r="55" spans="1:29" x14ac:dyDescent="0.25">
      <c r="A55" s="184" t="s">
        <v>129</v>
      </c>
      <c r="B55" s="188" t="s">
        <v>123</v>
      </c>
      <c r="C55" s="183">
        <f>'6.2. Паспорт фин осв ввод утв'!C55</f>
        <v>0</v>
      </c>
      <c r="D55" s="183">
        <f>'6.2. Паспорт фин осв ввод утв'!D55</f>
        <v>0</v>
      </c>
      <c r="E55" s="183">
        <f t="shared" si="4"/>
        <v>0</v>
      </c>
      <c r="F55" s="183">
        <f t="shared" si="5"/>
        <v>0</v>
      </c>
      <c r="G55" s="183">
        <v>0</v>
      </c>
      <c r="H55" s="183">
        <v>0</v>
      </c>
      <c r="I55" s="186">
        <v>0</v>
      </c>
      <c r="J55" s="189">
        <f t="shared" si="6"/>
        <v>0</v>
      </c>
      <c r="K55" s="186">
        <v>0</v>
      </c>
      <c r="L55" s="183">
        <f>C55</f>
        <v>0</v>
      </c>
      <c r="M55" s="186">
        <v>0</v>
      </c>
      <c r="N55" s="189">
        <f t="shared" si="7"/>
        <v>0</v>
      </c>
      <c r="O55" s="186">
        <v>0</v>
      </c>
      <c r="P55" s="183">
        <v>0</v>
      </c>
      <c r="Q55" s="186">
        <v>0</v>
      </c>
      <c r="R55" s="183">
        <v>0</v>
      </c>
      <c r="S55" s="186">
        <v>0</v>
      </c>
      <c r="T55" s="183">
        <v>0</v>
      </c>
      <c r="U55" s="186">
        <v>0</v>
      </c>
      <c r="V55" s="183">
        <v>0</v>
      </c>
      <c r="W55" s="186">
        <v>0</v>
      </c>
      <c r="X55" s="186">
        <v>0</v>
      </c>
      <c r="Y55" s="186">
        <v>0</v>
      </c>
      <c r="Z55" s="183">
        <v>0</v>
      </c>
      <c r="AA55" s="186">
        <v>0</v>
      </c>
      <c r="AB55" s="183">
        <f t="shared" si="8"/>
        <v>0</v>
      </c>
      <c r="AC55" s="194">
        <f t="shared" si="9"/>
        <v>0</v>
      </c>
    </row>
    <row r="56" spans="1:29" x14ac:dyDescent="0.25">
      <c r="A56" s="184" t="s">
        <v>128</v>
      </c>
      <c r="B56" s="188" t="s">
        <v>122</v>
      </c>
      <c r="C56" s="183">
        <v>0.6</v>
      </c>
      <c r="D56" s="183">
        <v>0.6</v>
      </c>
      <c r="E56" s="183">
        <f t="shared" si="4"/>
        <v>0.6</v>
      </c>
      <c r="F56" s="183">
        <f t="shared" si="5"/>
        <v>0.6</v>
      </c>
      <c r="G56" s="183">
        <v>0</v>
      </c>
      <c r="H56" s="183">
        <v>0</v>
      </c>
      <c r="I56" s="186">
        <v>0</v>
      </c>
      <c r="J56" s="189">
        <f t="shared" si="6"/>
        <v>0</v>
      </c>
      <c r="K56" s="186">
        <v>0</v>
      </c>
      <c r="L56" s="183">
        <v>0</v>
      </c>
      <c r="M56" s="186">
        <v>0</v>
      </c>
      <c r="N56" s="189">
        <v>0</v>
      </c>
      <c r="O56" s="186">
        <v>0</v>
      </c>
      <c r="P56" s="183">
        <v>0</v>
      </c>
      <c r="Q56" s="186">
        <v>0</v>
      </c>
      <c r="R56" s="183">
        <v>0</v>
      </c>
      <c r="S56" s="186">
        <v>0</v>
      </c>
      <c r="T56" s="183">
        <v>0.6</v>
      </c>
      <c r="U56" s="186">
        <v>0</v>
      </c>
      <c r="V56" s="183">
        <v>0.6</v>
      </c>
      <c r="W56" s="186">
        <v>0</v>
      </c>
      <c r="X56" s="186">
        <v>0</v>
      </c>
      <c r="Y56" s="186">
        <v>0</v>
      </c>
      <c r="Z56" s="183">
        <v>0</v>
      </c>
      <c r="AA56" s="186">
        <v>0</v>
      </c>
      <c r="AB56" s="183">
        <f t="shared" si="8"/>
        <v>0.6</v>
      </c>
      <c r="AC56" s="194">
        <f t="shared" si="9"/>
        <v>0.6</v>
      </c>
    </row>
    <row r="57" spans="1:29" ht="18.75" x14ac:dyDescent="0.25">
      <c r="A57" s="184" t="s">
        <v>127</v>
      </c>
      <c r="B57" s="188" t="s">
        <v>568</v>
      </c>
      <c r="C57" s="183">
        <f>'6.2. Паспорт фин осв ввод утв'!C57</f>
        <v>0</v>
      </c>
      <c r="D57" s="183">
        <f>'6.2. Паспорт фин осв ввод утв'!D57</f>
        <v>0</v>
      </c>
      <c r="E57" s="183">
        <f t="shared" si="4"/>
        <v>0</v>
      </c>
      <c r="F57" s="183">
        <f t="shared" si="5"/>
        <v>0</v>
      </c>
      <c r="G57" s="183">
        <v>0</v>
      </c>
      <c r="H57" s="183">
        <v>0</v>
      </c>
      <c r="I57" s="186">
        <v>0</v>
      </c>
      <c r="J57" s="189">
        <f t="shared" si="6"/>
        <v>0</v>
      </c>
      <c r="K57" s="186">
        <v>0</v>
      </c>
      <c r="L57" s="183">
        <f t="shared" ref="L57:L62" si="12">C57</f>
        <v>0</v>
      </c>
      <c r="M57" s="186">
        <v>0</v>
      </c>
      <c r="N57" s="189">
        <f t="shared" si="7"/>
        <v>0</v>
      </c>
      <c r="O57" s="186">
        <v>0</v>
      </c>
      <c r="P57" s="183">
        <v>0</v>
      </c>
      <c r="Q57" s="186">
        <v>0</v>
      </c>
      <c r="R57" s="183">
        <v>0</v>
      </c>
      <c r="S57" s="186">
        <v>0</v>
      </c>
      <c r="T57" s="183">
        <v>0</v>
      </c>
      <c r="U57" s="186">
        <v>0</v>
      </c>
      <c r="V57" s="183">
        <v>0</v>
      </c>
      <c r="W57" s="186">
        <v>0</v>
      </c>
      <c r="X57" s="186">
        <v>0</v>
      </c>
      <c r="Y57" s="186">
        <v>0</v>
      </c>
      <c r="Z57" s="183">
        <v>0</v>
      </c>
      <c r="AA57" s="186">
        <v>0</v>
      </c>
      <c r="AB57" s="183">
        <f t="shared" si="8"/>
        <v>0</v>
      </c>
      <c r="AC57" s="194">
        <f t="shared" si="9"/>
        <v>0</v>
      </c>
    </row>
    <row r="58" spans="1:29" s="303" customFormat="1" ht="36.75" customHeight="1" x14ac:dyDescent="0.25">
      <c r="A58" s="181" t="s">
        <v>55</v>
      </c>
      <c r="B58" s="190" t="s">
        <v>225</v>
      </c>
      <c r="C58" s="183">
        <f>'6.2. Паспорт фин осв ввод утв'!C58</f>
        <v>0</v>
      </c>
      <c r="D58" s="183">
        <f>'6.2. Паспорт фин осв ввод утв'!D58</f>
        <v>0</v>
      </c>
      <c r="E58" s="183">
        <f t="shared" si="4"/>
        <v>0</v>
      </c>
      <c r="F58" s="183">
        <f t="shared" si="5"/>
        <v>0</v>
      </c>
      <c r="G58" s="183">
        <v>0</v>
      </c>
      <c r="H58" s="183">
        <v>0</v>
      </c>
      <c r="I58" s="183">
        <v>0</v>
      </c>
      <c r="J58" s="191">
        <f t="shared" si="6"/>
        <v>0</v>
      </c>
      <c r="K58" s="183">
        <v>0</v>
      </c>
      <c r="L58" s="183">
        <f t="shared" si="12"/>
        <v>0</v>
      </c>
      <c r="M58" s="183">
        <v>0</v>
      </c>
      <c r="N58" s="191">
        <f t="shared" si="7"/>
        <v>0</v>
      </c>
      <c r="O58" s="183">
        <v>0</v>
      </c>
      <c r="P58" s="183">
        <v>0</v>
      </c>
      <c r="Q58" s="183">
        <v>0</v>
      </c>
      <c r="R58" s="183">
        <v>0</v>
      </c>
      <c r="S58" s="183">
        <v>0</v>
      </c>
      <c r="T58" s="183">
        <v>0</v>
      </c>
      <c r="U58" s="183">
        <v>0</v>
      </c>
      <c r="V58" s="183">
        <v>0</v>
      </c>
      <c r="W58" s="183">
        <v>0</v>
      </c>
      <c r="X58" s="183">
        <v>0</v>
      </c>
      <c r="Y58" s="183">
        <v>0</v>
      </c>
      <c r="Z58" s="183">
        <v>0</v>
      </c>
      <c r="AA58" s="183">
        <v>0</v>
      </c>
      <c r="AB58" s="183">
        <f t="shared" si="8"/>
        <v>0</v>
      </c>
      <c r="AC58" s="194">
        <f t="shared" si="9"/>
        <v>0</v>
      </c>
    </row>
    <row r="59" spans="1:29" s="303" customFormat="1" x14ac:dyDescent="0.25">
      <c r="A59" s="181" t="s">
        <v>53</v>
      </c>
      <c r="B59" s="182" t="s">
        <v>126</v>
      </c>
      <c r="C59" s="183">
        <f>'6.2. Паспорт фин осв ввод утв'!C59</f>
        <v>0</v>
      </c>
      <c r="D59" s="183">
        <f>'6.2. Паспорт фин осв ввод утв'!D59</f>
        <v>0</v>
      </c>
      <c r="E59" s="183">
        <f t="shared" si="4"/>
        <v>0</v>
      </c>
      <c r="F59" s="183">
        <f t="shared" si="5"/>
        <v>0</v>
      </c>
      <c r="G59" s="183">
        <v>0</v>
      </c>
      <c r="H59" s="183">
        <v>0</v>
      </c>
      <c r="I59" s="183">
        <v>0</v>
      </c>
      <c r="J59" s="183">
        <f t="shared" si="6"/>
        <v>0</v>
      </c>
      <c r="K59" s="183">
        <v>0</v>
      </c>
      <c r="L59" s="183">
        <f t="shared" si="12"/>
        <v>0</v>
      </c>
      <c r="M59" s="183">
        <v>0</v>
      </c>
      <c r="N59" s="183">
        <f t="shared" si="7"/>
        <v>0</v>
      </c>
      <c r="O59" s="183">
        <v>0</v>
      </c>
      <c r="P59" s="183">
        <v>0</v>
      </c>
      <c r="Q59" s="183">
        <v>0</v>
      </c>
      <c r="R59" s="183">
        <v>0</v>
      </c>
      <c r="S59" s="183">
        <v>0</v>
      </c>
      <c r="T59" s="183">
        <v>0</v>
      </c>
      <c r="U59" s="183">
        <v>0</v>
      </c>
      <c r="V59" s="183">
        <v>0</v>
      </c>
      <c r="W59" s="183">
        <v>0</v>
      </c>
      <c r="X59" s="183">
        <v>0</v>
      </c>
      <c r="Y59" s="183">
        <v>0</v>
      </c>
      <c r="Z59" s="183">
        <v>0</v>
      </c>
      <c r="AA59" s="183">
        <v>0</v>
      </c>
      <c r="AB59" s="183">
        <f t="shared" si="8"/>
        <v>0</v>
      </c>
      <c r="AC59" s="194">
        <f t="shared" si="9"/>
        <v>0</v>
      </c>
    </row>
    <row r="60" spans="1:29" x14ac:dyDescent="0.25">
      <c r="A60" s="184" t="s">
        <v>219</v>
      </c>
      <c r="B60" s="192" t="s">
        <v>147</v>
      </c>
      <c r="C60" s="183">
        <f>'6.2. Паспорт фин осв ввод утв'!C60</f>
        <v>0</v>
      </c>
      <c r="D60" s="183">
        <f>'6.2. Паспорт фин осв ввод утв'!D60</f>
        <v>0</v>
      </c>
      <c r="E60" s="183">
        <f t="shared" si="4"/>
        <v>0</v>
      </c>
      <c r="F60" s="183">
        <f t="shared" si="5"/>
        <v>0</v>
      </c>
      <c r="G60" s="183">
        <v>0</v>
      </c>
      <c r="H60" s="183">
        <v>0</v>
      </c>
      <c r="I60" s="186">
        <v>0</v>
      </c>
      <c r="J60" s="193">
        <f t="shared" si="6"/>
        <v>0</v>
      </c>
      <c r="K60" s="186">
        <v>0</v>
      </c>
      <c r="L60" s="183">
        <f t="shared" si="12"/>
        <v>0</v>
      </c>
      <c r="M60" s="186">
        <v>0</v>
      </c>
      <c r="N60" s="193">
        <f t="shared" si="7"/>
        <v>0</v>
      </c>
      <c r="O60" s="186">
        <v>0</v>
      </c>
      <c r="P60" s="183">
        <v>0</v>
      </c>
      <c r="Q60" s="186">
        <v>0</v>
      </c>
      <c r="R60" s="183">
        <v>0</v>
      </c>
      <c r="S60" s="186">
        <v>0</v>
      </c>
      <c r="T60" s="183">
        <v>0</v>
      </c>
      <c r="U60" s="186">
        <v>0</v>
      </c>
      <c r="V60" s="183">
        <v>0</v>
      </c>
      <c r="W60" s="186">
        <v>0</v>
      </c>
      <c r="X60" s="186">
        <v>0</v>
      </c>
      <c r="Y60" s="186">
        <v>0</v>
      </c>
      <c r="Z60" s="183">
        <v>0</v>
      </c>
      <c r="AA60" s="186">
        <v>0</v>
      </c>
      <c r="AB60" s="183">
        <f t="shared" si="8"/>
        <v>0</v>
      </c>
      <c r="AC60" s="194">
        <f t="shared" si="9"/>
        <v>0</v>
      </c>
    </row>
    <row r="61" spans="1:29" x14ac:dyDescent="0.25">
      <c r="A61" s="184" t="s">
        <v>220</v>
      </c>
      <c r="B61" s="192" t="s">
        <v>145</v>
      </c>
      <c r="C61" s="183">
        <f>'6.2. Паспорт фин осв ввод утв'!C61</f>
        <v>0</v>
      </c>
      <c r="D61" s="183">
        <f>'6.2. Паспорт фин осв ввод утв'!D61</f>
        <v>0</v>
      </c>
      <c r="E61" s="183">
        <f t="shared" si="4"/>
        <v>0</v>
      </c>
      <c r="F61" s="183">
        <f t="shared" si="5"/>
        <v>0</v>
      </c>
      <c r="G61" s="183">
        <v>0</v>
      </c>
      <c r="H61" s="183">
        <v>0</v>
      </c>
      <c r="I61" s="186">
        <v>0</v>
      </c>
      <c r="J61" s="193">
        <f t="shared" si="6"/>
        <v>0</v>
      </c>
      <c r="K61" s="186">
        <v>0</v>
      </c>
      <c r="L61" s="183">
        <f t="shared" si="12"/>
        <v>0</v>
      </c>
      <c r="M61" s="186">
        <v>0</v>
      </c>
      <c r="N61" s="193">
        <f t="shared" si="7"/>
        <v>0</v>
      </c>
      <c r="O61" s="186">
        <v>0</v>
      </c>
      <c r="P61" s="183">
        <v>0</v>
      </c>
      <c r="Q61" s="186">
        <v>0</v>
      </c>
      <c r="R61" s="183">
        <v>0</v>
      </c>
      <c r="S61" s="186">
        <v>0</v>
      </c>
      <c r="T61" s="183">
        <v>0</v>
      </c>
      <c r="U61" s="186">
        <v>0</v>
      </c>
      <c r="V61" s="183">
        <v>0</v>
      </c>
      <c r="W61" s="186">
        <v>0</v>
      </c>
      <c r="X61" s="186">
        <v>0</v>
      </c>
      <c r="Y61" s="186">
        <v>0</v>
      </c>
      <c r="Z61" s="183">
        <v>0</v>
      </c>
      <c r="AA61" s="186">
        <v>0</v>
      </c>
      <c r="AB61" s="183">
        <f t="shared" si="8"/>
        <v>0</v>
      </c>
      <c r="AC61" s="194">
        <f t="shared" si="9"/>
        <v>0</v>
      </c>
    </row>
    <row r="62" spans="1:29" x14ac:dyDescent="0.25">
      <c r="A62" s="184" t="s">
        <v>221</v>
      </c>
      <c r="B62" s="192" t="s">
        <v>143</v>
      </c>
      <c r="C62" s="183">
        <f>'6.2. Паспорт фин осв ввод утв'!C62</f>
        <v>0</v>
      </c>
      <c r="D62" s="183">
        <f>'6.2. Паспорт фин осв ввод утв'!D62</f>
        <v>0</v>
      </c>
      <c r="E62" s="183">
        <f t="shared" si="4"/>
        <v>0</v>
      </c>
      <c r="F62" s="183">
        <f t="shared" si="5"/>
        <v>0</v>
      </c>
      <c r="G62" s="183">
        <v>0</v>
      </c>
      <c r="H62" s="183">
        <v>0</v>
      </c>
      <c r="I62" s="186">
        <v>0</v>
      </c>
      <c r="J62" s="193">
        <f t="shared" si="6"/>
        <v>0</v>
      </c>
      <c r="K62" s="186">
        <v>0</v>
      </c>
      <c r="L62" s="183">
        <f t="shared" si="12"/>
        <v>0</v>
      </c>
      <c r="M62" s="186">
        <v>0</v>
      </c>
      <c r="N62" s="193">
        <f t="shared" si="7"/>
        <v>0</v>
      </c>
      <c r="O62" s="186">
        <v>0</v>
      </c>
      <c r="P62" s="183">
        <v>0</v>
      </c>
      <c r="Q62" s="186">
        <v>0</v>
      </c>
      <c r="R62" s="183">
        <v>0</v>
      </c>
      <c r="S62" s="186">
        <v>0</v>
      </c>
      <c r="T62" s="183">
        <v>0</v>
      </c>
      <c r="U62" s="186">
        <v>0</v>
      </c>
      <c r="V62" s="183">
        <v>0</v>
      </c>
      <c r="W62" s="186">
        <v>0</v>
      </c>
      <c r="X62" s="186">
        <v>0</v>
      </c>
      <c r="Y62" s="186">
        <v>0</v>
      </c>
      <c r="Z62" s="183">
        <v>0</v>
      </c>
      <c r="AA62" s="186">
        <v>0</v>
      </c>
      <c r="AB62" s="183">
        <f t="shared" si="8"/>
        <v>0</v>
      </c>
      <c r="AC62" s="194">
        <f t="shared" si="9"/>
        <v>0</v>
      </c>
    </row>
    <row r="63" spans="1:29" x14ac:dyDescent="0.25">
      <c r="A63" s="184" t="s">
        <v>222</v>
      </c>
      <c r="B63" s="192" t="s">
        <v>224</v>
      </c>
      <c r="C63" s="183">
        <v>0</v>
      </c>
      <c r="D63" s="183">
        <v>0</v>
      </c>
      <c r="E63" s="183">
        <f t="shared" si="4"/>
        <v>0</v>
      </c>
      <c r="F63" s="183">
        <f t="shared" si="5"/>
        <v>0</v>
      </c>
      <c r="G63" s="183">
        <v>0</v>
      </c>
      <c r="H63" s="183">
        <v>0</v>
      </c>
      <c r="I63" s="186">
        <v>0</v>
      </c>
      <c r="J63" s="193">
        <f t="shared" si="6"/>
        <v>0</v>
      </c>
      <c r="K63" s="186">
        <v>0</v>
      </c>
      <c r="L63" s="183">
        <v>0</v>
      </c>
      <c r="M63" s="186">
        <v>0</v>
      </c>
      <c r="N63" s="193">
        <v>0</v>
      </c>
      <c r="O63" s="186">
        <v>0</v>
      </c>
      <c r="P63" s="183">
        <v>0</v>
      </c>
      <c r="Q63" s="186">
        <v>0</v>
      </c>
      <c r="R63" s="183">
        <v>0</v>
      </c>
      <c r="S63" s="186">
        <v>0</v>
      </c>
      <c r="T63" s="183">
        <v>0</v>
      </c>
      <c r="U63" s="186">
        <v>0</v>
      </c>
      <c r="V63" s="183">
        <v>0</v>
      </c>
      <c r="W63" s="186">
        <v>0</v>
      </c>
      <c r="X63" s="186">
        <v>0</v>
      </c>
      <c r="Y63" s="186">
        <v>0</v>
      </c>
      <c r="Z63" s="183">
        <v>0</v>
      </c>
      <c r="AA63" s="186">
        <v>0</v>
      </c>
      <c r="AB63" s="183">
        <f t="shared" si="8"/>
        <v>0</v>
      </c>
      <c r="AC63" s="194">
        <f t="shared" si="9"/>
        <v>0</v>
      </c>
    </row>
    <row r="64" spans="1:29" ht="18.75" x14ac:dyDescent="0.25">
      <c r="A64" s="184" t="s">
        <v>223</v>
      </c>
      <c r="B64" s="188" t="s">
        <v>568</v>
      </c>
      <c r="C64" s="183">
        <f>'6.2. Паспорт фин осв ввод утв'!C64</f>
        <v>0</v>
      </c>
      <c r="D64" s="183">
        <f>'6.2. Паспорт фин осв ввод утв'!D64</f>
        <v>0</v>
      </c>
      <c r="E64" s="183">
        <f t="shared" si="4"/>
        <v>0</v>
      </c>
      <c r="F64" s="183">
        <f t="shared" si="5"/>
        <v>0</v>
      </c>
      <c r="G64" s="183">
        <v>0</v>
      </c>
      <c r="H64" s="183">
        <v>0</v>
      </c>
      <c r="I64" s="186">
        <v>0</v>
      </c>
      <c r="J64" s="189">
        <f t="shared" si="6"/>
        <v>0</v>
      </c>
      <c r="K64" s="186">
        <v>0</v>
      </c>
      <c r="L64" s="183">
        <f>C64</f>
        <v>0</v>
      </c>
      <c r="M64" s="186">
        <v>0</v>
      </c>
      <c r="N64" s="189">
        <f t="shared" si="7"/>
        <v>0</v>
      </c>
      <c r="O64" s="186">
        <v>0</v>
      </c>
      <c r="P64" s="183">
        <v>0</v>
      </c>
      <c r="Q64" s="186">
        <v>0</v>
      </c>
      <c r="R64" s="183">
        <v>0</v>
      </c>
      <c r="S64" s="186">
        <v>0</v>
      </c>
      <c r="T64" s="183">
        <v>0</v>
      </c>
      <c r="U64" s="186">
        <v>0</v>
      </c>
      <c r="V64" s="183">
        <v>0</v>
      </c>
      <c r="W64" s="186">
        <v>0</v>
      </c>
      <c r="X64" s="186">
        <v>0</v>
      </c>
      <c r="Y64" s="186">
        <v>0</v>
      </c>
      <c r="Z64" s="183">
        <v>0</v>
      </c>
      <c r="AA64" s="186">
        <v>0</v>
      </c>
      <c r="AB64" s="183">
        <f t="shared" si="8"/>
        <v>0</v>
      </c>
      <c r="AC64" s="194">
        <f t="shared" si="9"/>
        <v>0</v>
      </c>
    </row>
    <row r="65" spans="1:28" x14ac:dyDescent="0.25">
      <c r="A65" s="52"/>
      <c r="B65" s="47"/>
      <c r="C65" s="47"/>
      <c r="D65" s="47"/>
      <c r="E65" s="47"/>
      <c r="F65" s="47"/>
      <c r="G65" s="47"/>
    </row>
    <row r="66" spans="1:28" ht="54" customHeight="1" x14ac:dyDescent="0.25">
      <c r="B66" s="379"/>
      <c r="C66" s="379"/>
      <c r="D66" s="379"/>
      <c r="E66" s="379"/>
      <c r="F66" s="379"/>
      <c r="G66" s="49"/>
      <c r="H66" s="51"/>
      <c r="I66" s="51"/>
      <c r="J66" s="51"/>
      <c r="K66" s="51"/>
      <c r="L66" s="51"/>
      <c r="M66" s="51"/>
      <c r="N66" s="51"/>
      <c r="O66" s="51"/>
      <c r="P66" s="51"/>
      <c r="Q66" s="51"/>
      <c r="R66" s="51"/>
      <c r="S66" s="51"/>
      <c r="T66" s="51"/>
      <c r="U66" s="51"/>
      <c r="V66" s="51"/>
      <c r="W66" s="51"/>
      <c r="X66" s="51"/>
      <c r="Y66" s="51"/>
      <c r="Z66" s="51"/>
      <c r="AA66" s="51"/>
      <c r="AB66" s="51"/>
    </row>
    <row r="68" spans="1:28" ht="50.25" customHeight="1" x14ac:dyDescent="0.25">
      <c r="B68" s="379"/>
      <c r="C68" s="379"/>
      <c r="D68" s="379"/>
      <c r="E68" s="379"/>
      <c r="F68" s="379"/>
      <c r="G68" s="49"/>
    </row>
    <row r="70" spans="1:28" ht="36.75" customHeight="1" x14ac:dyDescent="0.25">
      <c r="B70" s="379"/>
      <c r="C70" s="379"/>
      <c r="D70" s="379"/>
      <c r="E70" s="379"/>
      <c r="F70" s="379"/>
      <c r="G70" s="49"/>
    </row>
    <row r="72" spans="1:28" ht="51" customHeight="1" x14ac:dyDescent="0.25">
      <c r="B72" s="379"/>
      <c r="C72" s="379"/>
      <c r="D72" s="379"/>
      <c r="E72" s="379"/>
      <c r="F72" s="379"/>
      <c r="G72" s="49"/>
    </row>
    <row r="73" spans="1:28" ht="32.25" customHeight="1" x14ac:dyDescent="0.25">
      <c r="B73" s="379"/>
      <c r="C73" s="379"/>
      <c r="D73" s="379"/>
      <c r="E73" s="379"/>
      <c r="F73" s="379"/>
      <c r="G73" s="49"/>
    </row>
    <row r="74" spans="1:28" ht="51.75" customHeight="1" x14ac:dyDescent="0.25">
      <c r="B74" s="379"/>
      <c r="C74" s="379"/>
      <c r="D74" s="379"/>
      <c r="E74" s="379"/>
      <c r="F74" s="379"/>
      <c r="G74" s="49"/>
    </row>
    <row r="75" spans="1:28" ht="21.75" customHeight="1" x14ac:dyDescent="0.25">
      <c r="B75" s="377"/>
      <c r="C75" s="377"/>
      <c r="D75" s="377"/>
      <c r="E75" s="377"/>
      <c r="F75" s="377"/>
      <c r="G75" s="48"/>
    </row>
    <row r="76" spans="1:28" ht="23.25" customHeight="1" x14ac:dyDescent="0.25"/>
    <row r="77" spans="1:28" ht="18.75" customHeight="1" x14ac:dyDescent="0.25">
      <c r="B77" s="378"/>
      <c r="C77" s="378"/>
      <c r="D77" s="378"/>
      <c r="E77" s="378"/>
      <c r="F77" s="378"/>
      <c r="G77" s="47"/>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H24:K24 M24 O24:Q24 H25:H64 P25:P64">
    <cfRule type="cellIs" dxfId="40" priority="68" operator="greaterThan">
      <formula>0</formula>
    </cfRule>
  </conditionalFormatting>
  <conditionalFormatting sqref="C31">
    <cfRule type="cellIs" dxfId="39" priority="67" operator="greaterThan">
      <formula>0</formula>
    </cfRule>
  </conditionalFormatting>
  <conditionalFormatting sqref="C31">
    <cfRule type="cellIs" dxfId="38" priority="66" operator="greaterThan">
      <formula>0</formula>
    </cfRule>
  </conditionalFormatting>
  <conditionalFormatting sqref="C31">
    <cfRule type="cellIs" dxfId="37" priority="65" operator="greaterThan">
      <formula>0</formula>
    </cfRule>
  </conditionalFormatting>
  <conditionalFormatting sqref="U24 X24:Y24 C24:C64 M24:M64 O24:Q24 H24:K64 P25:P64 E24:E64 AB24:AB64">
    <cfRule type="cellIs" dxfId="36" priority="64" operator="notEqual">
      <formula>0</formula>
    </cfRule>
  </conditionalFormatting>
  <conditionalFormatting sqref="U24 X24:Y24">
    <cfRule type="cellIs" dxfId="35" priority="63" operator="greaterThan">
      <formula>0</formula>
    </cfRule>
  </conditionalFormatting>
  <conditionalFormatting sqref="U24 X24:Y24">
    <cfRule type="cellIs" dxfId="34" priority="62" operator="greaterThan">
      <formula>0</formula>
    </cfRule>
  </conditionalFormatting>
  <conditionalFormatting sqref="U24 X24:Y24">
    <cfRule type="cellIs" dxfId="33" priority="61" operator="greaterThan">
      <formula>0</formula>
    </cfRule>
  </conditionalFormatting>
  <conditionalFormatting sqref="U25:U64 X25:Y64 O25:O64 Q25:Q64">
    <cfRule type="cellIs" dxfId="32" priority="55" operator="notEqual">
      <formula>0</formula>
    </cfRule>
  </conditionalFormatting>
  <conditionalFormatting sqref="F24:F64">
    <cfRule type="cellIs" dxfId="31" priority="40" operator="notEqual">
      <formula>0</formula>
    </cfRule>
  </conditionalFormatting>
  <conditionalFormatting sqref="G24:G64">
    <cfRule type="cellIs" dxfId="30" priority="33" operator="greaterThan">
      <formula>0</formula>
    </cfRule>
  </conditionalFormatting>
  <conditionalFormatting sqref="G24:G64">
    <cfRule type="cellIs" dxfId="29" priority="32" operator="notEqual">
      <formula>0</formula>
    </cfRule>
  </conditionalFormatting>
  <conditionalFormatting sqref="L24:L64">
    <cfRule type="cellIs" dxfId="28" priority="31" operator="greaterThan">
      <formula>0</formula>
    </cfRule>
  </conditionalFormatting>
  <conditionalFormatting sqref="L24:L64">
    <cfRule type="cellIs" dxfId="27" priority="30" operator="notEqual">
      <formula>0</formula>
    </cfRule>
  </conditionalFormatting>
  <conditionalFormatting sqref="N24">
    <cfRule type="cellIs" dxfId="26" priority="29" operator="greaterThan">
      <formula>0</formula>
    </cfRule>
  </conditionalFormatting>
  <conditionalFormatting sqref="N24:N64">
    <cfRule type="cellIs" dxfId="25" priority="28" operator="notEqual">
      <formula>0</formula>
    </cfRule>
  </conditionalFormatting>
  <conditionalFormatting sqref="AC24:AC64">
    <cfRule type="cellIs" dxfId="24" priority="27" operator="notEqual">
      <formula>0</formula>
    </cfRule>
  </conditionalFormatting>
  <conditionalFormatting sqref="T24:T64">
    <cfRule type="cellIs" dxfId="23" priority="26" operator="greaterThan">
      <formula>0</formula>
    </cfRule>
  </conditionalFormatting>
  <conditionalFormatting sqref="T24:T64">
    <cfRule type="cellIs" dxfId="22" priority="25" operator="notEqual">
      <formula>0</formula>
    </cfRule>
  </conditionalFormatting>
  <conditionalFormatting sqref="D30">
    <cfRule type="cellIs" dxfId="21" priority="24" operator="greaterThan">
      <formula>0</formula>
    </cfRule>
  </conditionalFormatting>
  <conditionalFormatting sqref="D31">
    <cfRule type="cellIs" dxfId="20" priority="23" operator="greaterThan">
      <formula>0</formula>
    </cfRule>
  </conditionalFormatting>
  <conditionalFormatting sqref="D31">
    <cfRule type="cellIs" dxfId="19" priority="22" operator="greaterThan">
      <formula>0</formula>
    </cfRule>
  </conditionalFormatting>
  <conditionalFormatting sqref="D31">
    <cfRule type="cellIs" dxfId="18" priority="21" operator="greaterThan">
      <formula>0</formula>
    </cfRule>
  </conditionalFormatting>
  <conditionalFormatting sqref="D24:D64">
    <cfRule type="cellIs" dxfId="17" priority="20" operator="notEqual">
      <formula>0</formula>
    </cfRule>
  </conditionalFormatting>
  <conditionalFormatting sqref="R24:S24 R24:R64">
    <cfRule type="cellIs" dxfId="16" priority="19" operator="greaterThan">
      <formula>0</formula>
    </cfRule>
  </conditionalFormatting>
  <conditionalFormatting sqref="R24:S24 R24:R64">
    <cfRule type="cellIs" dxfId="15" priority="18" operator="notEqual">
      <formula>0</formula>
    </cfRule>
  </conditionalFormatting>
  <conditionalFormatting sqref="S25:S64">
    <cfRule type="cellIs" dxfId="14" priority="17" operator="notEqual">
      <formula>0</formula>
    </cfRule>
  </conditionalFormatting>
  <conditionalFormatting sqref="W24">
    <cfRule type="cellIs" dxfId="13" priority="16" operator="notEqual">
      <formula>0</formula>
    </cfRule>
  </conditionalFormatting>
  <conditionalFormatting sqref="W24">
    <cfRule type="cellIs" dxfId="12" priority="15" operator="greaterThan">
      <formula>0</formula>
    </cfRule>
  </conditionalFormatting>
  <conditionalFormatting sqref="W24">
    <cfRule type="cellIs" dxfId="11" priority="14" operator="greaterThan">
      <formula>0</formula>
    </cfRule>
  </conditionalFormatting>
  <conditionalFormatting sqref="W24">
    <cfRule type="cellIs" dxfId="10" priority="13" operator="greaterThan">
      <formula>0</formula>
    </cfRule>
  </conditionalFormatting>
  <conditionalFormatting sqref="W25:W64">
    <cfRule type="cellIs" dxfId="9" priority="12" operator="notEqual">
      <formula>0</formula>
    </cfRule>
  </conditionalFormatting>
  <conditionalFormatting sqref="AA24">
    <cfRule type="cellIs" dxfId="8" priority="9" operator="notEqual">
      <formula>0</formula>
    </cfRule>
  </conditionalFormatting>
  <conditionalFormatting sqref="AA24">
    <cfRule type="cellIs" dxfId="7" priority="8" operator="greaterThan">
      <formula>0</formula>
    </cfRule>
  </conditionalFormatting>
  <conditionalFormatting sqref="AA24">
    <cfRule type="cellIs" dxfId="6" priority="7" operator="greaterThan">
      <formula>0</formula>
    </cfRule>
  </conditionalFormatting>
  <conditionalFormatting sqref="AA24">
    <cfRule type="cellIs" dxfId="5" priority="6" operator="greaterThan">
      <formula>0</formula>
    </cfRule>
  </conditionalFormatting>
  <conditionalFormatting sqref="AA25:AA64">
    <cfRule type="cellIs" dxfId="4" priority="5" operator="notEqual">
      <formula>0</formula>
    </cfRule>
  </conditionalFormatting>
  <conditionalFormatting sqref="Z24:Z64">
    <cfRule type="cellIs" dxfId="3" priority="4" operator="greaterThan">
      <formula>0</formula>
    </cfRule>
  </conditionalFormatting>
  <conditionalFormatting sqref="Z24:Z64">
    <cfRule type="cellIs" dxfId="2" priority="3" operator="notEqual">
      <formula>0</formula>
    </cfRule>
  </conditionalFormatting>
  <conditionalFormatting sqref="V24:V64">
    <cfRule type="cellIs" dxfId="1" priority="2" operator="greaterThan">
      <formula>0</formula>
    </cfRule>
  </conditionalFormatting>
  <conditionalFormatting sqref="V24:V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K1"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0" t="str">
        <f>'1. паспорт местоположение'!A5:C5</f>
        <v>Год раскрытия информации: 2023 год</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c r="AS5" s="310"/>
      <c r="AT5" s="310"/>
      <c r="AU5" s="310"/>
      <c r="AV5" s="310"/>
    </row>
    <row r="6" spans="1:48" ht="18.75" x14ac:dyDescent="0.3">
      <c r="AV6" s="12"/>
    </row>
    <row r="7" spans="1:48" ht="18.75" x14ac:dyDescent="0.25">
      <c r="A7" s="314" t="s">
        <v>6</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row>
    <row r="8" spans="1:4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4"/>
    </row>
    <row r="9" spans="1:48" x14ac:dyDescent="0.25">
      <c r="A9" s="321" t="str">
        <f>'1. паспорт местоположение'!A9:C9</f>
        <v xml:space="preserve">Акционерное общество "Западная энергетическая компания" </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5.75" x14ac:dyDescent="0.25">
      <c r="A10" s="311" t="s">
        <v>5</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row>
    <row r="11" spans="1:4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row>
    <row r="12" spans="1:48" x14ac:dyDescent="0.25">
      <c r="A12" s="321" t="str">
        <f>'1. паспорт местоположение'!A12:C12</f>
        <v>J 19-15</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x14ac:dyDescent="0.25">
      <c r="A13" s="311" t="s">
        <v>4</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c r="AP13" s="311"/>
      <c r="AQ13" s="311"/>
      <c r="AR13" s="311"/>
      <c r="AS13" s="311"/>
      <c r="AT13" s="311"/>
      <c r="AU13" s="311"/>
      <c r="AV13" s="311"/>
    </row>
    <row r="14" spans="1:48" ht="18.75" x14ac:dyDescent="0.25">
      <c r="A14" s="325"/>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325"/>
      <c r="AI14" s="325"/>
      <c r="AJ14" s="325"/>
      <c r="AK14" s="325"/>
      <c r="AL14" s="325"/>
      <c r="AM14" s="325"/>
      <c r="AN14" s="325"/>
      <c r="AO14" s="325"/>
      <c r="AP14" s="325"/>
      <c r="AQ14" s="325"/>
      <c r="AR14" s="325"/>
      <c r="AS14" s="325"/>
      <c r="AT14" s="325"/>
      <c r="AU14" s="325"/>
      <c r="AV14" s="325"/>
    </row>
    <row r="15" spans="1:48" x14ac:dyDescent="0.25">
      <c r="A15" s="321" t="str">
        <f>'1. паспорт местоположение'!A15</f>
        <v>Строительство КЛ 15 кВ от  РП-1 до ТП-1 пер. Комсомольский, г. Пионерский</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21"/>
      <c r="AQ15" s="321"/>
      <c r="AR15" s="321"/>
      <c r="AS15" s="321"/>
      <c r="AT15" s="321"/>
      <c r="AU15" s="321"/>
      <c r="AV15" s="321"/>
    </row>
    <row r="16" spans="1:48" ht="15.75" x14ac:dyDescent="0.25">
      <c r="A16" s="311" t="s">
        <v>3</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c r="AS16" s="311"/>
      <c r="AT16" s="311"/>
      <c r="AU16" s="311"/>
      <c r="AV16" s="311"/>
    </row>
    <row r="17" spans="1:4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row>
    <row r="18" spans="1:48"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row>
    <row r="19" spans="1:4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row>
    <row r="20" spans="1:4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row>
    <row r="21" spans="1:48" x14ac:dyDescent="0.25">
      <c r="A21" s="415" t="s">
        <v>436</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ht="58.5" customHeight="1" x14ac:dyDescent="0.25">
      <c r="A22" s="406" t="s">
        <v>49</v>
      </c>
      <c r="B22" s="417" t="s">
        <v>21</v>
      </c>
      <c r="C22" s="406" t="s">
        <v>48</v>
      </c>
      <c r="D22" s="406" t="s">
        <v>47</v>
      </c>
      <c r="E22" s="420" t="s">
        <v>447</v>
      </c>
      <c r="F22" s="421"/>
      <c r="G22" s="421"/>
      <c r="H22" s="421"/>
      <c r="I22" s="421"/>
      <c r="J22" s="421"/>
      <c r="K22" s="421"/>
      <c r="L22" s="422"/>
      <c r="M22" s="406" t="s">
        <v>46</v>
      </c>
      <c r="N22" s="406" t="s">
        <v>45</v>
      </c>
      <c r="O22" s="406" t="s">
        <v>44</v>
      </c>
      <c r="P22" s="401" t="s">
        <v>232</v>
      </c>
      <c r="Q22" s="401" t="s">
        <v>43</v>
      </c>
      <c r="R22" s="401" t="s">
        <v>42</v>
      </c>
      <c r="S22" s="401" t="s">
        <v>41</v>
      </c>
      <c r="T22" s="401"/>
      <c r="U22" s="423" t="s">
        <v>40</v>
      </c>
      <c r="V22" s="423" t="s">
        <v>39</v>
      </c>
      <c r="W22" s="401" t="s">
        <v>38</v>
      </c>
      <c r="X22" s="401" t="s">
        <v>37</v>
      </c>
      <c r="Y22" s="401" t="s">
        <v>36</v>
      </c>
      <c r="Z22" s="408" t="s">
        <v>35</v>
      </c>
      <c r="AA22" s="401" t="s">
        <v>34</v>
      </c>
      <c r="AB22" s="401" t="s">
        <v>33</v>
      </c>
      <c r="AC22" s="401" t="s">
        <v>32</v>
      </c>
      <c r="AD22" s="401" t="s">
        <v>31</v>
      </c>
      <c r="AE22" s="401" t="s">
        <v>30</v>
      </c>
      <c r="AF22" s="401" t="s">
        <v>29</v>
      </c>
      <c r="AG22" s="401"/>
      <c r="AH22" s="401"/>
      <c r="AI22" s="401"/>
      <c r="AJ22" s="401"/>
      <c r="AK22" s="401"/>
      <c r="AL22" s="401" t="s">
        <v>28</v>
      </c>
      <c r="AM22" s="401"/>
      <c r="AN22" s="401"/>
      <c r="AO22" s="401"/>
      <c r="AP22" s="401" t="s">
        <v>27</v>
      </c>
      <c r="AQ22" s="401"/>
      <c r="AR22" s="401" t="s">
        <v>26</v>
      </c>
      <c r="AS22" s="401" t="s">
        <v>25</v>
      </c>
      <c r="AT22" s="401" t="s">
        <v>24</v>
      </c>
      <c r="AU22" s="401" t="s">
        <v>23</v>
      </c>
      <c r="AV22" s="409" t="s">
        <v>22</v>
      </c>
    </row>
    <row r="23" spans="1:48" ht="64.5" customHeight="1" x14ac:dyDescent="0.25">
      <c r="A23" s="416"/>
      <c r="B23" s="418"/>
      <c r="C23" s="416"/>
      <c r="D23" s="416"/>
      <c r="E23" s="411" t="s">
        <v>20</v>
      </c>
      <c r="F23" s="402" t="s">
        <v>125</v>
      </c>
      <c r="G23" s="402" t="s">
        <v>124</v>
      </c>
      <c r="H23" s="402" t="s">
        <v>123</v>
      </c>
      <c r="I23" s="404" t="s">
        <v>357</v>
      </c>
      <c r="J23" s="404" t="s">
        <v>358</v>
      </c>
      <c r="K23" s="404" t="s">
        <v>359</v>
      </c>
      <c r="L23" s="402" t="s">
        <v>73</v>
      </c>
      <c r="M23" s="416"/>
      <c r="N23" s="416"/>
      <c r="O23" s="416"/>
      <c r="P23" s="401"/>
      <c r="Q23" s="401"/>
      <c r="R23" s="401"/>
      <c r="S23" s="413" t="s">
        <v>1</v>
      </c>
      <c r="T23" s="413" t="s">
        <v>8</v>
      </c>
      <c r="U23" s="423"/>
      <c r="V23" s="423"/>
      <c r="W23" s="401"/>
      <c r="X23" s="401"/>
      <c r="Y23" s="401"/>
      <c r="Z23" s="401"/>
      <c r="AA23" s="401"/>
      <c r="AB23" s="401"/>
      <c r="AC23" s="401"/>
      <c r="AD23" s="401"/>
      <c r="AE23" s="401"/>
      <c r="AF23" s="401" t="s">
        <v>19</v>
      </c>
      <c r="AG23" s="401"/>
      <c r="AH23" s="401" t="s">
        <v>18</v>
      </c>
      <c r="AI23" s="401"/>
      <c r="AJ23" s="406" t="s">
        <v>17</v>
      </c>
      <c r="AK23" s="406" t="s">
        <v>16</v>
      </c>
      <c r="AL23" s="406" t="s">
        <v>15</v>
      </c>
      <c r="AM23" s="406" t="s">
        <v>14</v>
      </c>
      <c r="AN23" s="406" t="s">
        <v>13</v>
      </c>
      <c r="AO23" s="406" t="s">
        <v>12</v>
      </c>
      <c r="AP23" s="406" t="s">
        <v>11</v>
      </c>
      <c r="AQ23" s="424" t="s">
        <v>8</v>
      </c>
      <c r="AR23" s="401"/>
      <c r="AS23" s="401"/>
      <c r="AT23" s="401"/>
      <c r="AU23" s="401"/>
      <c r="AV23" s="410"/>
    </row>
    <row r="24" spans="1:48" ht="96.75" customHeight="1" x14ac:dyDescent="0.25">
      <c r="A24" s="407"/>
      <c r="B24" s="419"/>
      <c r="C24" s="407"/>
      <c r="D24" s="407"/>
      <c r="E24" s="412"/>
      <c r="F24" s="403"/>
      <c r="G24" s="403"/>
      <c r="H24" s="403"/>
      <c r="I24" s="405"/>
      <c r="J24" s="405"/>
      <c r="K24" s="405"/>
      <c r="L24" s="403"/>
      <c r="M24" s="407"/>
      <c r="N24" s="407"/>
      <c r="O24" s="407"/>
      <c r="P24" s="401"/>
      <c r="Q24" s="401"/>
      <c r="R24" s="401"/>
      <c r="S24" s="414"/>
      <c r="T24" s="414"/>
      <c r="U24" s="423"/>
      <c r="V24" s="423"/>
      <c r="W24" s="401"/>
      <c r="X24" s="401"/>
      <c r="Y24" s="401"/>
      <c r="Z24" s="401"/>
      <c r="AA24" s="401"/>
      <c r="AB24" s="401"/>
      <c r="AC24" s="401"/>
      <c r="AD24" s="401"/>
      <c r="AE24" s="401"/>
      <c r="AF24" s="115" t="s">
        <v>10</v>
      </c>
      <c r="AG24" s="115" t="s">
        <v>9</v>
      </c>
      <c r="AH24" s="116" t="s">
        <v>1</v>
      </c>
      <c r="AI24" s="116" t="s">
        <v>8</v>
      </c>
      <c r="AJ24" s="407"/>
      <c r="AK24" s="407"/>
      <c r="AL24" s="407"/>
      <c r="AM24" s="407"/>
      <c r="AN24" s="407"/>
      <c r="AO24" s="407"/>
      <c r="AP24" s="407"/>
      <c r="AQ24" s="425"/>
      <c r="AR24" s="401"/>
      <c r="AS24" s="401"/>
      <c r="AT24" s="401"/>
      <c r="AU24" s="401"/>
      <c r="AV24" s="410"/>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68">
        <v>1</v>
      </c>
      <c r="B26" s="169"/>
      <c r="C26" s="169"/>
      <c r="D26" s="170"/>
      <c r="E26" s="19"/>
      <c r="F26" s="19"/>
      <c r="G26" s="19"/>
      <c r="H26" s="19"/>
      <c r="I26" s="19"/>
      <c r="J26" s="19"/>
      <c r="K26" s="195"/>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6" sqref="B26"/>
    </sheetView>
  </sheetViews>
  <sheetFormatPr defaultRowHeight="15.75" x14ac:dyDescent="0.25"/>
  <cols>
    <col min="1" max="2" width="66.140625" style="89" customWidth="1"/>
    <col min="3" max="3" width="0" style="46" hidden="1" customWidth="1"/>
    <col min="4" max="256" width="8.85546875" style="46"/>
    <col min="257" max="258" width="66.140625" style="46" customWidth="1"/>
    <col min="259" max="512" width="8.85546875" style="46"/>
    <col min="513" max="514" width="66.140625" style="46" customWidth="1"/>
    <col min="515" max="768" width="8.85546875" style="46"/>
    <col min="769" max="770" width="66.140625" style="46" customWidth="1"/>
    <col min="771" max="1024" width="8.85546875" style="46"/>
    <col min="1025" max="1026" width="66.140625" style="46" customWidth="1"/>
    <col min="1027" max="1280" width="8.85546875" style="46"/>
    <col min="1281" max="1282" width="66.140625" style="46" customWidth="1"/>
    <col min="1283" max="1536" width="8.85546875" style="46"/>
    <col min="1537" max="1538" width="66.140625" style="46" customWidth="1"/>
    <col min="1539" max="1792" width="8.85546875" style="46"/>
    <col min="1793" max="1794" width="66.140625" style="46" customWidth="1"/>
    <col min="1795" max="2048" width="8.85546875" style="46"/>
    <col min="2049" max="2050" width="66.140625" style="46" customWidth="1"/>
    <col min="2051" max="2304" width="8.85546875" style="46"/>
    <col min="2305" max="2306" width="66.140625" style="46" customWidth="1"/>
    <col min="2307" max="2560" width="8.85546875" style="46"/>
    <col min="2561" max="2562" width="66.140625" style="46" customWidth="1"/>
    <col min="2563" max="2816" width="8.85546875" style="46"/>
    <col min="2817" max="2818" width="66.140625" style="46" customWidth="1"/>
    <col min="2819" max="3072" width="8.85546875" style="46"/>
    <col min="3073" max="3074" width="66.140625" style="46" customWidth="1"/>
    <col min="3075" max="3328" width="8.85546875" style="46"/>
    <col min="3329" max="3330" width="66.140625" style="46" customWidth="1"/>
    <col min="3331" max="3584" width="8.85546875" style="46"/>
    <col min="3585" max="3586" width="66.140625" style="46" customWidth="1"/>
    <col min="3587" max="3840" width="8.85546875" style="46"/>
    <col min="3841" max="3842" width="66.140625" style="46" customWidth="1"/>
    <col min="3843" max="4096" width="8.85546875" style="46"/>
    <col min="4097" max="4098" width="66.140625" style="46" customWidth="1"/>
    <col min="4099" max="4352" width="8.85546875" style="46"/>
    <col min="4353" max="4354" width="66.140625" style="46" customWidth="1"/>
    <col min="4355" max="4608" width="8.85546875" style="46"/>
    <col min="4609" max="4610" width="66.140625" style="46" customWidth="1"/>
    <col min="4611" max="4864" width="8.85546875" style="46"/>
    <col min="4865" max="4866" width="66.140625" style="46" customWidth="1"/>
    <col min="4867" max="5120" width="8.85546875" style="46"/>
    <col min="5121" max="5122" width="66.140625" style="46" customWidth="1"/>
    <col min="5123" max="5376" width="8.85546875" style="46"/>
    <col min="5377" max="5378" width="66.140625" style="46" customWidth="1"/>
    <col min="5379" max="5632" width="8.85546875" style="46"/>
    <col min="5633" max="5634" width="66.140625" style="46" customWidth="1"/>
    <col min="5635" max="5888" width="8.85546875" style="46"/>
    <col min="5889" max="5890" width="66.140625" style="46" customWidth="1"/>
    <col min="5891" max="6144" width="8.85546875" style="46"/>
    <col min="6145" max="6146" width="66.140625" style="46" customWidth="1"/>
    <col min="6147" max="6400" width="8.85546875" style="46"/>
    <col min="6401" max="6402" width="66.140625" style="46" customWidth="1"/>
    <col min="6403" max="6656" width="8.85546875" style="46"/>
    <col min="6657" max="6658" width="66.140625" style="46" customWidth="1"/>
    <col min="6659" max="6912" width="8.85546875" style="46"/>
    <col min="6913" max="6914" width="66.140625" style="46" customWidth="1"/>
    <col min="6915" max="7168" width="8.85546875" style="46"/>
    <col min="7169" max="7170" width="66.140625" style="46" customWidth="1"/>
    <col min="7171" max="7424" width="8.85546875" style="46"/>
    <col min="7425" max="7426" width="66.140625" style="46" customWidth="1"/>
    <col min="7427" max="7680" width="8.85546875" style="46"/>
    <col min="7681" max="7682" width="66.140625" style="46" customWidth="1"/>
    <col min="7683" max="7936" width="8.85546875" style="46"/>
    <col min="7937" max="7938" width="66.140625" style="46" customWidth="1"/>
    <col min="7939" max="8192" width="8.85546875" style="46"/>
    <col min="8193" max="8194" width="66.140625" style="46" customWidth="1"/>
    <col min="8195" max="8448" width="8.85546875" style="46"/>
    <col min="8449" max="8450" width="66.140625" style="46" customWidth="1"/>
    <col min="8451" max="8704" width="8.85546875" style="46"/>
    <col min="8705" max="8706" width="66.140625" style="46" customWidth="1"/>
    <col min="8707" max="8960" width="8.85546875" style="46"/>
    <col min="8961" max="8962" width="66.140625" style="46" customWidth="1"/>
    <col min="8963" max="9216" width="8.85546875" style="46"/>
    <col min="9217" max="9218" width="66.140625" style="46" customWidth="1"/>
    <col min="9219" max="9472" width="8.85546875" style="46"/>
    <col min="9473" max="9474" width="66.140625" style="46" customWidth="1"/>
    <col min="9475" max="9728" width="8.85546875" style="46"/>
    <col min="9729" max="9730" width="66.140625" style="46" customWidth="1"/>
    <col min="9731" max="9984" width="8.85546875" style="46"/>
    <col min="9985" max="9986" width="66.140625" style="46" customWidth="1"/>
    <col min="9987" max="10240" width="8.85546875" style="46"/>
    <col min="10241" max="10242" width="66.140625" style="46" customWidth="1"/>
    <col min="10243" max="10496" width="8.85546875" style="46"/>
    <col min="10497" max="10498" width="66.140625" style="46" customWidth="1"/>
    <col min="10499" max="10752" width="8.85546875" style="46"/>
    <col min="10753" max="10754" width="66.140625" style="46" customWidth="1"/>
    <col min="10755" max="11008" width="8.85546875" style="46"/>
    <col min="11009" max="11010" width="66.140625" style="46" customWidth="1"/>
    <col min="11011" max="11264" width="8.85546875" style="46"/>
    <col min="11265" max="11266" width="66.140625" style="46" customWidth="1"/>
    <col min="11267" max="11520" width="8.85546875" style="46"/>
    <col min="11521" max="11522" width="66.140625" style="46" customWidth="1"/>
    <col min="11523" max="11776" width="8.85546875" style="46"/>
    <col min="11777" max="11778" width="66.140625" style="46" customWidth="1"/>
    <col min="11779" max="12032" width="8.85546875" style="46"/>
    <col min="12033" max="12034" width="66.140625" style="46" customWidth="1"/>
    <col min="12035" max="12288" width="8.85546875" style="46"/>
    <col min="12289" max="12290" width="66.140625" style="46" customWidth="1"/>
    <col min="12291" max="12544" width="8.85546875" style="46"/>
    <col min="12545" max="12546" width="66.140625" style="46" customWidth="1"/>
    <col min="12547" max="12800" width="8.85546875" style="46"/>
    <col min="12801" max="12802" width="66.140625" style="46" customWidth="1"/>
    <col min="12803" max="13056" width="8.85546875" style="46"/>
    <col min="13057" max="13058" width="66.140625" style="46" customWidth="1"/>
    <col min="13059" max="13312" width="8.85546875" style="46"/>
    <col min="13313" max="13314" width="66.140625" style="46" customWidth="1"/>
    <col min="13315" max="13568" width="8.85546875" style="46"/>
    <col min="13569" max="13570" width="66.140625" style="46" customWidth="1"/>
    <col min="13571" max="13824" width="8.85546875" style="46"/>
    <col min="13825" max="13826" width="66.140625" style="46" customWidth="1"/>
    <col min="13827" max="14080" width="8.85546875" style="46"/>
    <col min="14081" max="14082" width="66.140625" style="46" customWidth="1"/>
    <col min="14083" max="14336" width="8.85546875" style="46"/>
    <col min="14337" max="14338" width="66.140625" style="46" customWidth="1"/>
    <col min="14339" max="14592" width="8.85546875" style="46"/>
    <col min="14593" max="14594" width="66.140625" style="46" customWidth="1"/>
    <col min="14595" max="14848" width="8.85546875" style="46"/>
    <col min="14849" max="14850" width="66.140625" style="46" customWidth="1"/>
    <col min="14851" max="15104" width="8.85546875" style="46"/>
    <col min="15105" max="15106" width="66.140625" style="46" customWidth="1"/>
    <col min="15107" max="15360" width="8.85546875" style="46"/>
    <col min="15361" max="15362" width="66.140625" style="46" customWidth="1"/>
    <col min="15363" max="15616" width="8.85546875" style="46"/>
    <col min="15617" max="15618" width="66.140625" style="46" customWidth="1"/>
    <col min="15619" max="15872" width="8.85546875" style="46"/>
    <col min="15873" max="15874" width="66.140625" style="46" customWidth="1"/>
    <col min="15875" max="16128" width="8.85546875" style="46"/>
    <col min="16129" max="16130" width="66.140625" style="46" customWidth="1"/>
    <col min="16131" max="16384" width="8.85546875" style="46"/>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2" t="str">
        <f>'1. паспорт местоположение'!A5:C5</f>
        <v>Год раскрытия информации: 2023 год</v>
      </c>
      <c r="B5" s="432"/>
      <c r="C5" s="64"/>
      <c r="D5" s="64"/>
      <c r="E5" s="64"/>
      <c r="F5" s="64"/>
      <c r="G5" s="64"/>
      <c r="H5" s="64"/>
    </row>
    <row r="6" spans="1:8" ht="18.75" x14ac:dyDescent="0.3">
      <c r="A6" s="132"/>
      <c r="B6" s="132"/>
      <c r="C6" s="132"/>
      <c r="D6" s="132"/>
      <c r="E6" s="132"/>
      <c r="F6" s="132"/>
      <c r="G6" s="132"/>
      <c r="H6" s="132"/>
    </row>
    <row r="7" spans="1:8" ht="18.75" x14ac:dyDescent="0.25">
      <c r="A7" s="314" t="s">
        <v>6</v>
      </c>
      <c r="B7" s="314"/>
      <c r="C7" s="10"/>
      <c r="D7" s="10"/>
      <c r="E7" s="10"/>
      <c r="F7" s="10"/>
      <c r="G7" s="10"/>
      <c r="H7" s="10"/>
    </row>
    <row r="8" spans="1:8" ht="18.75" x14ac:dyDescent="0.25">
      <c r="A8" s="10"/>
      <c r="B8" s="10"/>
      <c r="C8" s="10"/>
      <c r="D8" s="10"/>
      <c r="E8" s="10"/>
      <c r="F8" s="10"/>
      <c r="G8" s="10"/>
      <c r="H8" s="10"/>
    </row>
    <row r="9" spans="1:8" x14ac:dyDescent="0.25">
      <c r="A9" s="321" t="str">
        <f>'1. паспорт местоположение'!A9:C9</f>
        <v xml:space="preserve">Акционерное общество "Западная энергетическая компания" </v>
      </c>
      <c r="B9" s="321"/>
      <c r="C9" s="7"/>
      <c r="D9" s="7"/>
      <c r="E9" s="7"/>
      <c r="F9" s="7"/>
      <c r="G9" s="7"/>
      <c r="H9" s="7"/>
    </row>
    <row r="10" spans="1:8" x14ac:dyDescent="0.25">
      <c r="A10" s="311" t="s">
        <v>5</v>
      </c>
      <c r="B10" s="311"/>
      <c r="C10" s="5"/>
      <c r="D10" s="5"/>
      <c r="E10" s="5"/>
      <c r="F10" s="5"/>
      <c r="G10" s="5"/>
      <c r="H10" s="5"/>
    </row>
    <row r="11" spans="1:8" ht="18.75" x14ac:dyDescent="0.25">
      <c r="A11" s="10"/>
      <c r="B11" s="10"/>
      <c r="C11" s="10"/>
      <c r="D11" s="10"/>
      <c r="E11" s="10"/>
      <c r="F11" s="10"/>
      <c r="G11" s="10"/>
      <c r="H11" s="10"/>
    </row>
    <row r="12" spans="1:8" ht="30.75" customHeight="1" x14ac:dyDescent="0.25">
      <c r="A12" s="321" t="str">
        <f>'1. паспорт местоположение'!A12:C12</f>
        <v>J 19-15</v>
      </c>
      <c r="B12" s="321"/>
      <c r="C12" s="7"/>
      <c r="D12" s="7"/>
      <c r="E12" s="7"/>
      <c r="F12" s="7"/>
      <c r="G12" s="7"/>
      <c r="H12" s="7"/>
    </row>
    <row r="13" spans="1:8" x14ac:dyDescent="0.25">
      <c r="A13" s="311" t="s">
        <v>4</v>
      </c>
      <c r="B13" s="311"/>
      <c r="C13" s="5"/>
      <c r="D13" s="5"/>
      <c r="E13" s="5"/>
      <c r="F13" s="5"/>
      <c r="G13" s="5"/>
      <c r="H13" s="5"/>
    </row>
    <row r="14" spans="1:8" ht="18.75" x14ac:dyDescent="0.25">
      <c r="A14" s="9"/>
      <c r="B14" s="9"/>
      <c r="C14" s="9"/>
      <c r="D14" s="9"/>
      <c r="E14" s="9"/>
      <c r="F14" s="9"/>
      <c r="G14" s="9"/>
      <c r="H14" s="9"/>
    </row>
    <row r="15" spans="1:8" ht="39" customHeight="1" x14ac:dyDescent="0.25">
      <c r="A15" s="426" t="str">
        <f>'1. паспорт местоположение'!A15:C15</f>
        <v>Строительство КЛ 15 кВ от  РП-1 до ТП-1 пер. Комсомольский, г. Пионерский</v>
      </c>
      <c r="B15" s="343"/>
      <c r="C15" s="7"/>
      <c r="D15" s="7"/>
      <c r="E15" s="7"/>
      <c r="F15" s="7"/>
      <c r="G15" s="7"/>
      <c r="H15" s="7"/>
    </row>
    <row r="16" spans="1:8" x14ac:dyDescent="0.25">
      <c r="A16" s="311" t="s">
        <v>3</v>
      </c>
      <c r="B16" s="311"/>
      <c r="C16" s="5"/>
      <c r="D16" s="5"/>
      <c r="E16" s="5"/>
      <c r="F16" s="5"/>
      <c r="G16" s="5"/>
      <c r="H16" s="5"/>
    </row>
    <row r="17" spans="1:2" x14ac:dyDescent="0.25">
      <c r="B17" s="90"/>
    </row>
    <row r="18" spans="1:2" ht="33.75" customHeight="1" x14ac:dyDescent="0.25">
      <c r="A18" s="427" t="s">
        <v>437</v>
      </c>
      <c r="B18" s="428"/>
    </row>
    <row r="19" spans="1:2" x14ac:dyDescent="0.25">
      <c r="B19" s="32"/>
    </row>
    <row r="20" spans="1:2" ht="16.5" thickBot="1" x14ac:dyDescent="0.3">
      <c r="B20" s="91"/>
    </row>
    <row r="21" spans="1:2" ht="55.5" customHeight="1" thickBot="1" x14ac:dyDescent="0.3">
      <c r="A21" s="92" t="s">
        <v>307</v>
      </c>
      <c r="B21" s="130" t="str">
        <f>A15</f>
        <v>Строительство КЛ 15 кВ от  РП-1 до ТП-1 пер. Комсомольский, г. Пионерский</v>
      </c>
    </row>
    <row r="22" spans="1:2" ht="16.5" thickBot="1" x14ac:dyDescent="0.3">
      <c r="A22" s="92" t="s">
        <v>308</v>
      </c>
      <c r="B22" s="215" t="str">
        <f>'1. паспорт местоположение'!C27</f>
        <v>Зеленоградский район</v>
      </c>
    </row>
    <row r="23" spans="1:2" ht="16.5" thickBot="1" x14ac:dyDescent="0.3">
      <c r="A23" s="92" t="s">
        <v>288</v>
      </c>
      <c r="B23" s="93" t="s">
        <v>581</v>
      </c>
    </row>
    <row r="24" spans="1:2" ht="16.5" thickBot="1" x14ac:dyDescent="0.3">
      <c r="A24" s="92" t="s">
        <v>309</v>
      </c>
      <c r="B24" s="93">
        <f>'6.2. Паспорт фин осв ввод'!C56</f>
        <v>0.6</v>
      </c>
    </row>
    <row r="25" spans="1:2" ht="16.5" thickBot="1" x14ac:dyDescent="0.3">
      <c r="A25" s="94" t="s">
        <v>310</v>
      </c>
      <c r="B25" s="209">
        <f>'6.1. Паспорт сетевой график'!H54</f>
        <v>45290</v>
      </c>
    </row>
    <row r="26" spans="1:2" ht="16.5" thickBot="1" x14ac:dyDescent="0.3">
      <c r="A26" s="95" t="s">
        <v>311</v>
      </c>
      <c r="B26" s="96" t="s">
        <v>559</v>
      </c>
    </row>
    <row r="27" spans="1:2" ht="29.25" thickBot="1" x14ac:dyDescent="0.3">
      <c r="A27" s="103" t="s">
        <v>588</v>
      </c>
      <c r="B27" s="214">
        <f>'6.2. Паспорт фин осв ввод'!C24</f>
        <v>3.8902892696705909</v>
      </c>
    </row>
    <row r="28" spans="1:2" ht="48" customHeight="1" thickBot="1" x14ac:dyDescent="0.3">
      <c r="A28" s="98" t="s">
        <v>312</v>
      </c>
      <c r="B28" s="173" t="s">
        <v>574</v>
      </c>
    </row>
    <row r="29" spans="1:2" ht="29.25" thickBot="1" x14ac:dyDescent="0.3">
      <c r="A29" s="104" t="s">
        <v>313</v>
      </c>
      <c r="B29" s="196">
        <f>B30</f>
        <v>0</v>
      </c>
    </row>
    <row r="30" spans="1:2" ht="29.25" thickBot="1" x14ac:dyDescent="0.3">
      <c r="A30" s="104" t="s">
        <v>314</v>
      </c>
      <c r="B30" s="196">
        <f>B32+B41+B58</f>
        <v>0</v>
      </c>
    </row>
    <row r="31" spans="1:2" ht="16.5" thickBot="1" x14ac:dyDescent="0.3">
      <c r="A31" s="98" t="s">
        <v>315</v>
      </c>
      <c r="B31" s="196"/>
    </row>
    <row r="32" spans="1:2" ht="29.25" thickBot="1" x14ac:dyDescent="0.3">
      <c r="A32" s="104" t="s">
        <v>316</v>
      </c>
      <c r="B32" s="196">
        <f>B33+B37</f>
        <v>0</v>
      </c>
    </row>
    <row r="33" spans="1:3" s="136" customFormat="1" ht="16.5" thickBot="1" x14ac:dyDescent="0.3">
      <c r="A33" s="135" t="s">
        <v>317</v>
      </c>
      <c r="B33" s="197">
        <v>0</v>
      </c>
    </row>
    <row r="34" spans="1:3" ht="16.5" thickBot="1" x14ac:dyDescent="0.3">
      <c r="A34" s="98" t="s">
        <v>318</v>
      </c>
      <c r="B34" s="137">
        <f>B33/$B$27</f>
        <v>0</v>
      </c>
    </row>
    <row r="35" spans="1:3" ht="16.5" thickBot="1" x14ac:dyDescent="0.3">
      <c r="A35" s="98" t="s">
        <v>319</v>
      </c>
      <c r="B35" s="196">
        <v>0</v>
      </c>
      <c r="C35" s="46">
        <v>1</v>
      </c>
    </row>
    <row r="36" spans="1:3" ht="16.5" thickBot="1" x14ac:dyDescent="0.3">
      <c r="A36" s="98" t="s">
        <v>320</v>
      </c>
      <c r="B36" s="196">
        <v>0</v>
      </c>
      <c r="C36" s="46">
        <v>2</v>
      </c>
    </row>
    <row r="37" spans="1:3" s="136" customFormat="1" ht="16.5" thickBot="1" x14ac:dyDescent="0.3">
      <c r="A37" s="135" t="s">
        <v>317</v>
      </c>
      <c r="B37" s="197">
        <v>0</v>
      </c>
    </row>
    <row r="38" spans="1:3" ht="16.5" thickBot="1" x14ac:dyDescent="0.3">
      <c r="A38" s="98" t="s">
        <v>318</v>
      </c>
      <c r="B38" s="137">
        <f>B37/$B$27</f>
        <v>0</v>
      </c>
    </row>
    <row r="39" spans="1:3" ht="16.5" thickBot="1" x14ac:dyDescent="0.3">
      <c r="A39" s="98" t="s">
        <v>319</v>
      </c>
      <c r="B39" s="196">
        <v>0</v>
      </c>
      <c r="C39" s="46">
        <v>1</v>
      </c>
    </row>
    <row r="40" spans="1:3" ht="16.5" thickBot="1" x14ac:dyDescent="0.3">
      <c r="A40" s="98" t="s">
        <v>320</v>
      </c>
      <c r="B40" s="196">
        <v>0</v>
      </c>
      <c r="C40" s="46">
        <v>2</v>
      </c>
    </row>
    <row r="41" spans="1:3" ht="29.25" thickBot="1" x14ac:dyDescent="0.3">
      <c r="A41" s="104" t="s">
        <v>321</v>
      </c>
      <c r="B41" s="196">
        <f>B42+B46+B50+B54</f>
        <v>0</v>
      </c>
    </row>
    <row r="42" spans="1:3" s="136" customFormat="1" ht="16.5" thickBot="1" x14ac:dyDescent="0.3">
      <c r="A42" s="135" t="s">
        <v>317</v>
      </c>
      <c r="B42" s="197">
        <v>0</v>
      </c>
    </row>
    <row r="43" spans="1:3" ht="16.5" thickBot="1" x14ac:dyDescent="0.3">
      <c r="A43" s="98" t="s">
        <v>318</v>
      </c>
      <c r="B43" s="137">
        <f>B42/$B$27</f>
        <v>0</v>
      </c>
    </row>
    <row r="44" spans="1:3" ht="16.5" thickBot="1" x14ac:dyDescent="0.3">
      <c r="A44" s="98" t="s">
        <v>319</v>
      </c>
      <c r="B44" s="196">
        <v>0</v>
      </c>
      <c r="C44" s="46">
        <v>1</v>
      </c>
    </row>
    <row r="45" spans="1:3" ht="16.5" thickBot="1" x14ac:dyDescent="0.3">
      <c r="A45" s="98" t="s">
        <v>320</v>
      </c>
      <c r="B45" s="196">
        <v>0</v>
      </c>
      <c r="C45" s="46">
        <v>2</v>
      </c>
    </row>
    <row r="46" spans="1:3" s="136" customFormat="1" ht="16.5" thickBot="1" x14ac:dyDescent="0.3">
      <c r="A46" s="135" t="s">
        <v>317</v>
      </c>
      <c r="B46" s="197">
        <v>0</v>
      </c>
    </row>
    <row r="47" spans="1:3" ht="16.5" thickBot="1" x14ac:dyDescent="0.3">
      <c r="A47" s="98" t="s">
        <v>318</v>
      </c>
      <c r="B47" s="137">
        <f>B46/$B$27</f>
        <v>0</v>
      </c>
    </row>
    <row r="48" spans="1:3" ht="16.5" thickBot="1" x14ac:dyDescent="0.3">
      <c r="A48" s="98" t="s">
        <v>319</v>
      </c>
      <c r="B48" s="196">
        <v>0</v>
      </c>
      <c r="C48" s="46">
        <v>1</v>
      </c>
    </row>
    <row r="49" spans="1:3" ht="16.5" thickBot="1" x14ac:dyDescent="0.3">
      <c r="A49" s="98" t="s">
        <v>320</v>
      </c>
      <c r="B49" s="196">
        <v>0</v>
      </c>
      <c r="C49" s="46">
        <v>2</v>
      </c>
    </row>
    <row r="50" spans="1:3" s="136" customFormat="1" ht="16.5" thickBot="1" x14ac:dyDescent="0.3">
      <c r="A50" s="135" t="s">
        <v>317</v>
      </c>
      <c r="B50" s="197">
        <v>0</v>
      </c>
    </row>
    <row r="51" spans="1:3" ht="16.5" thickBot="1" x14ac:dyDescent="0.3">
      <c r="A51" s="98" t="s">
        <v>318</v>
      </c>
      <c r="B51" s="137">
        <f>B50/$B$27</f>
        <v>0</v>
      </c>
    </row>
    <row r="52" spans="1:3" ht="16.5" thickBot="1" x14ac:dyDescent="0.3">
      <c r="A52" s="98" t="s">
        <v>319</v>
      </c>
      <c r="B52" s="196">
        <v>0</v>
      </c>
      <c r="C52" s="46">
        <v>1</v>
      </c>
    </row>
    <row r="53" spans="1:3" ht="16.5" thickBot="1" x14ac:dyDescent="0.3">
      <c r="A53" s="98" t="s">
        <v>320</v>
      </c>
      <c r="B53" s="196">
        <v>0</v>
      </c>
      <c r="C53" s="46">
        <v>2</v>
      </c>
    </row>
    <row r="54" spans="1:3" s="136" customFormat="1" ht="16.5" thickBot="1" x14ac:dyDescent="0.3">
      <c r="A54" s="135" t="s">
        <v>317</v>
      </c>
      <c r="B54" s="197">
        <v>0</v>
      </c>
    </row>
    <row r="55" spans="1:3" ht="16.5" thickBot="1" x14ac:dyDescent="0.3">
      <c r="A55" s="98" t="s">
        <v>318</v>
      </c>
      <c r="B55" s="137">
        <f>B54/$B$27</f>
        <v>0</v>
      </c>
    </row>
    <row r="56" spans="1:3" ht="16.5" thickBot="1" x14ac:dyDescent="0.3">
      <c r="A56" s="98" t="s">
        <v>319</v>
      </c>
      <c r="B56" s="196">
        <v>0</v>
      </c>
      <c r="C56" s="46">
        <v>1</v>
      </c>
    </row>
    <row r="57" spans="1:3" ht="16.5" thickBot="1" x14ac:dyDescent="0.3">
      <c r="A57" s="98" t="s">
        <v>320</v>
      </c>
      <c r="B57" s="196">
        <v>0</v>
      </c>
      <c r="C57" s="46">
        <v>2</v>
      </c>
    </row>
    <row r="58" spans="1:3" ht="29.25" thickBot="1" x14ac:dyDescent="0.3">
      <c r="A58" s="104" t="s">
        <v>322</v>
      </c>
      <c r="B58" s="196">
        <f>B59+B63+B67+B71</f>
        <v>0</v>
      </c>
    </row>
    <row r="59" spans="1:3" s="136" customFormat="1" ht="16.5" thickBot="1" x14ac:dyDescent="0.3">
      <c r="A59" s="135" t="s">
        <v>317</v>
      </c>
      <c r="B59" s="197">
        <v>0</v>
      </c>
    </row>
    <row r="60" spans="1:3" ht="16.5" thickBot="1" x14ac:dyDescent="0.3">
      <c r="A60" s="98" t="s">
        <v>318</v>
      </c>
      <c r="B60" s="137">
        <f>B59/$B$27</f>
        <v>0</v>
      </c>
    </row>
    <row r="61" spans="1:3" ht="16.5" thickBot="1" x14ac:dyDescent="0.3">
      <c r="A61" s="98" t="s">
        <v>319</v>
      </c>
      <c r="B61" s="196">
        <v>0</v>
      </c>
      <c r="C61" s="46">
        <v>1</v>
      </c>
    </row>
    <row r="62" spans="1:3" ht="16.5" thickBot="1" x14ac:dyDescent="0.3">
      <c r="A62" s="98" t="s">
        <v>320</v>
      </c>
      <c r="B62" s="196">
        <v>0</v>
      </c>
      <c r="C62" s="46">
        <v>2</v>
      </c>
    </row>
    <row r="63" spans="1:3" s="136" customFormat="1" ht="16.5" thickBot="1" x14ac:dyDescent="0.3">
      <c r="A63" s="135" t="s">
        <v>317</v>
      </c>
      <c r="B63" s="197">
        <v>0</v>
      </c>
    </row>
    <row r="64" spans="1:3" ht="16.5" thickBot="1" x14ac:dyDescent="0.3">
      <c r="A64" s="98" t="s">
        <v>318</v>
      </c>
      <c r="B64" s="137">
        <f>B63/$B$27</f>
        <v>0</v>
      </c>
    </row>
    <row r="65" spans="1:3" ht="16.5" thickBot="1" x14ac:dyDescent="0.3">
      <c r="A65" s="98" t="s">
        <v>319</v>
      </c>
      <c r="B65" s="196">
        <v>0</v>
      </c>
      <c r="C65" s="46">
        <v>1</v>
      </c>
    </row>
    <row r="66" spans="1:3" ht="16.5" thickBot="1" x14ac:dyDescent="0.3">
      <c r="A66" s="98" t="s">
        <v>320</v>
      </c>
      <c r="B66" s="196">
        <v>0</v>
      </c>
      <c r="C66" s="46">
        <v>2</v>
      </c>
    </row>
    <row r="67" spans="1:3" s="136" customFormat="1" ht="16.5" thickBot="1" x14ac:dyDescent="0.3">
      <c r="A67" s="135" t="s">
        <v>317</v>
      </c>
      <c r="B67" s="197">
        <v>0</v>
      </c>
    </row>
    <row r="68" spans="1:3" ht="16.5" thickBot="1" x14ac:dyDescent="0.3">
      <c r="A68" s="98" t="s">
        <v>318</v>
      </c>
      <c r="B68" s="137">
        <f>B67/$B$27</f>
        <v>0</v>
      </c>
    </row>
    <row r="69" spans="1:3" ht="16.5" thickBot="1" x14ac:dyDescent="0.3">
      <c r="A69" s="98" t="s">
        <v>319</v>
      </c>
      <c r="B69" s="196">
        <v>0</v>
      </c>
      <c r="C69" s="46">
        <v>1</v>
      </c>
    </row>
    <row r="70" spans="1:3" ht="16.5" thickBot="1" x14ac:dyDescent="0.3">
      <c r="A70" s="98" t="s">
        <v>320</v>
      </c>
      <c r="B70" s="196">
        <v>0</v>
      </c>
      <c r="C70" s="46">
        <v>2</v>
      </c>
    </row>
    <row r="71" spans="1:3" s="136" customFormat="1" ht="16.5" thickBot="1" x14ac:dyDescent="0.3">
      <c r="A71" s="135" t="s">
        <v>317</v>
      </c>
      <c r="B71" s="197">
        <v>0</v>
      </c>
    </row>
    <row r="72" spans="1:3" ht="16.5" thickBot="1" x14ac:dyDescent="0.3">
      <c r="A72" s="98" t="s">
        <v>318</v>
      </c>
      <c r="B72" s="137">
        <f>B71/$B$27</f>
        <v>0</v>
      </c>
    </row>
    <row r="73" spans="1:3" ht="16.5" thickBot="1" x14ac:dyDescent="0.3">
      <c r="A73" s="98" t="s">
        <v>319</v>
      </c>
      <c r="B73" s="196">
        <v>0</v>
      </c>
      <c r="C73" s="46">
        <v>1</v>
      </c>
    </row>
    <row r="74" spans="1:3" ht="16.5" thickBot="1" x14ac:dyDescent="0.3">
      <c r="A74" s="98" t="s">
        <v>320</v>
      </c>
      <c r="B74" s="196">
        <v>0</v>
      </c>
      <c r="C74" s="46">
        <v>2</v>
      </c>
    </row>
    <row r="75" spans="1:3" ht="29.25" thickBot="1" x14ac:dyDescent="0.3">
      <c r="A75" s="97" t="s">
        <v>323</v>
      </c>
      <c r="B75" s="137">
        <f>B30/B27</f>
        <v>0</v>
      </c>
    </row>
    <row r="76" spans="1:3" ht="16.5" thickBot="1" x14ac:dyDescent="0.3">
      <c r="A76" s="99" t="s">
        <v>315</v>
      </c>
      <c r="B76" s="137"/>
    </row>
    <row r="77" spans="1:3" ht="16.5" thickBot="1" x14ac:dyDescent="0.3">
      <c r="A77" s="99" t="s">
        <v>324</v>
      </c>
      <c r="B77" s="137"/>
    </row>
    <row r="78" spans="1:3" ht="16.5" thickBot="1" x14ac:dyDescent="0.3">
      <c r="A78" s="99" t="s">
        <v>325</v>
      </c>
      <c r="B78" s="137"/>
    </row>
    <row r="79" spans="1:3" ht="16.5" thickBot="1" x14ac:dyDescent="0.3">
      <c r="A79" s="99" t="s">
        <v>326</v>
      </c>
      <c r="B79" s="137"/>
    </row>
    <row r="80" spans="1:3" ht="16.5" thickBot="1" x14ac:dyDescent="0.3">
      <c r="A80" s="94" t="s">
        <v>327</v>
      </c>
      <c r="B80" s="138">
        <f>B81/$B$27</f>
        <v>0</v>
      </c>
    </row>
    <row r="81" spans="1:2" ht="16.5" thickBot="1" x14ac:dyDescent="0.3">
      <c r="A81" s="94" t="s">
        <v>328</v>
      </c>
      <c r="B81" s="198">
        <f xml:space="preserve"> SUMIF(C33:C74, 1,B33:B74)</f>
        <v>0</v>
      </c>
    </row>
    <row r="82" spans="1:2" ht="16.5" thickBot="1" x14ac:dyDescent="0.3">
      <c r="A82" s="94" t="s">
        <v>329</v>
      </c>
      <c r="B82" s="138">
        <f>B83/$B$27</f>
        <v>0</v>
      </c>
    </row>
    <row r="83" spans="1:2" ht="16.5" thickBot="1" x14ac:dyDescent="0.3">
      <c r="A83" s="95" t="s">
        <v>330</v>
      </c>
      <c r="B83" s="198">
        <f xml:space="preserve"> SUMIF(C35:C76, 2,B35:B76)</f>
        <v>0</v>
      </c>
    </row>
    <row r="84" spans="1:2" ht="15.6" customHeight="1" x14ac:dyDescent="0.25">
      <c r="A84" s="97" t="s">
        <v>331</v>
      </c>
      <c r="B84" s="99" t="s">
        <v>332</v>
      </c>
    </row>
    <row r="85" spans="1:2" x14ac:dyDescent="0.25">
      <c r="A85" s="101" t="s">
        <v>333</v>
      </c>
      <c r="B85" s="175"/>
    </row>
    <row r="86" spans="1:2" x14ac:dyDescent="0.25">
      <c r="A86" s="101" t="s">
        <v>334</v>
      </c>
      <c r="B86" s="175"/>
    </row>
    <row r="87" spans="1:2" x14ac:dyDescent="0.25">
      <c r="A87" s="101" t="s">
        <v>335</v>
      </c>
      <c r="B87" s="175"/>
    </row>
    <row r="88" spans="1:2" x14ac:dyDescent="0.25">
      <c r="A88" s="101" t="s">
        <v>336</v>
      </c>
      <c r="B88" s="175"/>
    </row>
    <row r="89" spans="1:2" ht="16.5" thickBot="1" x14ac:dyDescent="0.3">
      <c r="A89" s="102" t="s">
        <v>337</v>
      </c>
      <c r="B89" s="176"/>
    </row>
    <row r="90" spans="1:2" ht="30.75" thickBot="1" x14ac:dyDescent="0.3">
      <c r="A90" s="99" t="s">
        <v>338</v>
      </c>
      <c r="B90" s="100"/>
    </row>
    <row r="91" spans="1:2" ht="29.25" thickBot="1" x14ac:dyDescent="0.3">
      <c r="A91" s="94" t="s">
        <v>339</v>
      </c>
      <c r="B91" s="173"/>
    </row>
    <row r="92" spans="1:2" ht="16.5" thickBot="1" x14ac:dyDescent="0.3">
      <c r="A92" s="99" t="s">
        <v>315</v>
      </c>
      <c r="B92" s="199"/>
    </row>
    <row r="93" spans="1:2" ht="16.5" thickBot="1" x14ac:dyDescent="0.3">
      <c r="A93" s="99" t="s">
        <v>340</v>
      </c>
      <c r="B93" s="173"/>
    </row>
    <row r="94" spans="1:2" ht="16.5" thickBot="1" x14ac:dyDescent="0.3">
      <c r="A94" s="99" t="s">
        <v>341</v>
      </c>
      <c r="B94" s="199"/>
    </row>
    <row r="95" spans="1:2" ht="16.5" thickBot="1" x14ac:dyDescent="0.3">
      <c r="A95" s="107" t="s">
        <v>342</v>
      </c>
      <c r="B95" s="131" t="s">
        <v>542</v>
      </c>
    </row>
    <row r="96" spans="1:2" ht="16.5" thickBot="1" x14ac:dyDescent="0.3">
      <c r="A96" s="94" t="s">
        <v>343</v>
      </c>
      <c r="B96" s="105"/>
    </row>
    <row r="97" spans="1:2" ht="16.5" thickBot="1" x14ac:dyDescent="0.3">
      <c r="A97" s="101" t="s">
        <v>344</v>
      </c>
      <c r="B97" s="200">
        <f>'6.1. Паспорт сетевой график'!H43</f>
        <v>45125</v>
      </c>
    </row>
    <row r="98" spans="1:2" ht="16.5" thickBot="1" x14ac:dyDescent="0.3">
      <c r="A98" s="101" t="s">
        <v>345</v>
      </c>
      <c r="B98" s="108" t="s">
        <v>542</v>
      </c>
    </row>
    <row r="99" spans="1:2" ht="16.5" thickBot="1" x14ac:dyDescent="0.3">
      <c r="A99" s="101" t="s">
        <v>346</v>
      </c>
      <c r="B99" s="108" t="s">
        <v>542</v>
      </c>
    </row>
    <row r="100" spans="1:2" ht="29.25" thickBot="1" x14ac:dyDescent="0.3">
      <c r="A100" s="109" t="s">
        <v>347</v>
      </c>
      <c r="B100" s="106"/>
    </row>
    <row r="101" spans="1:2" ht="28.5" x14ac:dyDescent="0.25">
      <c r="A101" s="97" t="s">
        <v>348</v>
      </c>
      <c r="B101" s="429"/>
    </row>
    <row r="102" spans="1:2" x14ac:dyDescent="0.25">
      <c r="A102" s="101" t="s">
        <v>349</v>
      </c>
      <c r="B102" s="430"/>
    </row>
    <row r="103" spans="1:2" x14ac:dyDescent="0.25">
      <c r="A103" s="101" t="s">
        <v>350</v>
      </c>
      <c r="B103" s="430"/>
    </row>
    <row r="104" spans="1:2" x14ac:dyDescent="0.25">
      <c r="A104" s="101" t="s">
        <v>351</v>
      </c>
      <c r="B104" s="430"/>
    </row>
    <row r="105" spans="1:2" x14ac:dyDescent="0.25">
      <c r="A105" s="101" t="s">
        <v>352</v>
      </c>
      <c r="B105" s="430"/>
    </row>
    <row r="106" spans="1:2" ht="16.5" thickBot="1" x14ac:dyDescent="0.3">
      <c r="A106" s="110" t="s">
        <v>353</v>
      </c>
      <c r="B106" s="431"/>
    </row>
    <row r="109" spans="1:2" x14ac:dyDescent="0.25">
      <c r="A109" s="111"/>
      <c r="B109" s="112"/>
    </row>
    <row r="110" spans="1:2" x14ac:dyDescent="0.25">
      <c r="B110" s="113"/>
    </row>
    <row r="111" spans="1:2" x14ac:dyDescent="0.25">
      <c r="B111" s="114"/>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5_карты_КЛ РП-1-ТП-1.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3" t="s">
        <v>468</v>
      </c>
    </row>
    <row r="2" spans="1:1" ht="25.5" customHeight="1" x14ac:dyDescent="0.25">
      <c r="A2" s="433"/>
    </row>
    <row r="3" spans="1:1" ht="25.5" customHeight="1" x14ac:dyDescent="0.25">
      <c r="A3" s="433"/>
    </row>
    <row r="4" spans="1:1" ht="25.5" customHeight="1" x14ac:dyDescent="0.25">
      <c r="A4" s="433"/>
    </row>
    <row r="5" spans="1:1" ht="25.5" customHeight="1" x14ac:dyDescent="0.25">
      <c r="A5" s="433"/>
    </row>
    <row r="6" spans="1:1" ht="23.25" customHeight="1" x14ac:dyDescent="0.25">
      <c r="A6" s="124">
        <v>2</v>
      </c>
    </row>
    <row r="7" spans="1:1" s="85" customFormat="1" ht="23.25" customHeight="1" x14ac:dyDescent="0.25">
      <c r="A7" s="128" t="s">
        <v>469</v>
      </c>
    </row>
    <row r="8" spans="1:1" ht="31.5" customHeight="1" x14ac:dyDescent="0.25">
      <c r="A8" s="125" t="s">
        <v>478</v>
      </c>
    </row>
    <row r="9" spans="1:1" ht="45.75" customHeight="1" x14ac:dyDescent="0.25">
      <c r="A9" s="125" t="s">
        <v>479</v>
      </c>
    </row>
    <row r="10" spans="1:1" ht="33.75" customHeight="1" x14ac:dyDescent="0.25">
      <c r="A10" s="125" t="s">
        <v>480</v>
      </c>
    </row>
    <row r="11" spans="1:1" ht="23.25" customHeight="1" x14ac:dyDescent="0.25">
      <c r="A11" s="125" t="s">
        <v>481</v>
      </c>
    </row>
    <row r="12" spans="1:1" ht="23.25" customHeight="1" x14ac:dyDescent="0.25">
      <c r="A12" s="125" t="s">
        <v>482</v>
      </c>
    </row>
    <row r="13" spans="1:1" ht="33" customHeight="1" x14ac:dyDescent="0.25">
      <c r="A13" s="125" t="s">
        <v>483</v>
      </c>
    </row>
    <row r="14" spans="1:1" ht="23.25" customHeight="1" x14ac:dyDescent="0.25">
      <c r="A14" s="125" t="s">
        <v>484</v>
      </c>
    </row>
    <row r="15" spans="1:1" ht="23.25" customHeight="1" x14ac:dyDescent="0.25">
      <c r="A15" s="126" t="s">
        <v>485</v>
      </c>
    </row>
    <row r="16" spans="1:1" ht="34.5" customHeight="1" x14ac:dyDescent="0.25">
      <c r="A16" s="126" t="s">
        <v>486</v>
      </c>
    </row>
    <row r="17" spans="1:1" ht="39.75" customHeight="1" x14ac:dyDescent="0.25">
      <c r="A17" s="126" t="s">
        <v>487</v>
      </c>
    </row>
    <row r="18" spans="1:1" ht="40.5" customHeight="1" x14ac:dyDescent="0.25">
      <c r="A18" s="126" t="s">
        <v>488</v>
      </c>
    </row>
    <row r="19" spans="1:1" ht="48.75" customHeight="1" x14ac:dyDescent="0.25">
      <c r="A19" s="126" t="s">
        <v>486</v>
      </c>
    </row>
    <row r="20" spans="1:1" ht="39" customHeight="1" x14ac:dyDescent="0.25">
      <c r="A20" s="125" t="s">
        <v>487</v>
      </c>
    </row>
    <row r="21" spans="1:1" ht="39.75" customHeight="1" x14ac:dyDescent="0.25">
      <c r="A21" s="125" t="s">
        <v>489</v>
      </c>
    </row>
    <row r="22" spans="1:1" ht="35.25" customHeight="1" x14ac:dyDescent="0.25">
      <c r="A22" s="125" t="s">
        <v>490</v>
      </c>
    </row>
    <row r="23" spans="1:1" ht="35.25" customHeight="1" x14ac:dyDescent="0.25">
      <c r="A23" s="125" t="s">
        <v>491</v>
      </c>
    </row>
    <row r="24" spans="1:1" ht="57.75" customHeight="1" x14ac:dyDescent="0.25">
      <c r="A24" s="125" t="s">
        <v>492</v>
      </c>
    </row>
    <row r="25" spans="1:1" s="85" customFormat="1" ht="23.25" customHeight="1" x14ac:dyDescent="0.25">
      <c r="A25" s="128" t="s">
        <v>493</v>
      </c>
    </row>
    <row r="26" spans="1:1" ht="36.75" customHeight="1" x14ac:dyDescent="0.25">
      <c r="A26" s="125" t="s">
        <v>494</v>
      </c>
    </row>
    <row r="27" spans="1:1" ht="23.25" customHeight="1" x14ac:dyDescent="0.25">
      <c r="A27" s="125" t="s">
        <v>495</v>
      </c>
    </row>
    <row r="28" spans="1:1" ht="30.75" customHeight="1" x14ac:dyDescent="0.25">
      <c r="A28" s="125" t="s">
        <v>496</v>
      </c>
    </row>
    <row r="29" spans="1:1" s="127" customFormat="1" ht="23.25" customHeight="1" x14ac:dyDescent="0.25">
      <c r="A29" s="125" t="s">
        <v>497</v>
      </c>
    </row>
    <row r="30" spans="1:1" s="127" customFormat="1" ht="23.25" customHeight="1" x14ac:dyDescent="0.25">
      <c r="A30" s="125" t="s">
        <v>498</v>
      </c>
    </row>
    <row r="31" spans="1:1" ht="23.25" customHeight="1" x14ac:dyDescent="0.25">
      <c r="A31" s="125" t="s">
        <v>499</v>
      </c>
    </row>
    <row r="32" spans="1:1" ht="23.25" customHeight="1" x14ac:dyDescent="0.25">
      <c r="A32" s="125" t="s">
        <v>500</v>
      </c>
    </row>
    <row r="33" spans="1:1" ht="23.25" customHeight="1" x14ac:dyDescent="0.25">
      <c r="A33" s="125" t="s">
        <v>501</v>
      </c>
    </row>
    <row r="34" spans="1:1" ht="23.25" customHeight="1" x14ac:dyDescent="0.25">
      <c r="A34" s="125" t="s">
        <v>502</v>
      </c>
    </row>
    <row r="35" spans="1:1" ht="23.25" customHeight="1" x14ac:dyDescent="0.25">
      <c r="A35" s="125" t="s">
        <v>503</v>
      </c>
    </row>
    <row r="36" spans="1:1" ht="23.25" customHeight="1" x14ac:dyDescent="0.25">
      <c r="A36" s="125" t="s">
        <v>504</v>
      </c>
    </row>
    <row r="37" spans="1:1" ht="23.25" customHeight="1" x14ac:dyDescent="0.25">
      <c r="A37" s="125" t="s">
        <v>505</v>
      </c>
    </row>
    <row r="38" spans="1:1" ht="23.25" customHeight="1" x14ac:dyDescent="0.25">
      <c r="A38" s="125" t="s">
        <v>506</v>
      </c>
    </row>
    <row r="39" spans="1:1" ht="23.25" customHeight="1" x14ac:dyDescent="0.25">
      <c r="A39" s="125" t="s">
        <v>507</v>
      </c>
    </row>
    <row r="40" spans="1:1" ht="23.25" customHeight="1" x14ac:dyDescent="0.25">
      <c r="A40" s="125" t="s">
        <v>508</v>
      </c>
    </row>
    <row r="41" spans="1:1" ht="23.25" customHeight="1" x14ac:dyDescent="0.25">
      <c r="A41" s="125" t="s">
        <v>509</v>
      </c>
    </row>
    <row r="42" spans="1:1" ht="23.25" customHeight="1" x14ac:dyDescent="0.25">
      <c r="A42" s="125" t="s">
        <v>510</v>
      </c>
    </row>
    <row r="43" spans="1:1" ht="23.25" customHeight="1" x14ac:dyDescent="0.25">
      <c r="A43" s="125" t="s">
        <v>511</v>
      </c>
    </row>
    <row r="44" spans="1:1" s="85" customFormat="1" ht="36" customHeight="1" x14ac:dyDescent="0.25">
      <c r="A44" s="128" t="s">
        <v>512</v>
      </c>
    </row>
    <row r="45" spans="1:1" ht="36" customHeight="1" x14ac:dyDescent="0.25">
      <c r="A45" s="125" t="s">
        <v>513</v>
      </c>
    </row>
    <row r="46" spans="1:1" ht="36" customHeight="1" x14ac:dyDescent="0.25">
      <c r="A46" s="125" t="s">
        <v>514</v>
      </c>
    </row>
    <row r="47" spans="1:1" s="85" customFormat="1" ht="23.25" customHeight="1" x14ac:dyDescent="0.25">
      <c r="A47" s="128" t="s">
        <v>515</v>
      </c>
    </row>
    <row r="48" spans="1:1" s="85" customFormat="1" ht="23.25" customHeight="1" x14ac:dyDescent="0.25">
      <c r="A48" s="129" t="s">
        <v>516</v>
      </c>
    </row>
    <row r="49" spans="1:1" s="85" customFormat="1" ht="23.25" customHeight="1" x14ac:dyDescent="0.25">
      <c r="A49" s="129" t="s">
        <v>517</v>
      </c>
    </row>
    <row r="50" spans="1:1" ht="23.25" customHeight="1" x14ac:dyDescent="0.25">
      <c r="A50" s="12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C1" zoomScale="80" zoomScaleSheetLayoutView="80" workbookViewId="0">
      <selection activeCell="A22" sqref="A22:X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0" t="str">
        <f>'1. паспорт местоположение'!A5:C5</f>
        <v>Год раскрытия информации: 2023 год</v>
      </c>
      <c r="B4" s="310"/>
      <c r="C4" s="310"/>
      <c r="D4" s="310"/>
      <c r="E4" s="310"/>
      <c r="F4" s="310"/>
      <c r="G4" s="310"/>
      <c r="H4" s="310"/>
      <c r="I4" s="310"/>
      <c r="J4" s="310"/>
      <c r="K4" s="310"/>
      <c r="L4" s="310"/>
      <c r="M4" s="310"/>
      <c r="N4" s="310"/>
      <c r="O4" s="310"/>
      <c r="P4" s="310"/>
      <c r="Q4" s="310"/>
      <c r="R4" s="310"/>
      <c r="S4" s="310"/>
    </row>
    <row r="5" spans="1:28" s="8" customFormat="1" ht="15.75" x14ac:dyDescent="0.2">
      <c r="A5" s="13"/>
    </row>
    <row r="6" spans="1:28" s="8" customFormat="1" ht="18.75" x14ac:dyDescent="0.2">
      <c r="A6" s="314" t="s">
        <v>6</v>
      </c>
      <c r="B6" s="314"/>
      <c r="C6" s="314"/>
      <c r="D6" s="314"/>
      <c r="E6" s="314"/>
      <c r="F6" s="314"/>
      <c r="G6" s="314"/>
      <c r="H6" s="314"/>
      <c r="I6" s="314"/>
      <c r="J6" s="314"/>
      <c r="K6" s="314"/>
      <c r="L6" s="314"/>
      <c r="M6" s="314"/>
      <c r="N6" s="314"/>
      <c r="O6" s="314"/>
      <c r="P6" s="314"/>
      <c r="Q6" s="314"/>
      <c r="R6" s="314"/>
      <c r="S6" s="314"/>
      <c r="T6" s="10"/>
      <c r="U6" s="10"/>
      <c r="V6" s="10"/>
      <c r="W6" s="10"/>
      <c r="X6" s="10"/>
      <c r="Y6" s="10"/>
      <c r="Z6" s="10"/>
      <c r="AA6" s="10"/>
      <c r="AB6" s="10"/>
    </row>
    <row r="7" spans="1:28" s="8" customFormat="1" ht="18.75" x14ac:dyDescent="0.2">
      <c r="A7" s="314"/>
      <c r="B7" s="314"/>
      <c r="C7" s="314"/>
      <c r="D7" s="314"/>
      <c r="E7" s="314"/>
      <c r="F7" s="314"/>
      <c r="G7" s="314"/>
      <c r="H7" s="314"/>
      <c r="I7" s="314"/>
      <c r="J7" s="314"/>
      <c r="K7" s="314"/>
      <c r="L7" s="314"/>
      <c r="M7" s="314"/>
      <c r="N7" s="314"/>
      <c r="O7" s="314"/>
      <c r="P7" s="314"/>
      <c r="Q7" s="314"/>
      <c r="R7" s="314"/>
      <c r="S7" s="314"/>
      <c r="T7" s="10"/>
      <c r="U7" s="10"/>
      <c r="V7" s="10"/>
      <c r="W7" s="10"/>
      <c r="X7" s="10"/>
      <c r="Y7" s="10"/>
      <c r="Z7" s="10"/>
      <c r="AA7" s="10"/>
      <c r="AB7" s="10"/>
    </row>
    <row r="8" spans="1:28" s="8" customFormat="1" ht="18.75" x14ac:dyDescent="0.2">
      <c r="A8" s="321" t="str">
        <f>'1. паспорт местоположение'!A9:C9</f>
        <v xml:space="preserve">Акционерное общество "Западная энергетическая компания" </v>
      </c>
      <c r="B8" s="321"/>
      <c r="C8" s="321"/>
      <c r="D8" s="321"/>
      <c r="E8" s="321"/>
      <c r="F8" s="321"/>
      <c r="G8" s="321"/>
      <c r="H8" s="321"/>
      <c r="I8" s="321"/>
      <c r="J8" s="321"/>
      <c r="K8" s="321"/>
      <c r="L8" s="321"/>
      <c r="M8" s="321"/>
      <c r="N8" s="321"/>
      <c r="O8" s="321"/>
      <c r="P8" s="321"/>
      <c r="Q8" s="321"/>
      <c r="R8" s="321"/>
      <c r="S8" s="321"/>
      <c r="T8" s="10"/>
      <c r="U8" s="10"/>
      <c r="V8" s="10"/>
      <c r="W8" s="10"/>
      <c r="X8" s="10"/>
      <c r="Y8" s="10"/>
      <c r="Z8" s="10"/>
      <c r="AA8" s="10"/>
      <c r="AB8" s="10"/>
    </row>
    <row r="9" spans="1:28" s="8" customFormat="1" ht="18.75" x14ac:dyDescent="0.2">
      <c r="A9" s="311" t="s">
        <v>5</v>
      </c>
      <c r="B9" s="311"/>
      <c r="C9" s="311"/>
      <c r="D9" s="311"/>
      <c r="E9" s="311"/>
      <c r="F9" s="311"/>
      <c r="G9" s="311"/>
      <c r="H9" s="311"/>
      <c r="I9" s="311"/>
      <c r="J9" s="311"/>
      <c r="K9" s="311"/>
      <c r="L9" s="311"/>
      <c r="M9" s="311"/>
      <c r="N9" s="311"/>
      <c r="O9" s="311"/>
      <c r="P9" s="311"/>
      <c r="Q9" s="311"/>
      <c r="R9" s="311"/>
      <c r="S9" s="311"/>
      <c r="T9" s="10"/>
      <c r="U9" s="10"/>
      <c r="V9" s="10"/>
      <c r="W9" s="10"/>
      <c r="X9" s="10"/>
      <c r="Y9" s="10"/>
      <c r="Z9" s="10"/>
      <c r="AA9" s="10"/>
      <c r="AB9" s="10"/>
    </row>
    <row r="10" spans="1:28" s="8" customFormat="1" ht="18.75" x14ac:dyDescent="0.2">
      <c r="A10" s="314"/>
      <c r="B10" s="314"/>
      <c r="C10" s="314"/>
      <c r="D10" s="314"/>
      <c r="E10" s="314"/>
      <c r="F10" s="314"/>
      <c r="G10" s="314"/>
      <c r="H10" s="314"/>
      <c r="I10" s="314"/>
      <c r="J10" s="314"/>
      <c r="K10" s="314"/>
      <c r="L10" s="314"/>
      <c r="M10" s="314"/>
      <c r="N10" s="314"/>
      <c r="O10" s="314"/>
      <c r="P10" s="314"/>
      <c r="Q10" s="314"/>
      <c r="R10" s="314"/>
      <c r="S10" s="314"/>
      <c r="T10" s="10"/>
      <c r="U10" s="10"/>
      <c r="V10" s="10"/>
      <c r="W10" s="10"/>
      <c r="X10" s="10"/>
      <c r="Y10" s="10"/>
      <c r="Z10" s="10"/>
      <c r="AA10" s="10"/>
      <c r="AB10" s="10"/>
    </row>
    <row r="11" spans="1:28" s="8" customFormat="1" ht="18.75" x14ac:dyDescent="0.2">
      <c r="A11" s="321" t="str">
        <f>'1. паспорт местоположение'!A12:C12</f>
        <v>J 19-15</v>
      </c>
      <c r="B11" s="321"/>
      <c r="C11" s="321"/>
      <c r="D11" s="321"/>
      <c r="E11" s="321"/>
      <c r="F11" s="321"/>
      <c r="G11" s="321"/>
      <c r="H11" s="321"/>
      <c r="I11" s="321"/>
      <c r="J11" s="321"/>
      <c r="K11" s="321"/>
      <c r="L11" s="321"/>
      <c r="M11" s="321"/>
      <c r="N11" s="321"/>
      <c r="O11" s="321"/>
      <c r="P11" s="321"/>
      <c r="Q11" s="321"/>
      <c r="R11" s="321"/>
      <c r="S11" s="321"/>
      <c r="T11" s="10"/>
      <c r="U11" s="10"/>
      <c r="V11" s="10"/>
      <c r="W11" s="10"/>
      <c r="X11" s="10"/>
      <c r="Y11" s="10"/>
      <c r="Z11" s="10"/>
      <c r="AA11" s="10"/>
      <c r="AB11" s="10"/>
    </row>
    <row r="12" spans="1:28" s="8" customFormat="1" ht="18.75" x14ac:dyDescent="0.2">
      <c r="A12" s="311" t="s">
        <v>4</v>
      </c>
      <c r="B12" s="311"/>
      <c r="C12" s="311"/>
      <c r="D12" s="311"/>
      <c r="E12" s="311"/>
      <c r="F12" s="311"/>
      <c r="G12" s="311"/>
      <c r="H12" s="311"/>
      <c r="I12" s="311"/>
      <c r="J12" s="311"/>
      <c r="K12" s="311"/>
      <c r="L12" s="311"/>
      <c r="M12" s="311"/>
      <c r="N12" s="311"/>
      <c r="O12" s="311"/>
      <c r="P12" s="311"/>
      <c r="Q12" s="311"/>
      <c r="R12" s="311"/>
      <c r="S12" s="311"/>
      <c r="T12" s="10"/>
      <c r="U12" s="10"/>
      <c r="V12" s="10"/>
      <c r="W12" s="10"/>
      <c r="X12" s="10"/>
      <c r="Y12" s="10"/>
      <c r="Z12" s="10"/>
      <c r="AA12" s="10"/>
      <c r="AB12" s="10"/>
    </row>
    <row r="13" spans="1:28" s="8" customFormat="1" ht="15.75" customHeight="1" x14ac:dyDescent="0.2">
      <c r="A13" s="325"/>
      <c r="B13" s="325"/>
      <c r="C13" s="325"/>
      <c r="D13" s="325"/>
      <c r="E13" s="325"/>
      <c r="F13" s="325"/>
      <c r="G13" s="325"/>
      <c r="H13" s="325"/>
      <c r="I13" s="325"/>
      <c r="J13" s="325"/>
      <c r="K13" s="325"/>
      <c r="L13" s="325"/>
      <c r="M13" s="325"/>
      <c r="N13" s="325"/>
      <c r="O13" s="325"/>
      <c r="P13" s="325"/>
      <c r="Q13" s="325"/>
      <c r="R13" s="325"/>
      <c r="S13" s="325"/>
      <c r="T13" s="4"/>
      <c r="U13" s="4"/>
      <c r="V13" s="4"/>
      <c r="W13" s="4"/>
      <c r="X13" s="4"/>
      <c r="Y13" s="4"/>
      <c r="Z13" s="4"/>
      <c r="AA13" s="4"/>
      <c r="AB13" s="4"/>
    </row>
    <row r="14" spans="1:28" s="3" customFormat="1" ht="12" x14ac:dyDescent="0.2">
      <c r="A14" s="321" t="str">
        <f>'1. паспорт местоположение'!A9:C9</f>
        <v xml:space="preserve">Акционерное общество "Западная энергетическая компания" </v>
      </c>
      <c r="B14" s="321"/>
      <c r="C14" s="321"/>
      <c r="D14" s="321"/>
      <c r="E14" s="321"/>
      <c r="F14" s="321"/>
      <c r="G14" s="321"/>
      <c r="H14" s="321"/>
      <c r="I14" s="321"/>
      <c r="J14" s="321"/>
      <c r="K14" s="321"/>
      <c r="L14" s="321"/>
      <c r="M14" s="321"/>
      <c r="N14" s="321"/>
      <c r="O14" s="321"/>
      <c r="P14" s="321"/>
      <c r="Q14" s="321"/>
      <c r="R14" s="321"/>
      <c r="S14" s="321"/>
      <c r="T14" s="7"/>
      <c r="U14" s="7"/>
      <c r="V14" s="7"/>
      <c r="W14" s="7"/>
      <c r="X14" s="7"/>
      <c r="Y14" s="7"/>
      <c r="Z14" s="7"/>
      <c r="AA14" s="7"/>
      <c r="AB14" s="7"/>
    </row>
    <row r="15" spans="1:28" s="3" customFormat="1" ht="15" customHeight="1" x14ac:dyDescent="0.2">
      <c r="A15" s="326" t="str">
        <f>'1. паспорт местоположение'!A15:C15</f>
        <v>Строительство КЛ 15 кВ от  РП-1 до ТП-1 пер. Комсомольский, г. Пионерский</v>
      </c>
      <c r="B15" s="311"/>
      <c r="C15" s="311"/>
      <c r="D15" s="311"/>
      <c r="E15" s="311"/>
      <c r="F15" s="311"/>
      <c r="G15" s="311"/>
      <c r="H15" s="311"/>
      <c r="I15" s="311"/>
      <c r="J15" s="311"/>
      <c r="K15" s="311"/>
      <c r="L15" s="311"/>
      <c r="M15" s="311"/>
      <c r="N15" s="311"/>
      <c r="O15" s="311"/>
      <c r="P15" s="311"/>
      <c r="Q15" s="311"/>
      <c r="R15" s="311"/>
      <c r="S15" s="311"/>
      <c r="T15" s="5"/>
      <c r="U15" s="5"/>
      <c r="V15" s="5"/>
      <c r="W15" s="5"/>
      <c r="X15" s="5"/>
      <c r="Y15" s="5"/>
      <c r="Z15" s="5"/>
      <c r="AA15" s="5"/>
      <c r="AB15" s="5"/>
    </row>
    <row r="16" spans="1:28" s="3" customFormat="1" ht="15" customHeight="1" x14ac:dyDescent="0.2">
      <c r="A16" s="325"/>
      <c r="B16" s="325"/>
      <c r="C16" s="325"/>
      <c r="D16" s="325"/>
      <c r="E16" s="325"/>
      <c r="F16" s="325"/>
      <c r="G16" s="325"/>
      <c r="H16" s="325"/>
      <c r="I16" s="325"/>
      <c r="J16" s="325"/>
      <c r="K16" s="325"/>
      <c r="L16" s="325"/>
      <c r="M16" s="325"/>
      <c r="N16" s="325"/>
      <c r="O16" s="325"/>
      <c r="P16" s="325"/>
      <c r="Q16" s="325"/>
      <c r="R16" s="325"/>
      <c r="S16" s="325"/>
      <c r="T16" s="4"/>
      <c r="U16" s="4"/>
      <c r="V16" s="4"/>
      <c r="W16" s="4"/>
      <c r="X16" s="4"/>
      <c r="Y16" s="4"/>
    </row>
    <row r="17" spans="1:28" s="3" customFormat="1" ht="45.75" customHeight="1" x14ac:dyDescent="0.2">
      <c r="A17" s="312" t="s">
        <v>412</v>
      </c>
      <c r="B17" s="312"/>
      <c r="C17" s="312"/>
      <c r="D17" s="312"/>
      <c r="E17" s="312"/>
      <c r="F17" s="312"/>
      <c r="G17" s="312"/>
      <c r="H17" s="312"/>
      <c r="I17" s="312"/>
      <c r="J17" s="312"/>
      <c r="K17" s="312"/>
      <c r="L17" s="312"/>
      <c r="M17" s="312"/>
      <c r="N17" s="312"/>
      <c r="O17" s="312"/>
      <c r="P17" s="312"/>
      <c r="Q17" s="312"/>
      <c r="R17" s="312"/>
      <c r="S17" s="312"/>
      <c r="T17" s="6"/>
      <c r="U17" s="6"/>
      <c r="V17" s="6"/>
      <c r="W17" s="6"/>
      <c r="X17" s="6"/>
      <c r="Y17" s="6"/>
      <c r="Z17" s="6"/>
      <c r="AA17" s="6"/>
      <c r="AB17" s="6"/>
    </row>
    <row r="18" spans="1:28" s="3"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4"/>
      <c r="U18" s="4"/>
      <c r="V18" s="4"/>
      <c r="W18" s="4"/>
      <c r="X18" s="4"/>
      <c r="Y18" s="4"/>
    </row>
    <row r="19" spans="1:28" s="3" customFormat="1" ht="54" customHeight="1" x14ac:dyDescent="0.2">
      <c r="A19" s="320" t="s">
        <v>2</v>
      </c>
      <c r="B19" s="320" t="s">
        <v>93</v>
      </c>
      <c r="C19" s="322" t="s">
        <v>306</v>
      </c>
      <c r="D19" s="320" t="s">
        <v>305</v>
      </c>
      <c r="E19" s="320" t="s">
        <v>92</v>
      </c>
      <c r="F19" s="320" t="s">
        <v>91</v>
      </c>
      <c r="G19" s="320" t="s">
        <v>301</v>
      </c>
      <c r="H19" s="320" t="s">
        <v>90</v>
      </c>
      <c r="I19" s="320" t="s">
        <v>89</v>
      </c>
      <c r="J19" s="320" t="s">
        <v>88</v>
      </c>
      <c r="K19" s="320" t="s">
        <v>87</v>
      </c>
      <c r="L19" s="320" t="s">
        <v>86</v>
      </c>
      <c r="M19" s="320" t="s">
        <v>85</v>
      </c>
      <c r="N19" s="320" t="s">
        <v>84</v>
      </c>
      <c r="O19" s="320" t="s">
        <v>83</v>
      </c>
      <c r="P19" s="320" t="s">
        <v>82</v>
      </c>
      <c r="Q19" s="320" t="s">
        <v>304</v>
      </c>
      <c r="R19" s="320"/>
      <c r="S19" s="324" t="s">
        <v>406</v>
      </c>
      <c r="T19" s="4"/>
      <c r="U19" s="4"/>
      <c r="V19" s="4"/>
      <c r="W19" s="4"/>
      <c r="X19" s="4"/>
      <c r="Y19" s="4"/>
    </row>
    <row r="20" spans="1:28" s="3" customFormat="1" ht="180.75" customHeight="1" x14ac:dyDescent="0.2">
      <c r="A20" s="320"/>
      <c r="B20" s="320"/>
      <c r="C20" s="323"/>
      <c r="D20" s="320"/>
      <c r="E20" s="320"/>
      <c r="F20" s="320"/>
      <c r="G20" s="320"/>
      <c r="H20" s="320"/>
      <c r="I20" s="320"/>
      <c r="J20" s="320"/>
      <c r="K20" s="320"/>
      <c r="L20" s="320"/>
      <c r="M20" s="320"/>
      <c r="N20" s="320"/>
      <c r="O20" s="320"/>
      <c r="P20" s="320"/>
      <c r="Q20" s="30" t="s">
        <v>302</v>
      </c>
      <c r="R20" s="31" t="s">
        <v>303</v>
      </c>
      <c r="S20" s="324"/>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63" x14ac:dyDescent="0.2">
      <c r="A22" s="134">
        <v>1</v>
      </c>
      <c r="B22" s="146"/>
      <c r="C22" s="134"/>
      <c r="D22" s="145"/>
      <c r="E22" s="146" t="s">
        <v>578</v>
      </c>
      <c r="F22" s="145"/>
      <c r="G22" s="146" t="s">
        <v>579</v>
      </c>
      <c r="H22" s="145"/>
      <c r="I22" s="146"/>
      <c r="J22" s="145"/>
      <c r="K22" s="146" t="s">
        <v>580</v>
      </c>
      <c r="L22" s="145">
        <v>2</v>
      </c>
      <c r="M22" s="146"/>
      <c r="N22" s="145"/>
      <c r="O22" s="146"/>
      <c r="P22" s="145"/>
      <c r="Q22" s="150" t="s">
        <v>583</v>
      </c>
      <c r="R22" s="147"/>
      <c r="S22" s="149"/>
      <c r="W22" s="4"/>
      <c r="X22" s="4"/>
      <c r="Y22" s="4"/>
    </row>
    <row r="23" spans="1:28" ht="20.25" customHeight="1" x14ac:dyDescent="0.25">
      <c r="A23" s="87"/>
      <c r="B23" s="33" t="s">
        <v>299</v>
      </c>
      <c r="C23" s="33"/>
      <c r="D23" s="33"/>
      <c r="E23" s="87" t="s">
        <v>300</v>
      </c>
      <c r="F23" s="87" t="s">
        <v>300</v>
      </c>
      <c r="G23" s="87" t="s">
        <v>300</v>
      </c>
      <c r="H23" s="133">
        <f>H22</f>
        <v>0</v>
      </c>
      <c r="I23" s="87"/>
      <c r="J23" s="133">
        <f>J22</f>
        <v>0</v>
      </c>
      <c r="K23" s="87"/>
      <c r="L23" s="87"/>
      <c r="M23" s="87"/>
      <c r="N23" s="87"/>
      <c r="O23" s="87"/>
      <c r="P23" s="87"/>
      <c r="Q23" s="88"/>
      <c r="R23" s="2"/>
      <c r="S23" s="133">
        <f>S22</f>
        <v>0</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70" zoomScaleNormal="60" zoomScaleSheetLayoutView="70" workbookViewId="0">
      <selection activeCell="A25" sqref="A25:XFD25"/>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0" t="str">
        <f>'1. паспорт местоположение'!A5:C5</f>
        <v>Год раскрытия информации: 2023 год</v>
      </c>
      <c r="B6" s="310"/>
      <c r="C6" s="310"/>
      <c r="D6" s="310"/>
      <c r="E6" s="310"/>
      <c r="F6" s="310"/>
      <c r="G6" s="310"/>
      <c r="H6" s="310"/>
      <c r="I6" s="310"/>
      <c r="J6" s="310"/>
      <c r="K6" s="310"/>
      <c r="L6" s="310"/>
      <c r="M6" s="310"/>
      <c r="N6" s="310"/>
      <c r="O6" s="310"/>
      <c r="P6" s="310"/>
      <c r="Q6" s="310"/>
      <c r="R6" s="310"/>
      <c r="S6" s="310"/>
      <c r="T6" s="310"/>
    </row>
    <row r="7" spans="1:20" s="8" customFormat="1" x14ac:dyDescent="0.2">
      <c r="A7" s="13"/>
    </row>
    <row r="8" spans="1:20" s="8" customFormat="1" ht="18.75" x14ac:dyDescent="0.2">
      <c r="A8" s="314" t="s">
        <v>6</v>
      </c>
      <c r="B8" s="314"/>
      <c r="C8" s="314"/>
      <c r="D8" s="314"/>
      <c r="E8" s="314"/>
      <c r="F8" s="314"/>
      <c r="G8" s="314"/>
      <c r="H8" s="314"/>
      <c r="I8" s="314"/>
      <c r="J8" s="314"/>
      <c r="K8" s="314"/>
      <c r="L8" s="314"/>
      <c r="M8" s="314"/>
      <c r="N8" s="314"/>
      <c r="O8" s="314"/>
      <c r="P8" s="314"/>
      <c r="Q8" s="314"/>
      <c r="R8" s="314"/>
      <c r="S8" s="314"/>
      <c r="T8" s="314"/>
    </row>
    <row r="9" spans="1:20" s="8" customFormat="1" ht="18.75" x14ac:dyDescent="0.2">
      <c r="A9" s="314"/>
      <c r="B9" s="314"/>
      <c r="C9" s="314"/>
      <c r="D9" s="314"/>
      <c r="E9" s="314"/>
      <c r="F9" s="314"/>
      <c r="G9" s="314"/>
      <c r="H9" s="314"/>
      <c r="I9" s="314"/>
      <c r="J9" s="314"/>
      <c r="K9" s="314"/>
      <c r="L9" s="314"/>
      <c r="M9" s="314"/>
      <c r="N9" s="314"/>
      <c r="O9" s="314"/>
      <c r="P9" s="314"/>
      <c r="Q9" s="314"/>
      <c r="R9" s="314"/>
      <c r="S9" s="314"/>
      <c r="T9" s="314"/>
    </row>
    <row r="10" spans="1:20" s="8" customFormat="1" ht="18.75" customHeight="1" x14ac:dyDescent="0.2">
      <c r="A10" s="321" t="str">
        <f>'1. паспорт местоположение'!A9:C9</f>
        <v xml:space="preserve">Акционерное общество "Западная энергетическая компания" </v>
      </c>
      <c r="B10" s="321"/>
      <c r="C10" s="321"/>
      <c r="D10" s="321"/>
      <c r="E10" s="321"/>
      <c r="F10" s="321"/>
      <c r="G10" s="321"/>
      <c r="H10" s="321"/>
      <c r="I10" s="321"/>
      <c r="J10" s="321"/>
      <c r="K10" s="321"/>
      <c r="L10" s="321"/>
      <c r="M10" s="321"/>
      <c r="N10" s="321"/>
      <c r="O10" s="321"/>
      <c r="P10" s="321"/>
      <c r="Q10" s="321"/>
      <c r="R10" s="321"/>
      <c r="S10" s="321"/>
      <c r="T10" s="321"/>
    </row>
    <row r="11" spans="1:20" s="8" customFormat="1" ht="18.75" customHeight="1" x14ac:dyDescent="0.2">
      <c r="A11" s="311" t="s">
        <v>5</v>
      </c>
      <c r="B11" s="311"/>
      <c r="C11" s="311"/>
      <c r="D11" s="311"/>
      <c r="E11" s="311"/>
      <c r="F11" s="311"/>
      <c r="G11" s="311"/>
      <c r="H11" s="311"/>
      <c r="I11" s="311"/>
      <c r="J11" s="311"/>
      <c r="K11" s="311"/>
      <c r="L11" s="311"/>
      <c r="M11" s="311"/>
      <c r="N11" s="311"/>
      <c r="O11" s="311"/>
      <c r="P11" s="311"/>
      <c r="Q11" s="311"/>
      <c r="R11" s="311"/>
      <c r="S11" s="311"/>
      <c r="T11" s="311"/>
    </row>
    <row r="12" spans="1:20" s="8" customFormat="1" ht="18.75" x14ac:dyDescent="0.2">
      <c r="A12" s="314"/>
      <c r="B12" s="314"/>
      <c r="C12" s="314"/>
      <c r="D12" s="314"/>
      <c r="E12" s="314"/>
      <c r="F12" s="314"/>
      <c r="G12" s="314"/>
      <c r="H12" s="314"/>
      <c r="I12" s="314"/>
      <c r="J12" s="314"/>
      <c r="K12" s="314"/>
      <c r="L12" s="314"/>
      <c r="M12" s="314"/>
      <c r="N12" s="314"/>
      <c r="O12" s="314"/>
      <c r="P12" s="314"/>
      <c r="Q12" s="314"/>
      <c r="R12" s="314"/>
      <c r="S12" s="314"/>
      <c r="T12" s="314"/>
    </row>
    <row r="13" spans="1:20" s="8" customFormat="1" ht="18.75" customHeight="1" x14ac:dyDescent="0.2">
      <c r="A13" s="321" t="str">
        <f>'1. паспорт местоположение'!A12:C12</f>
        <v>J 19-15</v>
      </c>
      <c r="B13" s="321"/>
      <c r="C13" s="321"/>
      <c r="D13" s="321"/>
      <c r="E13" s="321"/>
      <c r="F13" s="321"/>
      <c r="G13" s="321"/>
      <c r="H13" s="321"/>
      <c r="I13" s="321"/>
      <c r="J13" s="321"/>
      <c r="K13" s="321"/>
      <c r="L13" s="321"/>
      <c r="M13" s="321"/>
      <c r="N13" s="321"/>
      <c r="O13" s="321"/>
      <c r="P13" s="321"/>
      <c r="Q13" s="321"/>
      <c r="R13" s="321"/>
      <c r="S13" s="321"/>
      <c r="T13" s="321"/>
    </row>
    <row r="14" spans="1:20" s="8" customFormat="1" ht="18.75" customHeight="1" x14ac:dyDescent="0.2">
      <c r="A14" s="311" t="s">
        <v>4</v>
      </c>
      <c r="B14" s="311"/>
      <c r="C14" s="311"/>
      <c r="D14" s="311"/>
      <c r="E14" s="311"/>
      <c r="F14" s="311"/>
      <c r="G14" s="311"/>
      <c r="H14" s="311"/>
      <c r="I14" s="311"/>
      <c r="J14" s="311"/>
      <c r="K14" s="311"/>
      <c r="L14" s="311"/>
      <c r="M14" s="311"/>
      <c r="N14" s="311"/>
      <c r="O14" s="311"/>
      <c r="P14" s="311"/>
      <c r="Q14" s="311"/>
      <c r="R14" s="311"/>
      <c r="S14" s="311"/>
      <c r="T14" s="311"/>
    </row>
    <row r="15" spans="1:20" s="8" customFormat="1" ht="15.75" customHeight="1" x14ac:dyDescent="0.2">
      <c r="A15" s="325"/>
      <c r="B15" s="325"/>
      <c r="C15" s="325"/>
      <c r="D15" s="325"/>
      <c r="E15" s="325"/>
      <c r="F15" s="325"/>
      <c r="G15" s="325"/>
      <c r="H15" s="325"/>
      <c r="I15" s="325"/>
      <c r="J15" s="325"/>
      <c r="K15" s="325"/>
      <c r="L15" s="325"/>
      <c r="M15" s="325"/>
      <c r="N15" s="325"/>
      <c r="O15" s="325"/>
      <c r="P15" s="325"/>
      <c r="Q15" s="325"/>
      <c r="R15" s="325"/>
      <c r="S15" s="325"/>
      <c r="T15" s="325"/>
    </row>
    <row r="16" spans="1:20" s="3" customFormat="1" ht="12" x14ac:dyDescent="0.2">
      <c r="A16" s="321" t="str">
        <f>'1. паспорт местоположение'!A15</f>
        <v>Строительство КЛ 15 кВ от  РП-1 до ТП-1 пер. Комсомольский, г. Пионерский</v>
      </c>
      <c r="B16" s="321"/>
      <c r="C16" s="321"/>
      <c r="D16" s="321"/>
      <c r="E16" s="321"/>
      <c r="F16" s="321"/>
      <c r="G16" s="321"/>
      <c r="H16" s="321"/>
      <c r="I16" s="321"/>
      <c r="J16" s="321"/>
      <c r="K16" s="321"/>
      <c r="L16" s="321"/>
      <c r="M16" s="321"/>
      <c r="N16" s="321"/>
      <c r="O16" s="321"/>
      <c r="P16" s="321"/>
      <c r="Q16" s="321"/>
      <c r="R16" s="321"/>
      <c r="S16" s="321"/>
      <c r="T16" s="321"/>
    </row>
    <row r="17" spans="1:20" s="3" customFormat="1" ht="15" customHeight="1" x14ac:dyDescent="0.2">
      <c r="A17" s="311" t="s">
        <v>3</v>
      </c>
      <c r="B17" s="311"/>
      <c r="C17" s="311"/>
      <c r="D17" s="311"/>
      <c r="E17" s="311"/>
      <c r="F17" s="311"/>
      <c r="G17" s="311"/>
      <c r="H17" s="311"/>
      <c r="I17" s="311"/>
      <c r="J17" s="311"/>
      <c r="K17" s="311"/>
      <c r="L17" s="311"/>
      <c r="M17" s="311"/>
      <c r="N17" s="311"/>
      <c r="O17" s="311"/>
      <c r="P17" s="311"/>
      <c r="Q17" s="311"/>
      <c r="R17" s="311"/>
      <c r="S17" s="311"/>
      <c r="T17" s="311"/>
    </row>
    <row r="18" spans="1:20" s="3" customFormat="1" ht="15" customHeight="1" x14ac:dyDescent="0.2">
      <c r="A18" s="325"/>
      <c r="B18" s="325"/>
      <c r="C18" s="325"/>
      <c r="D18" s="325"/>
      <c r="E18" s="325"/>
      <c r="F18" s="325"/>
      <c r="G18" s="325"/>
      <c r="H18" s="325"/>
      <c r="I18" s="325"/>
      <c r="J18" s="325"/>
      <c r="K18" s="325"/>
      <c r="L18" s="325"/>
      <c r="M18" s="325"/>
      <c r="N18" s="325"/>
      <c r="O18" s="325"/>
      <c r="P18" s="325"/>
      <c r="Q18" s="325"/>
      <c r="R18" s="325"/>
      <c r="S18" s="325"/>
      <c r="T18" s="325"/>
    </row>
    <row r="19" spans="1:20" s="3" customFormat="1" ht="15" customHeight="1" x14ac:dyDescent="0.2">
      <c r="A19" s="313" t="s">
        <v>417</v>
      </c>
      <c r="B19" s="313"/>
      <c r="C19" s="313"/>
      <c r="D19" s="313"/>
      <c r="E19" s="313"/>
      <c r="F19" s="313"/>
      <c r="G19" s="313"/>
      <c r="H19" s="313"/>
      <c r="I19" s="313"/>
      <c r="J19" s="313"/>
      <c r="K19" s="313"/>
      <c r="L19" s="313"/>
      <c r="M19" s="313"/>
      <c r="N19" s="313"/>
      <c r="O19" s="313"/>
      <c r="P19" s="313"/>
      <c r="Q19" s="313"/>
      <c r="R19" s="313"/>
      <c r="S19" s="313"/>
      <c r="T19" s="313"/>
    </row>
    <row r="20" spans="1:20" s="36" customFormat="1" ht="21" customHeight="1" x14ac:dyDescent="0.25">
      <c r="A20" s="342"/>
      <c r="B20" s="342"/>
      <c r="C20" s="342"/>
      <c r="D20" s="342"/>
      <c r="E20" s="342"/>
      <c r="F20" s="342"/>
      <c r="G20" s="342"/>
      <c r="H20" s="342"/>
      <c r="I20" s="342"/>
      <c r="J20" s="342"/>
      <c r="K20" s="342"/>
      <c r="L20" s="342"/>
      <c r="M20" s="342"/>
      <c r="N20" s="342"/>
      <c r="O20" s="342"/>
      <c r="P20" s="342"/>
      <c r="Q20" s="342"/>
      <c r="R20" s="342"/>
      <c r="S20" s="342"/>
      <c r="T20" s="342"/>
    </row>
    <row r="21" spans="1:20" ht="46.5" customHeight="1" x14ac:dyDescent="0.25">
      <c r="A21" s="336" t="s">
        <v>2</v>
      </c>
      <c r="B21" s="329" t="s">
        <v>218</v>
      </c>
      <c r="C21" s="330"/>
      <c r="D21" s="333" t="s">
        <v>115</v>
      </c>
      <c r="E21" s="329" t="s">
        <v>446</v>
      </c>
      <c r="F21" s="330"/>
      <c r="G21" s="329" t="s">
        <v>237</v>
      </c>
      <c r="H21" s="330"/>
      <c r="I21" s="329" t="s">
        <v>114</v>
      </c>
      <c r="J21" s="330"/>
      <c r="K21" s="333" t="s">
        <v>113</v>
      </c>
      <c r="L21" s="329" t="s">
        <v>112</v>
      </c>
      <c r="M21" s="330"/>
      <c r="N21" s="329" t="s">
        <v>442</v>
      </c>
      <c r="O21" s="330"/>
      <c r="P21" s="333" t="s">
        <v>111</v>
      </c>
      <c r="Q21" s="339" t="s">
        <v>110</v>
      </c>
      <c r="R21" s="340"/>
      <c r="S21" s="339" t="s">
        <v>109</v>
      </c>
      <c r="T21" s="341"/>
    </row>
    <row r="22" spans="1:20" ht="204.75" customHeight="1" x14ac:dyDescent="0.25">
      <c r="A22" s="337"/>
      <c r="B22" s="331"/>
      <c r="C22" s="332"/>
      <c r="D22" s="335"/>
      <c r="E22" s="331"/>
      <c r="F22" s="332"/>
      <c r="G22" s="331"/>
      <c r="H22" s="332"/>
      <c r="I22" s="331"/>
      <c r="J22" s="332"/>
      <c r="K22" s="334"/>
      <c r="L22" s="331"/>
      <c r="M22" s="332"/>
      <c r="N22" s="331"/>
      <c r="O22" s="332"/>
      <c r="P22" s="334"/>
      <c r="Q22" s="81" t="s">
        <v>108</v>
      </c>
      <c r="R22" s="81" t="s">
        <v>416</v>
      </c>
      <c r="S22" s="81" t="s">
        <v>107</v>
      </c>
      <c r="T22" s="81" t="s">
        <v>106</v>
      </c>
    </row>
    <row r="23" spans="1:20" ht="51.75" customHeight="1" x14ac:dyDescent="0.25">
      <c r="A23" s="338"/>
      <c r="B23" s="81" t="s">
        <v>104</v>
      </c>
      <c r="C23" s="81" t="s">
        <v>105</v>
      </c>
      <c r="D23" s="334"/>
      <c r="E23" s="81" t="s">
        <v>104</v>
      </c>
      <c r="F23" s="81" t="s">
        <v>105</v>
      </c>
      <c r="G23" s="81" t="s">
        <v>104</v>
      </c>
      <c r="H23" s="81" t="s">
        <v>105</v>
      </c>
      <c r="I23" s="81" t="s">
        <v>104</v>
      </c>
      <c r="J23" s="81" t="s">
        <v>105</v>
      </c>
      <c r="K23" s="81" t="s">
        <v>104</v>
      </c>
      <c r="L23" s="81" t="s">
        <v>104</v>
      </c>
      <c r="M23" s="81" t="s">
        <v>105</v>
      </c>
      <c r="N23" s="81" t="s">
        <v>104</v>
      </c>
      <c r="O23" s="81" t="s">
        <v>105</v>
      </c>
      <c r="P23" s="82" t="s">
        <v>104</v>
      </c>
      <c r="Q23" s="81" t="s">
        <v>104</v>
      </c>
      <c r="R23" s="81" t="s">
        <v>104</v>
      </c>
      <c r="S23" s="81" t="s">
        <v>104</v>
      </c>
      <c r="T23" s="81" t="s">
        <v>104</v>
      </c>
    </row>
    <row r="24" spans="1:20"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20" s="36" customFormat="1" x14ac:dyDescent="0.25">
      <c r="A25" s="44"/>
      <c r="B25" s="119"/>
      <c r="C25" s="119"/>
      <c r="D25" s="42"/>
      <c r="E25" s="42"/>
      <c r="F25" s="42"/>
      <c r="G25" s="42"/>
      <c r="H25" s="42"/>
      <c r="I25" s="42"/>
      <c r="J25" s="41"/>
      <c r="K25" s="41"/>
      <c r="L25" s="41"/>
      <c r="M25" s="43"/>
      <c r="N25" s="43"/>
      <c r="O25" s="43"/>
      <c r="P25" s="41"/>
      <c r="Q25" s="119"/>
      <c r="R25" s="42"/>
      <c r="S25" s="119"/>
      <c r="T25" s="119"/>
    </row>
    <row r="26" spans="1:20" s="36" customFormat="1" x14ac:dyDescent="0.25">
      <c r="A26" s="44"/>
      <c r="B26" s="42"/>
      <c r="C26" s="42"/>
      <c r="D26" s="42"/>
      <c r="E26" s="42"/>
      <c r="F26" s="42"/>
      <c r="G26" s="42"/>
      <c r="H26" s="42"/>
      <c r="I26" s="42"/>
      <c r="J26" s="41"/>
      <c r="K26" s="41"/>
      <c r="L26" s="41"/>
      <c r="M26" s="43"/>
      <c r="N26" s="43"/>
      <c r="O26" s="43"/>
      <c r="P26" s="41"/>
      <c r="Q26" s="119"/>
      <c r="R26" s="42"/>
      <c r="S26" s="119"/>
      <c r="T26" s="42"/>
    </row>
    <row r="27" spans="1:20" s="36" customFormat="1" x14ac:dyDescent="0.25">
      <c r="A27" s="44"/>
      <c r="B27" s="42"/>
      <c r="C27" s="42"/>
      <c r="D27" s="42"/>
      <c r="E27" s="42"/>
      <c r="F27" s="42"/>
      <c r="G27" s="42"/>
      <c r="H27" s="42"/>
      <c r="I27" s="42"/>
      <c r="J27" s="41"/>
      <c r="K27" s="41"/>
      <c r="L27" s="41"/>
      <c r="M27" s="43"/>
      <c r="N27" s="43"/>
      <c r="O27" s="43"/>
      <c r="P27" s="41"/>
      <c r="Q27" s="119"/>
      <c r="R27" s="42"/>
      <c r="S27" s="119"/>
      <c r="T27" s="42"/>
    </row>
    <row r="28" spans="1:20" s="36" customFormat="1" x14ac:dyDescent="0.25">
      <c r="A28" s="44"/>
      <c r="B28" s="42"/>
      <c r="C28" s="42"/>
      <c r="D28" s="42"/>
      <c r="E28" s="42"/>
      <c r="F28" s="42"/>
      <c r="G28" s="42"/>
      <c r="H28" s="42"/>
      <c r="I28" s="42"/>
      <c r="J28" s="41"/>
      <c r="K28" s="41"/>
      <c r="L28" s="41"/>
      <c r="M28" s="43"/>
      <c r="N28" s="43"/>
      <c r="O28" s="43"/>
      <c r="P28" s="41"/>
      <c r="Q28" s="119"/>
      <c r="R28" s="42"/>
      <c r="S28" s="119"/>
      <c r="T28" s="42"/>
    </row>
    <row r="29" spans="1:20" ht="3" customHeight="1" x14ac:dyDescent="0.25"/>
    <row r="30" spans="1:20" s="39" customFormat="1" ht="12.75" x14ac:dyDescent="0.2">
      <c r="B30" s="40"/>
      <c r="C30" s="40"/>
      <c r="K30" s="40"/>
    </row>
    <row r="31" spans="1:20" s="39" customFormat="1" x14ac:dyDescent="0.25">
      <c r="B31" s="35" t="s">
        <v>103</v>
      </c>
      <c r="C31" s="35"/>
      <c r="D31" s="35"/>
      <c r="E31" s="35"/>
      <c r="F31" s="35"/>
      <c r="G31" s="35"/>
      <c r="H31" s="35"/>
      <c r="I31" s="35"/>
      <c r="J31" s="35"/>
      <c r="K31" s="35"/>
      <c r="L31" s="35"/>
      <c r="M31" s="35"/>
      <c r="N31" s="35"/>
      <c r="O31" s="35"/>
      <c r="P31" s="35"/>
      <c r="Q31" s="35"/>
      <c r="R31" s="35"/>
    </row>
    <row r="32" spans="1:20" x14ac:dyDescent="0.25">
      <c r="B32" s="328" t="s">
        <v>452</v>
      </c>
      <c r="C32" s="328"/>
      <c r="D32" s="328"/>
      <c r="E32" s="328"/>
      <c r="F32" s="328"/>
      <c r="G32" s="328"/>
      <c r="H32" s="328"/>
      <c r="I32" s="328"/>
      <c r="J32" s="328"/>
      <c r="K32" s="328"/>
      <c r="L32" s="328"/>
      <c r="M32" s="328"/>
      <c r="N32" s="328"/>
      <c r="O32" s="328"/>
      <c r="P32" s="328"/>
      <c r="Q32" s="328"/>
      <c r="R32" s="328"/>
    </row>
    <row r="34" spans="2:113" x14ac:dyDescent="0.25">
      <c r="B34" s="37" t="s">
        <v>415</v>
      </c>
      <c r="C34" s="37"/>
      <c r="D34" s="37"/>
      <c r="E34" s="37"/>
      <c r="H34" s="37"/>
      <c r="I34" s="37"/>
      <c r="J34" s="37"/>
      <c r="K34" s="37"/>
      <c r="L34" s="37"/>
      <c r="M34" s="37"/>
      <c r="N34" s="37"/>
      <c r="O34" s="37"/>
      <c r="P34" s="37"/>
      <c r="Q34" s="37"/>
      <c r="R34" s="37"/>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7" t="s">
        <v>102</v>
      </c>
      <c r="C35" s="37"/>
      <c r="D35" s="37"/>
      <c r="E35" s="37"/>
      <c r="H35" s="37"/>
      <c r="I35" s="37"/>
      <c r="J35" s="37"/>
      <c r="K35" s="37"/>
      <c r="L35" s="37"/>
      <c r="M35" s="37"/>
      <c r="N35" s="37"/>
      <c r="O35" s="37"/>
      <c r="P35" s="37"/>
      <c r="Q35" s="37"/>
      <c r="R35" s="37"/>
    </row>
    <row r="36" spans="2:113" x14ac:dyDescent="0.25">
      <c r="B36" s="37" t="s">
        <v>101</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x14ac:dyDescent="0.25">
      <c r="B43" s="37" t="s">
        <v>94</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zoomScale="90" zoomScaleSheetLayoutView="90" workbookViewId="0">
      <selection activeCell="U26" sqref="U26"/>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0" t="str">
        <f>'1. паспорт местоположение'!A5:C5</f>
        <v>Год раскрытия информации: 2023 год</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row>
    <row r="6" spans="1:27" s="8" customFormat="1" x14ac:dyDescent="0.2">
      <c r="A6" s="120"/>
      <c r="B6" s="120"/>
      <c r="C6" s="120"/>
      <c r="D6" s="120"/>
      <c r="E6" s="120"/>
      <c r="F6" s="120"/>
      <c r="G6" s="120"/>
      <c r="H6" s="120"/>
      <c r="I6" s="120"/>
      <c r="J6" s="120"/>
      <c r="K6" s="120"/>
      <c r="L6" s="120"/>
      <c r="M6" s="120"/>
      <c r="N6" s="120"/>
      <c r="O6" s="120"/>
      <c r="P6" s="120"/>
      <c r="Q6" s="120"/>
      <c r="R6" s="120"/>
      <c r="S6" s="120"/>
      <c r="T6" s="120"/>
    </row>
    <row r="7" spans="1:27" s="8" customFormat="1" ht="18.75" x14ac:dyDescent="0.2">
      <c r="E7" s="314" t="s">
        <v>6</v>
      </c>
      <c r="F7" s="314"/>
      <c r="G7" s="314"/>
      <c r="H7" s="314"/>
      <c r="I7" s="314"/>
      <c r="J7" s="314"/>
      <c r="K7" s="314"/>
      <c r="L7" s="314"/>
      <c r="M7" s="314"/>
      <c r="N7" s="314"/>
      <c r="O7" s="314"/>
      <c r="P7" s="314"/>
      <c r="Q7" s="314"/>
      <c r="R7" s="314"/>
      <c r="S7" s="314"/>
      <c r="T7" s="314"/>
      <c r="U7" s="314"/>
      <c r="V7" s="314"/>
      <c r="W7" s="314"/>
      <c r="X7" s="314"/>
      <c r="Y7" s="314"/>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1" t="str">
        <f>'1. паспорт местоположение'!A9</f>
        <v xml:space="preserve">Акционерное общество "Западная энергетическая компания" </v>
      </c>
      <c r="F9" s="321"/>
      <c r="G9" s="321"/>
      <c r="H9" s="321"/>
      <c r="I9" s="321"/>
      <c r="J9" s="321"/>
      <c r="K9" s="321"/>
      <c r="L9" s="321"/>
      <c r="M9" s="321"/>
      <c r="N9" s="321"/>
      <c r="O9" s="321"/>
      <c r="P9" s="321"/>
      <c r="Q9" s="321"/>
      <c r="R9" s="321"/>
      <c r="S9" s="321"/>
      <c r="T9" s="321"/>
      <c r="U9" s="321"/>
      <c r="V9" s="321"/>
      <c r="W9" s="321"/>
      <c r="X9" s="321"/>
      <c r="Y9" s="321"/>
    </row>
    <row r="10" spans="1:27" s="8" customFormat="1" ht="18.75" customHeight="1" x14ac:dyDescent="0.2">
      <c r="E10" s="311" t="s">
        <v>5</v>
      </c>
      <c r="F10" s="311"/>
      <c r="G10" s="311"/>
      <c r="H10" s="311"/>
      <c r="I10" s="311"/>
      <c r="J10" s="311"/>
      <c r="K10" s="311"/>
      <c r="L10" s="311"/>
      <c r="M10" s="311"/>
      <c r="N10" s="311"/>
      <c r="O10" s="311"/>
      <c r="P10" s="311"/>
      <c r="Q10" s="311"/>
      <c r="R10" s="311"/>
      <c r="S10" s="311"/>
      <c r="T10" s="311"/>
      <c r="U10" s="311"/>
      <c r="V10" s="311"/>
      <c r="W10" s="311"/>
      <c r="X10" s="311"/>
      <c r="Y10" s="311"/>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1" t="str">
        <f>'1. паспорт местоположение'!A12</f>
        <v>J 19-15</v>
      </c>
      <c r="F12" s="321"/>
      <c r="G12" s="321"/>
      <c r="H12" s="321"/>
      <c r="I12" s="321"/>
      <c r="J12" s="321"/>
      <c r="K12" s="321"/>
      <c r="L12" s="321"/>
      <c r="M12" s="321"/>
      <c r="N12" s="321"/>
      <c r="O12" s="321"/>
      <c r="P12" s="321"/>
      <c r="Q12" s="321"/>
      <c r="R12" s="321"/>
      <c r="S12" s="321"/>
      <c r="T12" s="321"/>
      <c r="U12" s="321"/>
      <c r="V12" s="321"/>
      <c r="W12" s="321"/>
      <c r="X12" s="321"/>
      <c r="Y12" s="321"/>
    </row>
    <row r="13" spans="1:27" s="8" customFormat="1" ht="18.75" customHeight="1" x14ac:dyDescent="0.2">
      <c r="E13" s="311" t="s">
        <v>4</v>
      </c>
      <c r="F13" s="311"/>
      <c r="G13" s="311"/>
      <c r="H13" s="311"/>
      <c r="I13" s="311"/>
      <c r="J13" s="311"/>
      <c r="K13" s="311"/>
      <c r="L13" s="311"/>
      <c r="M13" s="311"/>
      <c r="N13" s="311"/>
      <c r="O13" s="311"/>
      <c r="P13" s="311"/>
      <c r="Q13" s="311"/>
      <c r="R13" s="311"/>
      <c r="S13" s="311"/>
      <c r="T13" s="311"/>
      <c r="U13" s="311"/>
      <c r="V13" s="311"/>
      <c r="W13" s="311"/>
      <c r="X13" s="311"/>
      <c r="Y13" s="311"/>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1" t="str">
        <f>'1. паспорт местоположение'!A15</f>
        <v>Строительство КЛ 15 кВ от  РП-1 до ТП-1 пер. Комсомольский, г. Пионерский</v>
      </c>
      <c r="F15" s="321"/>
      <c r="G15" s="321"/>
      <c r="H15" s="321"/>
      <c r="I15" s="321"/>
      <c r="J15" s="321"/>
      <c r="K15" s="321"/>
      <c r="L15" s="321"/>
      <c r="M15" s="321"/>
      <c r="N15" s="321"/>
      <c r="O15" s="321"/>
      <c r="P15" s="321"/>
      <c r="Q15" s="321"/>
      <c r="R15" s="321"/>
      <c r="S15" s="321"/>
      <c r="T15" s="321"/>
      <c r="U15" s="321"/>
      <c r="V15" s="321"/>
      <c r="W15" s="321"/>
      <c r="X15" s="321"/>
      <c r="Y15" s="321"/>
    </row>
    <row r="16" spans="1:27" s="3" customFormat="1" ht="15" customHeight="1" x14ac:dyDescent="0.2">
      <c r="E16" s="311" t="s">
        <v>3</v>
      </c>
      <c r="F16" s="311"/>
      <c r="G16" s="311"/>
      <c r="H16" s="311"/>
      <c r="I16" s="311"/>
      <c r="J16" s="311"/>
      <c r="K16" s="311"/>
      <c r="L16" s="311"/>
      <c r="M16" s="311"/>
      <c r="N16" s="311"/>
      <c r="O16" s="311"/>
      <c r="P16" s="311"/>
      <c r="Q16" s="311"/>
      <c r="R16" s="311"/>
      <c r="S16" s="311"/>
      <c r="T16" s="311"/>
      <c r="U16" s="311"/>
      <c r="V16" s="311"/>
      <c r="W16" s="311"/>
      <c r="X16" s="311"/>
      <c r="Y16" s="3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3"/>
      <c r="F18" s="313"/>
      <c r="G18" s="313"/>
      <c r="H18" s="313"/>
      <c r="I18" s="313"/>
      <c r="J18" s="313"/>
      <c r="K18" s="313"/>
      <c r="L18" s="313"/>
      <c r="M18" s="313"/>
      <c r="N18" s="313"/>
      <c r="O18" s="313"/>
      <c r="P18" s="313"/>
      <c r="Q18" s="313"/>
      <c r="R18" s="313"/>
      <c r="S18" s="313"/>
      <c r="T18" s="313"/>
      <c r="U18" s="313"/>
      <c r="V18" s="313"/>
      <c r="W18" s="313"/>
      <c r="X18" s="313"/>
      <c r="Y18" s="313"/>
    </row>
    <row r="19" spans="1:27" ht="25.5" customHeight="1" x14ac:dyDescent="0.25">
      <c r="A19" s="313" t="s">
        <v>419</v>
      </c>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row>
    <row r="20" spans="1:27" s="36" customFormat="1" ht="21" customHeight="1" x14ac:dyDescent="0.25"/>
    <row r="21" spans="1:27" ht="15.75" customHeight="1" x14ac:dyDescent="0.25">
      <c r="A21" s="333" t="s">
        <v>2</v>
      </c>
      <c r="B21" s="329" t="s">
        <v>426</v>
      </c>
      <c r="C21" s="330"/>
      <c r="D21" s="329" t="s">
        <v>428</v>
      </c>
      <c r="E21" s="330"/>
      <c r="F21" s="339" t="s">
        <v>87</v>
      </c>
      <c r="G21" s="341"/>
      <c r="H21" s="341"/>
      <c r="I21" s="340"/>
      <c r="J21" s="333" t="s">
        <v>429</v>
      </c>
      <c r="K21" s="329" t="s">
        <v>430</v>
      </c>
      <c r="L21" s="330"/>
      <c r="M21" s="329" t="s">
        <v>431</v>
      </c>
      <c r="N21" s="330"/>
      <c r="O21" s="329" t="s">
        <v>418</v>
      </c>
      <c r="P21" s="330"/>
      <c r="Q21" s="329" t="s">
        <v>120</v>
      </c>
      <c r="R21" s="330"/>
      <c r="S21" s="333" t="s">
        <v>119</v>
      </c>
      <c r="T21" s="333" t="s">
        <v>432</v>
      </c>
      <c r="U21" s="333" t="s">
        <v>427</v>
      </c>
      <c r="V21" s="329" t="s">
        <v>118</v>
      </c>
      <c r="W21" s="330"/>
      <c r="X21" s="339" t="s">
        <v>110</v>
      </c>
      <c r="Y21" s="341"/>
      <c r="Z21" s="339" t="s">
        <v>109</v>
      </c>
      <c r="AA21" s="341"/>
    </row>
    <row r="22" spans="1:27" ht="154.5" customHeight="1" x14ac:dyDescent="0.25">
      <c r="A22" s="335"/>
      <c r="B22" s="331"/>
      <c r="C22" s="332"/>
      <c r="D22" s="331"/>
      <c r="E22" s="332"/>
      <c r="F22" s="339" t="s">
        <v>117</v>
      </c>
      <c r="G22" s="340"/>
      <c r="H22" s="339" t="s">
        <v>116</v>
      </c>
      <c r="I22" s="340"/>
      <c r="J22" s="334"/>
      <c r="K22" s="331"/>
      <c r="L22" s="332"/>
      <c r="M22" s="331"/>
      <c r="N22" s="332"/>
      <c r="O22" s="331"/>
      <c r="P22" s="332"/>
      <c r="Q22" s="331"/>
      <c r="R22" s="332"/>
      <c r="S22" s="334"/>
      <c r="T22" s="334"/>
      <c r="U22" s="334"/>
      <c r="V22" s="331"/>
      <c r="W22" s="332"/>
      <c r="X22" s="81" t="s">
        <v>108</v>
      </c>
      <c r="Y22" s="81" t="s">
        <v>416</v>
      </c>
      <c r="Z22" s="81" t="s">
        <v>107</v>
      </c>
      <c r="AA22" s="81" t="s">
        <v>106</v>
      </c>
    </row>
    <row r="23" spans="1:27" ht="60" customHeight="1" x14ac:dyDescent="0.25">
      <c r="A23" s="334"/>
      <c r="B23" s="82" t="s">
        <v>104</v>
      </c>
      <c r="C23" s="82"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177" customFormat="1" x14ac:dyDescent="0.25">
      <c r="A25" s="210">
        <v>1</v>
      </c>
      <c r="B25" s="210" t="s">
        <v>542</v>
      </c>
      <c r="C25" s="210" t="s">
        <v>575</v>
      </c>
      <c r="D25" s="210" t="s">
        <v>300</v>
      </c>
      <c r="E25" s="210" t="s">
        <v>576</v>
      </c>
      <c r="F25" s="210" t="s">
        <v>300</v>
      </c>
      <c r="G25" s="210">
        <v>15</v>
      </c>
      <c r="H25" s="210" t="s">
        <v>300</v>
      </c>
      <c r="I25" s="210">
        <v>15</v>
      </c>
      <c r="J25" s="210" t="s">
        <v>300</v>
      </c>
      <c r="K25" s="210" t="s">
        <v>300</v>
      </c>
      <c r="L25" s="211"/>
      <c r="M25" s="210" t="s">
        <v>300</v>
      </c>
      <c r="N25" s="211">
        <v>240</v>
      </c>
      <c r="O25" s="211" t="s">
        <v>300</v>
      </c>
      <c r="P25" s="211" t="s">
        <v>560</v>
      </c>
      <c r="Q25" s="211" t="s">
        <v>300</v>
      </c>
      <c r="R25" s="211">
        <v>0.6</v>
      </c>
      <c r="S25" s="210" t="s">
        <v>300</v>
      </c>
      <c r="T25" s="210" t="s">
        <v>300</v>
      </c>
      <c r="U25" s="210" t="s">
        <v>300</v>
      </c>
      <c r="V25" s="212" t="s">
        <v>300</v>
      </c>
      <c r="W25" s="212"/>
      <c r="X25" s="211" t="s">
        <v>300</v>
      </c>
      <c r="Y25" s="211" t="s">
        <v>300</v>
      </c>
      <c r="Z25" s="211" t="s">
        <v>300</v>
      </c>
      <c r="AA25" s="211" t="s">
        <v>300</v>
      </c>
    </row>
    <row r="26" spans="1:27" x14ac:dyDescent="0.25">
      <c r="A26" s="213"/>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0" t="str">
        <f>'1. паспорт местоположение'!A5:C5</f>
        <v>Год раскрытия информации: 2023 год</v>
      </c>
      <c r="B5" s="310"/>
      <c r="C5" s="310"/>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8" customFormat="1" ht="18.75" x14ac:dyDescent="0.3">
      <c r="A6" s="13"/>
      <c r="G6" s="12"/>
    </row>
    <row r="7" spans="1:29" s="8" customFormat="1" ht="18.75" x14ac:dyDescent="0.2">
      <c r="A7" s="314" t="s">
        <v>6</v>
      </c>
      <c r="B7" s="314"/>
      <c r="C7" s="314"/>
      <c r="D7" s="10"/>
      <c r="E7" s="10"/>
      <c r="F7" s="10"/>
      <c r="G7" s="10"/>
      <c r="H7" s="10"/>
      <c r="I7" s="10"/>
      <c r="J7" s="10"/>
      <c r="K7" s="10"/>
      <c r="L7" s="10"/>
      <c r="M7" s="10"/>
      <c r="N7" s="10"/>
      <c r="O7" s="10"/>
      <c r="P7" s="10"/>
      <c r="Q7" s="10"/>
      <c r="R7" s="10"/>
      <c r="S7" s="10"/>
      <c r="T7" s="10"/>
      <c r="U7" s="10"/>
    </row>
    <row r="8" spans="1:29" s="8" customFormat="1" ht="18.75" x14ac:dyDescent="0.2">
      <c r="A8" s="314"/>
      <c r="B8" s="314"/>
      <c r="C8" s="314"/>
      <c r="D8" s="11"/>
      <c r="E8" s="11"/>
      <c r="F8" s="11"/>
      <c r="G8" s="11"/>
      <c r="H8" s="10"/>
      <c r="I8" s="10"/>
      <c r="J8" s="10"/>
      <c r="K8" s="10"/>
      <c r="L8" s="10"/>
      <c r="M8" s="10"/>
      <c r="N8" s="10"/>
      <c r="O8" s="10"/>
      <c r="P8" s="10"/>
      <c r="Q8" s="10"/>
      <c r="R8" s="10"/>
      <c r="S8" s="10"/>
      <c r="T8" s="10"/>
      <c r="U8" s="10"/>
    </row>
    <row r="9" spans="1:29" s="8" customFormat="1" ht="18.75" x14ac:dyDescent="0.2">
      <c r="A9" s="321" t="str">
        <f>'1. паспорт местоположение'!A9:C9</f>
        <v xml:space="preserve">Акционерное общество "Западная энергетическая компания" </v>
      </c>
      <c r="B9" s="321"/>
      <c r="C9" s="321"/>
      <c r="D9" s="7"/>
      <c r="E9" s="7"/>
      <c r="F9" s="7"/>
      <c r="G9" s="7"/>
      <c r="H9" s="10"/>
      <c r="I9" s="10"/>
      <c r="J9" s="10"/>
      <c r="K9" s="10"/>
      <c r="L9" s="10"/>
      <c r="M9" s="10"/>
      <c r="N9" s="10"/>
      <c r="O9" s="10"/>
      <c r="P9" s="10"/>
      <c r="Q9" s="10"/>
      <c r="R9" s="10"/>
      <c r="S9" s="10"/>
      <c r="T9" s="10"/>
      <c r="U9" s="10"/>
    </row>
    <row r="10" spans="1:29" s="8" customFormat="1" ht="18.75" x14ac:dyDescent="0.2">
      <c r="A10" s="311" t="s">
        <v>5</v>
      </c>
      <c r="B10" s="311"/>
      <c r="C10" s="311"/>
      <c r="D10" s="5"/>
      <c r="E10" s="5"/>
      <c r="F10" s="5"/>
      <c r="G10" s="5"/>
      <c r="H10" s="10"/>
      <c r="I10" s="10"/>
      <c r="J10" s="10"/>
      <c r="K10" s="10"/>
      <c r="L10" s="10"/>
      <c r="M10" s="10"/>
      <c r="N10" s="10"/>
      <c r="O10" s="10"/>
      <c r="P10" s="10"/>
      <c r="Q10" s="10"/>
      <c r="R10" s="10"/>
      <c r="S10" s="10"/>
      <c r="T10" s="10"/>
      <c r="U10" s="10"/>
    </row>
    <row r="11" spans="1:29" s="8" customFormat="1" ht="18.75" x14ac:dyDescent="0.2">
      <c r="A11" s="314"/>
      <c r="B11" s="314"/>
      <c r="C11" s="314"/>
      <c r="D11" s="11"/>
      <c r="E11" s="11"/>
      <c r="F11" s="11"/>
      <c r="G11" s="11"/>
      <c r="H11" s="10"/>
      <c r="I11" s="10"/>
      <c r="J11" s="10"/>
      <c r="K11" s="10"/>
      <c r="L11" s="10"/>
      <c r="M11" s="10"/>
      <c r="N11" s="10"/>
      <c r="O11" s="10"/>
      <c r="P11" s="10"/>
      <c r="Q11" s="10"/>
      <c r="R11" s="10"/>
      <c r="S11" s="10"/>
      <c r="T11" s="10"/>
      <c r="U11" s="10"/>
    </row>
    <row r="12" spans="1:29" s="8" customFormat="1" ht="18.75" x14ac:dyDescent="0.2">
      <c r="A12" s="344" t="str">
        <f>'1. паспорт местоположение'!A12:C12</f>
        <v>J 19-15</v>
      </c>
      <c r="B12" s="344"/>
      <c r="C12" s="344"/>
      <c r="D12" s="7"/>
      <c r="E12" s="7"/>
      <c r="F12" s="7"/>
      <c r="G12" s="7"/>
      <c r="H12" s="10"/>
      <c r="I12" s="10"/>
      <c r="J12" s="10"/>
      <c r="K12" s="10"/>
      <c r="L12" s="10"/>
      <c r="M12" s="10"/>
      <c r="N12" s="10"/>
      <c r="O12" s="10"/>
      <c r="P12" s="10"/>
      <c r="Q12" s="10"/>
      <c r="R12" s="10"/>
      <c r="S12" s="10"/>
      <c r="T12" s="10"/>
      <c r="U12" s="10"/>
    </row>
    <row r="13" spans="1:29" s="8" customFormat="1" ht="18.75" x14ac:dyDescent="0.2">
      <c r="A13" s="311" t="s">
        <v>4</v>
      </c>
      <c r="B13" s="311"/>
      <c r="C13" s="311"/>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25"/>
      <c r="B14" s="325"/>
      <c r="C14" s="325"/>
      <c r="D14" s="4"/>
      <c r="E14" s="4"/>
      <c r="F14" s="4"/>
      <c r="G14" s="4"/>
      <c r="H14" s="4"/>
      <c r="I14" s="4"/>
      <c r="J14" s="4"/>
      <c r="K14" s="4"/>
      <c r="L14" s="4"/>
      <c r="M14" s="4"/>
      <c r="N14" s="4"/>
      <c r="O14" s="4"/>
      <c r="P14" s="4"/>
      <c r="Q14" s="4"/>
      <c r="R14" s="4"/>
      <c r="S14" s="4"/>
      <c r="T14" s="4"/>
      <c r="U14" s="4"/>
    </row>
    <row r="15" spans="1:29" s="3" customFormat="1" ht="33.75" customHeight="1" x14ac:dyDescent="0.2">
      <c r="A15" s="343" t="str">
        <f>'1. паспорт местоположение'!A15</f>
        <v>Строительство КЛ 15 кВ от  РП-1 до ТП-1 пер. Комсомольский, г. Пионерский</v>
      </c>
      <c r="B15" s="343"/>
      <c r="C15" s="343"/>
      <c r="D15" s="7"/>
      <c r="E15" s="7"/>
      <c r="F15" s="7"/>
      <c r="G15" s="7"/>
      <c r="H15" s="7"/>
      <c r="I15" s="7"/>
      <c r="J15" s="7"/>
      <c r="K15" s="7"/>
      <c r="L15" s="7"/>
      <c r="M15" s="7"/>
      <c r="N15" s="7"/>
      <c r="O15" s="7"/>
      <c r="P15" s="7"/>
      <c r="Q15" s="7"/>
      <c r="R15" s="7"/>
      <c r="S15" s="7"/>
      <c r="T15" s="7"/>
      <c r="U15" s="7"/>
    </row>
    <row r="16" spans="1:29" s="3" customFormat="1" ht="15" customHeight="1" x14ac:dyDescent="0.2">
      <c r="A16" s="311" t="s">
        <v>3</v>
      </c>
      <c r="B16" s="311"/>
      <c r="C16" s="311"/>
      <c r="D16" s="5"/>
      <c r="E16" s="5"/>
      <c r="F16" s="5"/>
      <c r="G16" s="5"/>
      <c r="H16" s="5"/>
      <c r="I16" s="5"/>
      <c r="J16" s="5"/>
      <c r="K16" s="5"/>
      <c r="L16" s="5"/>
      <c r="M16" s="5"/>
      <c r="N16" s="5"/>
      <c r="O16" s="5"/>
      <c r="P16" s="5"/>
      <c r="Q16" s="5"/>
      <c r="R16" s="5"/>
      <c r="S16" s="5"/>
      <c r="T16" s="5"/>
      <c r="U16" s="5"/>
    </row>
    <row r="17" spans="1:21" s="3" customFormat="1" ht="15" customHeight="1" x14ac:dyDescent="0.2">
      <c r="A17" s="325"/>
      <c r="B17" s="325"/>
      <c r="C17" s="325"/>
      <c r="D17" s="4"/>
      <c r="E17" s="4"/>
      <c r="F17" s="4"/>
      <c r="G17" s="4"/>
      <c r="H17" s="4"/>
      <c r="I17" s="4"/>
      <c r="J17" s="4"/>
      <c r="K17" s="4"/>
      <c r="L17" s="4"/>
      <c r="M17" s="4"/>
      <c r="N17" s="4"/>
      <c r="O17" s="4"/>
      <c r="P17" s="4"/>
      <c r="Q17" s="4"/>
      <c r="R17" s="4"/>
    </row>
    <row r="18" spans="1:21" s="3" customFormat="1" ht="27.75" customHeight="1" x14ac:dyDescent="0.2">
      <c r="A18" s="312" t="s">
        <v>411</v>
      </c>
      <c r="B18" s="312"/>
      <c r="C18" s="31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4" t="s">
        <v>590</v>
      </c>
      <c r="D22" s="5"/>
      <c r="E22" s="5"/>
      <c r="F22" s="4"/>
      <c r="G22" s="4"/>
      <c r="H22" s="4"/>
      <c r="I22" s="4"/>
      <c r="J22" s="4"/>
      <c r="K22" s="4"/>
      <c r="L22" s="4"/>
      <c r="M22" s="4"/>
      <c r="N22" s="4"/>
      <c r="O22" s="4"/>
      <c r="P22" s="4"/>
    </row>
    <row r="23" spans="1:21" ht="47.25" x14ac:dyDescent="0.25">
      <c r="A23" s="22" t="s">
        <v>60</v>
      </c>
      <c r="B23" s="24" t="s">
        <v>57</v>
      </c>
      <c r="C23" s="172" t="s">
        <v>591</v>
      </c>
      <c r="E23" s="208"/>
    </row>
    <row r="24" spans="1:21" ht="47.25" x14ac:dyDescent="0.25">
      <c r="A24" s="22" t="s">
        <v>59</v>
      </c>
      <c r="B24" s="24" t="s">
        <v>444</v>
      </c>
      <c r="C24" s="151" t="s">
        <v>589</v>
      </c>
    </row>
    <row r="25" spans="1:21" ht="63" customHeight="1" x14ac:dyDescent="0.25">
      <c r="A25" s="22" t="s">
        <v>58</v>
      </c>
      <c r="B25" s="24" t="s">
        <v>445</v>
      </c>
      <c r="C25" s="23" t="s">
        <v>584</v>
      </c>
      <c r="E25" s="156"/>
    </row>
    <row r="26" spans="1:21" ht="42.75" customHeight="1" x14ac:dyDescent="0.25">
      <c r="A26" s="22" t="s">
        <v>56</v>
      </c>
      <c r="B26" s="24" t="s">
        <v>226</v>
      </c>
      <c r="C26" s="23" t="s">
        <v>542</v>
      </c>
    </row>
    <row r="27" spans="1:21" ht="31.5" x14ac:dyDescent="0.25">
      <c r="A27" s="22" t="s">
        <v>55</v>
      </c>
      <c r="B27" s="24" t="s">
        <v>425</v>
      </c>
      <c r="C27" s="23" t="s">
        <v>585</v>
      </c>
      <c r="E27" s="208"/>
    </row>
    <row r="28" spans="1:21" ht="42.75" customHeight="1" x14ac:dyDescent="0.25">
      <c r="A28" s="22" t="s">
        <v>53</v>
      </c>
      <c r="B28" s="24" t="s">
        <v>54</v>
      </c>
      <c r="C28" s="29">
        <v>2023</v>
      </c>
    </row>
    <row r="29" spans="1:21" ht="42.75" customHeight="1" x14ac:dyDescent="0.25">
      <c r="A29" s="22" t="s">
        <v>51</v>
      </c>
      <c r="B29" s="23" t="s">
        <v>52</v>
      </c>
      <c r="C29" s="29">
        <v>2023</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26"/>
  <sheetViews>
    <sheetView view="pageBreakPreview" zoomScale="80" zoomScaleNormal="80" zoomScaleSheetLayoutView="80" workbookViewId="0">
      <selection activeCell="A27" sqref="A27:XFD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0" t="str">
        <f>'1. паспорт местоположение'!A5:C5</f>
        <v>Год раскрытия информации: 2023 год</v>
      </c>
      <c r="B4" s="310"/>
      <c r="C4" s="310"/>
      <c r="D4" s="310"/>
      <c r="E4" s="310"/>
      <c r="F4" s="310"/>
      <c r="G4" s="310"/>
      <c r="H4" s="310"/>
      <c r="I4" s="310"/>
      <c r="J4" s="310"/>
      <c r="K4" s="310"/>
      <c r="L4" s="310"/>
      <c r="M4" s="310"/>
      <c r="N4" s="310"/>
      <c r="O4" s="310"/>
      <c r="P4" s="310"/>
      <c r="Q4" s="310"/>
      <c r="R4" s="310"/>
      <c r="S4" s="310"/>
      <c r="T4" s="310"/>
      <c r="U4" s="310"/>
      <c r="V4" s="310"/>
      <c r="W4" s="310"/>
      <c r="X4" s="310"/>
      <c r="Y4" s="310"/>
      <c r="Z4" s="310"/>
    </row>
    <row r="6" spans="1:28" ht="18.75" x14ac:dyDescent="0.25">
      <c r="A6" s="314" t="s">
        <v>6</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10"/>
      <c r="AB6" s="10"/>
    </row>
    <row r="7" spans="1:28" ht="18.75" x14ac:dyDescent="0.25">
      <c r="A7" s="314"/>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10"/>
      <c r="AB7" s="10"/>
    </row>
    <row r="8" spans="1:28" x14ac:dyDescent="0.25">
      <c r="A8" s="321" t="str">
        <f>'1. паспорт местоположение'!A9</f>
        <v xml:space="preserve">Акционерное общество "Западная энергетическая компания" </v>
      </c>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7"/>
      <c r="AB8" s="7"/>
    </row>
    <row r="9" spans="1:28" ht="15.75" x14ac:dyDescent="0.25">
      <c r="A9" s="311" t="s">
        <v>5</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5"/>
      <c r="AB9" s="5"/>
    </row>
    <row r="10" spans="1:28" ht="18.75" x14ac:dyDescent="0.25">
      <c r="A10" s="314"/>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10"/>
      <c r="AB10" s="10"/>
    </row>
    <row r="11" spans="1:28" x14ac:dyDescent="0.25">
      <c r="A11" s="321" t="str">
        <f>'1. паспорт местоположение'!A12:C12</f>
        <v>J 19-15</v>
      </c>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7"/>
      <c r="AB11" s="7"/>
    </row>
    <row r="12" spans="1:28" ht="15.75" x14ac:dyDescent="0.25">
      <c r="A12" s="311" t="s">
        <v>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5"/>
      <c r="AB12" s="5"/>
    </row>
    <row r="13" spans="1:28" ht="18.75" x14ac:dyDescent="0.25">
      <c r="A13" s="325"/>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9"/>
      <c r="AB13" s="9"/>
    </row>
    <row r="14" spans="1:28" x14ac:dyDescent="0.25">
      <c r="A14" s="321" t="str">
        <f>'1. паспорт местоположение'!A15</f>
        <v>Строительство КЛ 15 кВ от  РП-1 до ТП-1 пер. Комсомольский, г. Пионерский</v>
      </c>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7"/>
      <c r="AB14" s="7"/>
    </row>
    <row r="15" spans="1:28" ht="15.75" x14ac:dyDescent="0.25">
      <c r="A15" s="311" t="s">
        <v>3</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5"/>
      <c r="AB15" s="5"/>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5"/>
      <c r="AB16" s="15"/>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5"/>
      <c r="AB17" s="15"/>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5"/>
      <c r="AB18" s="15"/>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5"/>
      <c r="AB19" s="15"/>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5"/>
      <c r="AB20" s="15"/>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5"/>
      <c r="AB21" s="15"/>
    </row>
    <row r="22" spans="1:28" x14ac:dyDescent="0.25">
      <c r="A22" s="346" t="s">
        <v>443</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22"/>
      <c r="AB22" s="122"/>
    </row>
    <row r="23" spans="1:28" ht="32.25" customHeight="1" x14ac:dyDescent="0.25">
      <c r="A23" s="348" t="s">
        <v>297</v>
      </c>
      <c r="B23" s="349"/>
      <c r="C23" s="349"/>
      <c r="D23" s="349"/>
      <c r="E23" s="349"/>
      <c r="F23" s="349"/>
      <c r="G23" s="349"/>
      <c r="H23" s="349"/>
      <c r="I23" s="349"/>
      <c r="J23" s="349"/>
      <c r="K23" s="349"/>
      <c r="L23" s="350"/>
      <c r="M23" s="347" t="s">
        <v>298</v>
      </c>
      <c r="N23" s="347"/>
      <c r="O23" s="347"/>
      <c r="P23" s="347"/>
      <c r="Q23" s="347"/>
      <c r="R23" s="347"/>
      <c r="S23" s="347"/>
      <c r="T23" s="347"/>
      <c r="U23" s="347"/>
      <c r="V23" s="347"/>
      <c r="W23" s="347"/>
      <c r="X23" s="347"/>
      <c r="Y23" s="347"/>
      <c r="Z23" s="347"/>
    </row>
    <row r="24" spans="1:28" ht="151.5" customHeight="1" x14ac:dyDescent="0.25">
      <c r="A24" s="78" t="s">
        <v>228</v>
      </c>
      <c r="B24" s="79" t="s">
        <v>235</v>
      </c>
      <c r="C24" s="78" t="s">
        <v>291</v>
      </c>
      <c r="D24" s="78" t="s">
        <v>229</v>
      </c>
      <c r="E24" s="78" t="s">
        <v>292</v>
      </c>
      <c r="F24" s="78" t="s">
        <v>294</v>
      </c>
      <c r="G24" s="78" t="s">
        <v>293</v>
      </c>
      <c r="H24" s="78" t="s">
        <v>230</v>
      </c>
      <c r="I24" s="78" t="s">
        <v>295</v>
      </c>
      <c r="J24" s="78" t="s">
        <v>236</v>
      </c>
      <c r="K24" s="79" t="s">
        <v>234</v>
      </c>
      <c r="L24" s="79" t="s">
        <v>231</v>
      </c>
      <c r="M24" s="80" t="s">
        <v>243</v>
      </c>
      <c r="N24" s="79" t="s">
        <v>454</v>
      </c>
      <c r="O24" s="78" t="s">
        <v>241</v>
      </c>
      <c r="P24" s="78" t="s">
        <v>242</v>
      </c>
      <c r="Q24" s="78" t="s">
        <v>240</v>
      </c>
      <c r="R24" s="78" t="s">
        <v>230</v>
      </c>
      <c r="S24" s="78" t="s">
        <v>239</v>
      </c>
      <c r="T24" s="78" t="s">
        <v>238</v>
      </c>
      <c r="U24" s="78" t="s">
        <v>290</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ht="60" x14ac:dyDescent="0.25">
      <c r="A26" s="171" t="s">
        <v>592</v>
      </c>
      <c r="B26" s="171" t="s">
        <v>556</v>
      </c>
      <c r="C26" s="171" t="s">
        <v>556</v>
      </c>
      <c r="D26" s="171" t="s">
        <v>556</v>
      </c>
      <c r="E26" s="171" t="s">
        <v>556</v>
      </c>
      <c r="F26" s="171" t="s">
        <v>556</v>
      </c>
      <c r="G26" s="171" t="s">
        <v>556</v>
      </c>
      <c r="H26" s="171" t="s">
        <v>556</v>
      </c>
      <c r="I26" s="171" t="s">
        <v>556</v>
      </c>
      <c r="J26" s="171" t="s">
        <v>556</v>
      </c>
      <c r="K26" s="171" t="s">
        <v>556</v>
      </c>
      <c r="L26" s="171" t="s">
        <v>556</v>
      </c>
      <c r="M26" s="171" t="s">
        <v>556</v>
      </c>
      <c r="N26" s="171" t="s">
        <v>556</v>
      </c>
      <c r="O26" s="171" t="s">
        <v>556</v>
      </c>
      <c r="P26" s="171" t="s">
        <v>556</v>
      </c>
      <c r="Q26" s="171" t="s">
        <v>556</v>
      </c>
      <c r="R26" s="171" t="s">
        <v>556</v>
      </c>
      <c r="S26" s="171" t="s">
        <v>556</v>
      </c>
      <c r="T26" s="171" t="s">
        <v>556</v>
      </c>
      <c r="U26" s="171" t="s">
        <v>556</v>
      </c>
      <c r="V26" s="171" t="s">
        <v>556</v>
      </c>
      <c r="W26" s="171" t="s">
        <v>556</v>
      </c>
      <c r="X26" s="171" t="s">
        <v>556</v>
      </c>
      <c r="Y26" s="171" t="s">
        <v>556</v>
      </c>
      <c r="Z26" s="171" t="s">
        <v>556</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J19" sqref="J19:O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0" t="str">
        <f>'1. паспорт местоположение'!A5:C5</f>
        <v>Год раскрытия информации: 2023 год</v>
      </c>
      <c r="B5" s="310"/>
      <c r="C5" s="310"/>
      <c r="D5" s="310"/>
      <c r="E5" s="310"/>
      <c r="F5" s="310"/>
      <c r="G5" s="310"/>
      <c r="H5" s="310"/>
      <c r="I5" s="310"/>
      <c r="J5" s="310"/>
      <c r="K5" s="310"/>
      <c r="L5" s="310"/>
      <c r="M5" s="310"/>
      <c r="N5" s="310"/>
      <c r="O5" s="310"/>
      <c r="P5" s="121"/>
      <c r="Q5" s="121"/>
      <c r="R5" s="121"/>
      <c r="S5" s="121"/>
      <c r="T5" s="121"/>
      <c r="U5" s="121"/>
      <c r="V5" s="121"/>
      <c r="W5" s="121"/>
      <c r="X5" s="121"/>
      <c r="Y5" s="121"/>
      <c r="Z5" s="121"/>
      <c r="AA5" s="121"/>
      <c r="AB5" s="121"/>
    </row>
    <row r="6" spans="1:28" s="8" customFormat="1" ht="18.75" x14ac:dyDescent="0.3">
      <c r="A6" s="13"/>
      <c r="B6" s="13"/>
      <c r="L6" s="12"/>
    </row>
    <row r="7" spans="1:28" s="8" customFormat="1" ht="18.75" x14ac:dyDescent="0.2">
      <c r="A7" s="314" t="s">
        <v>6</v>
      </c>
      <c r="B7" s="314"/>
      <c r="C7" s="314"/>
      <c r="D7" s="314"/>
      <c r="E7" s="314"/>
      <c r="F7" s="314"/>
      <c r="G7" s="314"/>
      <c r="H7" s="314"/>
      <c r="I7" s="314"/>
      <c r="J7" s="314"/>
      <c r="K7" s="314"/>
      <c r="L7" s="314"/>
      <c r="M7" s="314"/>
      <c r="N7" s="314"/>
      <c r="O7" s="314"/>
      <c r="P7" s="10"/>
      <c r="Q7" s="10"/>
      <c r="R7" s="10"/>
      <c r="S7" s="10"/>
      <c r="T7" s="10"/>
      <c r="U7" s="10"/>
      <c r="V7" s="10"/>
      <c r="W7" s="10"/>
      <c r="X7" s="10"/>
      <c r="Y7" s="10"/>
      <c r="Z7" s="10"/>
    </row>
    <row r="8" spans="1:28" s="8" customFormat="1" ht="18.75" x14ac:dyDescent="0.2">
      <c r="A8" s="314"/>
      <c r="B8" s="314"/>
      <c r="C8" s="314"/>
      <c r="D8" s="314"/>
      <c r="E8" s="314"/>
      <c r="F8" s="314"/>
      <c r="G8" s="314"/>
      <c r="H8" s="314"/>
      <c r="I8" s="314"/>
      <c r="J8" s="314"/>
      <c r="K8" s="314"/>
      <c r="L8" s="314"/>
      <c r="M8" s="314"/>
      <c r="N8" s="314"/>
      <c r="O8" s="314"/>
      <c r="P8" s="10"/>
      <c r="Q8" s="10"/>
      <c r="R8" s="10"/>
      <c r="S8" s="10"/>
      <c r="T8" s="10"/>
      <c r="U8" s="10"/>
      <c r="V8" s="10"/>
      <c r="W8" s="10"/>
      <c r="X8" s="10"/>
      <c r="Y8" s="10"/>
      <c r="Z8" s="10"/>
    </row>
    <row r="9" spans="1:28" s="8" customFormat="1" ht="18.75" x14ac:dyDescent="0.2">
      <c r="A9" s="321" t="str">
        <f>'1. паспорт местоположение'!A9:C9</f>
        <v xml:space="preserve">Акционерное общество "Западная энергетическая компания" </v>
      </c>
      <c r="B9" s="321"/>
      <c r="C9" s="321"/>
      <c r="D9" s="321"/>
      <c r="E9" s="321"/>
      <c r="F9" s="321"/>
      <c r="G9" s="321"/>
      <c r="H9" s="321"/>
      <c r="I9" s="321"/>
      <c r="J9" s="321"/>
      <c r="K9" s="321"/>
      <c r="L9" s="321"/>
      <c r="M9" s="321"/>
      <c r="N9" s="321"/>
      <c r="O9" s="321"/>
      <c r="P9" s="10"/>
      <c r="Q9" s="10"/>
      <c r="R9" s="10"/>
      <c r="S9" s="10"/>
      <c r="T9" s="10"/>
      <c r="U9" s="10"/>
      <c r="V9" s="10"/>
      <c r="W9" s="10"/>
      <c r="X9" s="10"/>
      <c r="Y9" s="10"/>
      <c r="Z9" s="10"/>
    </row>
    <row r="10" spans="1:28" s="8" customFormat="1" ht="18.75" x14ac:dyDescent="0.2">
      <c r="A10" s="311" t="s">
        <v>5</v>
      </c>
      <c r="B10" s="311"/>
      <c r="C10" s="311"/>
      <c r="D10" s="311"/>
      <c r="E10" s="311"/>
      <c r="F10" s="311"/>
      <c r="G10" s="311"/>
      <c r="H10" s="311"/>
      <c r="I10" s="311"/>
      <c r="J10" s="311"/>
      <c r="K10" s="311"/>
      <c r="L10" s="311"/>
      <c r="M10" s="311"/>
      <c r="N10" s="311"/>
      <c r="O10" s="311"/>
      <c r="P10" s="10"/>
      <c r="Q10" s="10"/>
      <c r="R10" s="10"/>
      <c r="S10" s="10"/>
      <c r="T10" s="10"/>
      <c r="U10" s="10"/>
      <c r="V10" s="10"/>
      <c r="W10" s="10"/>
      <c r="X10" s="10"/>
      <c r="Y10" s="10"/>
      <c r="Z10" s="10"/>
    </row>
    <row r="11" spans="1:28" s="8" customFormat="1" ht="18.75" x14ac:dyDescent="0.2">
      <c r="A11" s="314"/>
      <c r="B11" s="314"/>
      <c r="C11" s="314"/>
      <c r="D11" s="314"/>
      <c r="E11" s="314"/>
      <c r="F11" s="314"/>
      <c r="G11" s="314"/>
      <c r="H11" s="314"/>
      <c r="I11" s="314"/>
      <c r="J11" s="314"/>
      <c r="K11" s="314"/>
      <c r="L11" s="314"/>
      <c r="M11" s="314"/>
      <c r="N11" s="314"/>
      <c r="O11" s="314"/>
      <c r="P11" s="10"/>
      <c r="Q11" s="10"/>
      <c r="R11" s="10"/>
      <c r="S11" s="10"/>
      <c r="T11" s="10"/>
      <c r="U11" s="10"/>
      <c r="V11" s="10"/>
      <c r="W11" s="10"/>
      <c r="X11" s="10"/>
      <c r="Y11" s="10"/>
      <c r="Z11" s="10"/>
    </row>
    <row r="12" spans="1:28" s="8" customFormat="1" ht="18.75" x14ac:dyDescent="0.2">
      <c r="A12" s="321" t="str">
        <f>'1. паспорт местоположение'!A12:C12</f>
        <v>J 19-15</v>
      </c>
      <c r="B12" s="321"/>
      <c r="C12" s="321"/>
      <c r="D12" s="321"/>
      <c r="E12" s="321"/>
      <c r="F12" s="321"/>
      <c r="G12" s="321"/>
      <c r="H12" s="321"/>
      <c r="I12" s="321"/>
      <c r="J12" s="321"/>
      <c r="K12" s="321"/>
      <c r="L12" s="321"/>
      <c r="M12" s="321"/>
      <c r="N12" s="321"/>
      <c r="O12" s="321"/>
      <c r="P12" s="10"/>
      <c r="Q12" s="10"/>
      <c r="R12" s="10"/>
      <c r="S12" s="10"/>
      <c r="T12" s="10"/>
      <c r="U12" s="10"/>
      <c r="V12" s="10"/>
      <c r="W12" s="10"/>
      <c r="X12" s="10"/>
      <c r="Y12" s="10"/>
      <c r="Z12" s="10"/>
    </row>
    <row r="13" spans="1:28" s="8" customFormat="1" ht="18.75" x14ac:dyDescent="0.2">
      <c r="A13" s="311" t="s">
        <v>4</v>
      </c>
      <c r="B13" s="311"/>
      <c r="C13" s="311"/>
      <c r="D13" s="311"/>
      <c r="E13" s="311"/>
      <c r="F13" s="311"/>
      <c r="G13" s="311"/>
      <c r="H13" s="311"/>
      <c r="I13" s="311"/>
      <c r="J13" s="311"/>
      <c r="K13" s="311"/>
      <c r="L13" s="311"/>
      <c r="M13" s="311"/>
      <c r="N13" s="311"/>
      <c r="O13" s="311"/>
      <c r="P13" s="10"/>
      <c r="Q13" s="10"/>
      <c r="R13" s="10"/>
      <c r="S13" s="10"/>
      <c r="T13" s="10"/>
      <c r="U13" s="10"/>
      <c r="V13" s="10"/>
      <c r="W13" s="10"/>
      <c r="X13" s="10"/>
      <c r="Y13" s="10"/>
      <c r="Z13" s="10"/>
    </row>
    <row r="14" spans="1:28" s="8" customFormat="1" ht="15.75" customHeight="1" x14ac:dyDescent="0.2">
      <c r="A14" s="325"/>
      <c r="B14" s="325"/>
      <c r="C14" s="325"/>
      <c r="D14" s="325"/>
      <c r="E14" s="325"/>
      <c r="F14" s="325"/>
      <c r="G14" s="325"/>
      <c r="H14" s="325"/>
      <c r="I14" s="325"/>
      <c r="J14" s="325"/>
      <c r="K14" s="325"/>
      <c r="L14" s="325"/>
      <c r="M14" s="325"/>
      <c r="N14" s="325"/>
      <c r="O14" s="325"/>
      <c r="P14" s="4"/>
      <c r="Q14" s="4"/>
      <c r="R14" s="4"/>
      <c r="S14" s="4"/>
      <c r="T14" s="4"/>
      <c r="U14" s="4"/>
      <c r="V14" s="4"/>
      <c r="W14" s="4"/>
      <c r="X14" s="4"/>
      <c r="Y14" s="4"/>
      <c r="Z14" s="4"/>
    </row>
    <row r="15" spans="1:28" s="3" customFormat="1" ht="12" x14ac:dyDescent="0.2">
      <c r="A15" s="321" t="str">
        <f>'1. паспорт местоположение'!A15</f>
        <v>Строительство КЛ 15 кВ от  РП-1 до ТП-1 пер. Комсомольский, г. Пионерский</v>
      </c>
      <c r="B15" s="321"/>
      <c r="C15" s="321"/>
      <c r="D15" s="321"/>
      <c r="E15" s="321"/>
      <c r="F15" s="321"/>
      <c r="G15" s="321"/>
      <c r="H15" s="321"/>
      <c r="I15" s="321"/>
      <c r="J15" s="321"/>
      <c r="K15" s="321"/>
      <c r="L15" s="321"/>
      <c r="M15" s="321"/>
      <c r="N15" s="321"/>
      <c r="O15" s="321"/>
      <c r="P15" s="7"/>
      <c r="Q15" s="7"/>
      <c r="R15" s="7"/>
      <c r="S15" s="7"/>
      <c r="T15" s="7"/>
      <c r="U15" s="7"/>
      <c r="V15" s="7"/>
      <c r="W15" s="7"/>
      <c r="X15" s="7"/>
      <c r="Y15" s="7"/>
      <c r="Z15" s="7"/>
    </row>
    <row r="16" spans="1:28" s="3" customFormat="1" ht="15" customHeight="1" x14ac:dyDescent="0.2">
      <c r="A16" s="311" t="s">
        <v>3</v>
      </c>
      <c r="B16" s="311"/>
      <c r="C16" s="311"/>
      <c r="D16" s="311"/>
      <c r="E16" s="311"/>
      <c r="F16" s="311"/>
      <c r="G16" s="311"/>
      <c r="H16" s="311"/>
      <c r="I16" s="311"/>
      <c r="J16" s="311"/>
      <c r="K16" s="311"/>
      <c r="L16" s="311"/>
      <c r="M16" s="311"/>
      <c r="N16" s="311"/>
      <c r="O16" s="311"/>
      <c r="P16" s="5"/>
      <c r="Q16" s="5"/>
      <c r="R16" s="5"/>
      <c r="S16" s="5"/>
      <c r="T16" s="5"/>
      <c r="U16" s="5"/>
      <c r="V16" s="5"/>
      <c r="W16" s="5"/>
      <c r="X16" s="5"/>
      <c r="Y16" s="5"/>
      <c r="Z16" s="5"/>
    </row>
    <row r="17" spans="1:26" s="3" customFormat="1" ht="15" customHeight="1" x14ac:dyDescent="0.2">
      <c r="A17" s="325"/>
      <c r="B17" s="325"/>
      <c r="C17" s="325"/>
      <c r="D17" s="325"/>
      <c r="E17" s="325"/>
      <c r="F17" s="325"/>
      <c r="G17" s="325"/>
      <c r="H17" s="325"/>
      <c r="I17" s="325"/>
      <c r="J17" s="325"/>
      <c r="K17" s="325"/>
      <c r="L17" s="325"/>
      <c r="M17" s="325"/>
      <c r="N17" s="325"/>
      <c r="O17" s="325"/>
      <c r="P17" s="4"/>
      <c r="Q17" s="4"/>
      <c r="R17" s="4"/>
      <c r="S17" s="4"/>
      <c r="T17" s="4"/>
      <c r="U17" s="4"/>
      <c r="V17" s="4"/>
      <c r="W17" s="4"/>
    </row>
    <row r="18" spans="1:26" s="3" customFormat="1" ht="91.5" customHeight="1" x14ac:dyDescent="0.2">
      <c r="A18" s="355" t="s">
        <v>420</v>
      </c>
      <c r="B18" s="355"/>
      <c r="C18" s="355"/>
      <c r="D18" s="355"/>
      <c r="E18" s="355"/>
      <c r="F18" s="355"/>
      <c r="G18" s="355"/>
      <c r="H18" s="355"/>
      <c r="I18" s="355"/>
      <c r="J18" s="355"/>
      <c r="K18" s="355"/>
      <c r="L18" s="355"/>
      <c r="M18" s="355"/>
      <c r="N18" s="355"/>
      <c r="O18" s="355"/>
      <c r="P18" s="6"/>
      <c r="Q18" s="6"/>
      <c r="R18" s="6"/>
      <c r="S18" s="6"/>
      <c r="T18" s="6"/>
      <c r="U18" s="6"/>
      <c r="V18" s="6"/>
      <c r="W18" s="6"/>
      <c r="X18" s="6"/>
      <c r="Y18" s="6"/>
      <c r="Z18" s="6"/>
    </row>
    <row r="19" spans="1:26" s="3" customFormat="1" ht="78" customHeight="1" x14ac:dyDescent="0.2">
      <c r="A19" s="351" t="s">
        <v>2</v>
      </c>
      <c r="B19" s="351" t="s">
        <v>81</v>
      </c>
      <c r="C19" s="351" t="s">
        <v>80</v>
      </c>
      <c r="D19" s="351" t="s">
        <v>72</v>
      </c>
      <c r="E19" s="352" t="s">
        <v>79</v>
      </c>
      <c r="F19" s="353"/>
      <c r="G19" s="353"/>
      <c r="H19" s="353"/>
      <c r="I19" s="354"/>
      <c r="J19" s="351" t="s">
        <v>78</v>
      </c>
      <c r="K19" s="351"/>
      <c r="L19" s="351"/>
      <c r="M19" s="351"/>
      <c r="N19" s="351"/>
      <c r="O19" s="351"/>
      <c r="P19" s="4"/>
      <c r="Q19" s="4"/>
      <c r="R19" s="4"/>
      <c r="S19" s="4"/>
      <c r="T19" s="4"/>
      <c r="U19" s="4"/>
      <c r="V19" s="4"/>
      <c r="W19" s="4"/>
    </row>
    <row r="20" spans="1:26" s="3" customFormat="1" ht="51" customHeight="1" x14ac:dyDescent="0.2">
      <c r="A20" s="351"/>
      <c r="B20" s="351"/>
      <c r="C20" s="351"/>
      <c r="D20" s="351"/>
      <c r="E20" s="201" t="s">
        <v>77</v>
      </c>
      <c r="F20" s="201" t="s">
        <v>76</v>
      </c>
      <c r="G20" s="201" t="s">
        <v>75</v>
      </c>
      <c r="H20" s="201" t="s">
        <v>74</v>
      </c>
      <c r="I20" s="201" t="s">
        <v>73</v>
      </c>
      <c r="J20" s="201">
        <v>2018</v>
      </c>
      <c r="K20" s="201">
        <v>2019</v>
      </c>
      <c r="L20" s="201">
        <v>2020</v>
      </c>
      <c r="M20" s="201">
        <v>2021</v>
      </c>
      <c r="N20" s="201">
        <v>2022</v>
      </c>
      <c r="O20" s="201">
        <v>2023</v>
      </c>
      <c r="P20" s="4"/>
      <c r="Q20" s="4"/>
      <c r="R20" s="4"/>
      <c r="S20" s="4"/>
      <c r="T20" s="4"/>
      <c r="U20" s="4"/>
      <c r="V20" s="4"/>
      <c r="W20" s="4"/>
    </row>
    <row r="21" spans="1:26" s="3" customFormat="1" ht="16.5" customHeight="1" x14ac:dyDescent="0.2">
      <c r="A21" s="202">
        <v>1</v>
      </c>
      <c r="B21" s="146">
        <v>2</v>
      </c>
      <c r="C21" s="202">
        <v>3</v>
      </c>
      <c r="D21" s="146">
        <v>4</v>
      </c>
      <c r="E21" s="202">
        <v>5</v>
      </c>
      <c r="F21" s="146">
        <v>6</v>
      </c>
      <c r="G21" s="202">
        <v>7</v>
      </c>
      <c r="H21" s="146">
        <v>8</v>
      </c>
      <c r="I21" s="202">
        <v>9</v>
      </c>
      <c r="J21" s="146">
        <v>10</v>
      </c>
      <c r="K21" s="202">
        <v>11</v>
      </c>
      <c r="L21" s="146">
        <v>12</v>
      </c>
      <c r="M21" s="202">
        <v>13</v>
      </c>
      <c r="N21" s="146">
        <v>14</v>
      </c>
      <c r="O21" s="202">
        <v>15</v>
      </c>
      <c r="P21" s="4"/>
      <c r="Q21" s="4"/>
      <c r="R21" s="4"/>
      <c r="S21" s="4"/>
      <c r="T21" s="4"/>
      <c r="U21" s="4"/>
      <c r="V21" s="4"/>
      <c r="W21" s="4"/>
    </row>
    <row r="22" spans="1:26" s="3" customFormat="1" ht="33" customHeight="1" x14ac:dyDescent="0.2">
      <c r="A22" s="203" t="s">
        <v>61</v>
      </c>
      <c r="B22" s="204" t="s">
        <v>569</v>
      </c>
      <c r="C22" s="205">
        <v>0</v>
      </c>
      <c r="D22" s="205">
        <v>0</v>
      </c>
      <c r="E22" s="205">
        <v>0</v>
      </c>
      <c r="F22" s="205">
        <v>0</v>
      </c>
      <c r="G22" s="205">
        <v>0</v>
      </c>
      <c r="H22" s="205">
        <v>0</v>
      </c>
      <c r="I22" s="205">
        <v>0</v>
      </c>
      <c r="J22" s="206">
        <v>0</v>
      </c>
      <c r="K22" s="206">
        <v>0</v>
      </c>
      <c r="L22" s="207">
        <v>0</v>
      </c>
      <c r="M22" s="207">
        <v>0</v>
      </c>
      <c r="N22" s="207">
        <v>0</v>
      </c>
      <c r="O22" s="207">
        <v>0</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10" zoomScale="90" zoomScaleNormal="90" workbookViewId="0">
      <selection activeCell="E48" sqref="E48"/>
    </sheetView>
  </sheetViews>
  <sheetFormatPr defaultRowHeight="12.75" x14ac:dyDescent="0.2"/>
  <cols>
    <col min="1" max="1" width="66.140625" style="229" customWidth="1"/>
    <col min="2" max="2" width="17.140625" style="229" customWidth="1"/>
    <col min="3" max="3" width="13.85546875" style="229" customWidth="1"/>
    <col min="4" max="5" width="13.5703125" style="229" customWidth="1"/>
    <col min="6" max="6" width="14.5703125" style="229" customWidth="1"/>
    <col min="7" max="7" width="13.42578125" style="229" customWidth="1"/>
    <col min="8" max="12" width="15.42578125" style="229" customWidth="1"/>
    <col min="13" max="13" width="15.42578125" style="229" hidden="1" customWidth="1"/>
    <col min="14" max="14" width="15.42578125" style="301" hidden="1" customWidth="1"/>
    <col min="15" max="19" width="15.42578125" style="229" hidden="1" customWidth="1"/>
    <col min="20" max="29" width="17.28515625" style="229" hidden="1" customWidth="1"/>
    <col min="30" max="31" width="17.28515625" style="219" hidden="1" customWidth="1"/>
    <col min="32" max="32" width="0" style="219" hidden="1" customWidth="1"/>
    <col min="33" max="16384" width="9.140625" style="219"/>
  </cols>
  <sheetData>
    <row r="1" spans="1:45" x14ac:dyDescent="0.2">
      <c r="A1" s="216"/>
      <c r="B1" s="217"/>
      <c r="C1" s="217"/>
      <c r="D1" s="217"/>
      <c r="E1" s="217"/>
      <c r="F1" s="217"/>
      <c r="G1" s="217"/>
      <c r="H1" s="217"/>
      <c r="I1" s="217"/>
      <c r="J1" s="217"/>
      <c r="K1" s="218"/>
      <c r="L1" s="217"/>
      <c r="M1" s="217"/>
      <c r="N1" s="217"/>
      <c r="O1" s="217"/>
      <c r="P1" s="218" t="s">
        <v>65</v>
      </c>
      <c r="Q1" s="217"/>
      <c r="R1" s="217"/>
      <c r="S1" s="217"/>
      <c r="T1" s="217"/>
      <c r="U1" s="217"/>
      <c r="V1" s="217"/>
      <c r="W1" s="217"/>
      <c r="X1" s="217"/>
      <c r="Y1" s="217"/>
      <c r="Z1" s="217"/>
      <c r="AA1" s="217"/>
      <c r="AB1" s="217"/>
      <c r="AC1" s="217"/>
      <c r="AD1" s="217"/>
      <c r="AE1" s="217"/>
      <c r="AF1" s="217"/>
      <c r="AG1" s="217"/>
      <c r="AH1" s="217"/>
      <c r="AI1" s="217"/>
      <c r="AJ1" s="217"/>
      <c r="AK1" s="217"/>
      <c r="AL1" s="217"/>
      <c r="AM1" s="217"/>
      <c r="AN1" s="217"/>
      <c r="AP1" s="220"/>
      <c r="AQ1" s="220"/>
      <c r="AR1" s="221"/>
      <c r="AS1" s="221"/>
    </row>
    <row r="2" spans="1:45" x14ac:dyDescent="0.2">
      <c r="A2" s="216"/>
      <c r="B2" s="217"/>
      <c r="C2" s="217"/>
      <c r="D2" s="217"/>
      <c r="E2" s="217"/>
      <c r="F2" s="217"/>
      <c r="G2" s="217"/>
      <c r="H2" s="217"/>
      <c r="I2" s="217"/>
      <c r="J2" s="217"/>
      <c r="K2" s="222"/>
      <c r="L2" s="217"/>
      <c r="M2" s="217"/>
      <c r="N2" s="217"/>
      <c r="O2" s="217"/>
      <c r="P2" s="222" t="s">
        <v>7</v>
      </c>
      <c r="Q2" s="217"/>
      <c r="R2" s="217"/>
      <c r="S2" s="217"/>
      <c r="T2" s="217"/>
      <c r="U2" s="217"/>
      <c r="V2" s="217"/>
      <c r="W2" s="217"/>
      <c r="X2" s="217"/>
      <c r="Y2" s="217"/>
      <c r="Z2" s="217"/>
      <c r="AA2" s="217"/>
      <c r="AB2" s="217"/>
      <c r="AC2" s="217"/>
      <c r="AD2" s="217"/>
      <c r="AE2" s="217"/>
      <c r="AF2" s="217"/>
      <c r="AG2" s="217"/>
      <c r="AH2" s="217"/>
      <c r="AI2" s="217"/>
      <c r="AJ2" s="217"/>
      <c r="AK2" s="217"/>
      <c r="AL2" s="217"/>
      <c r="AM2" s="217"/>
      <c r="AN2" s="217"/>
      <c r="AP2" s="220"/>
      <c r="AQ2" s="220"/>
      <c r="AR2" s="221"/>
      <c r="AS2" s="221"/>
    </row>
    <row r="3" spans="1:45" x14ac:dyDescent="0.2">
      <c r="A3" s="223"/>
      <c r="B3" s="217"/>
      <c r="C3" s="217"/>
      <c r="D3" s="217"/>
      <c r="E3" s="217"/>
      <c r="F3" s="217"/>
      <c r="G3" s="217"/>
      <c r="H3" s="217"/>
      <c r="I3" s="217"/>
      <c r="J3" s="217"/>
      <c r="K3" s="222"/>
      <c r="L3" s="217"/>
      <c r="M3" s="217"/>
      <c r="N3" s="217"/>
      <c r="O3" s="217"/>
      <c r="P3" s="222" t="s">
        <v>287</v>
      </c>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P3" s="220"/>
      <c r="AQ3" s="220"/>
      <c r="AR3" s="221"/>
      <c r="AS3" s="221"/>
    </row>
    <row r="4" spans="1:45" x14ac:dyDescent="0.2">
      <c r="A4" s="224"/>
      <c r="B4" s="216"/>
      <c r="C4" s="216"/>
      <c r="D4" s="216"/>
      <c r="E4" s="216"/>
      <c r="F4" s="216"/>
      <c r="G4" s="216"/>
      <c r="H4" s="216"/>
      <c r="I4" s="216"/>
      <c r="J4" s="216"/>
      <c r="K4" s="222"/>
      <c r="L4" s="216"/>
      <c r="M4" s="216"/>
      <c r="N4" s="216"/>
      <c r="O4" s="216"/>
      <c r="P4" s="216"/>
      <c r="Q4" s="217"/>
      <c r="R4" s="217"/>
      <c r="S4" s="217"/>
      <c r="T4" s="217"/>
      <c r="U4" s="217"/>
      <c r="V4" s="217"/>
      <c r="W4" s="217"/>
      <c r="X4" s="217"/>
      <c r="Y4" s="217"/>
      <c r="Z4" s="217"/>
      <c r="AA4" s="217"/>
      <c r="AB4" s="217"/>
      <c r="AC4" s="217"/>
      <c r="AD4" s="217"/>
      <c r="AE4" s="217"/>
      <c r="AF4" s="217"/>
      <c r="AG4" s="217"/>
      <c r="AH4" s="217"/>
      <c r="AI4" s="217"/>
      <c r="AJ4" s="217"/>
      <c r="AK4" s="217"/>
      <c r="AL4" s="217"/>
      <c r="AM4" s="217"/>
      <c r="AN4" s="217"/>
      <c r="AO4" s="217"/>
      <c r="AP4" s="220"/>
      <c r="AQ4" s="220"/>
      <c r="AR4" s="221"/>
      <c r="AS4" s="221"/>
    </row>
    <row r="5" spans="1:45" x14ac:dyDescent="0.2">
      <c r="A5" s="357" t="str">
        <f>'1. паспорт местоположение'!A5:C5</f>
        <v>Год раскрытия информации: 2023 год</v>
      </c>
      <c r="B5" s="357"/>
      <c r="C5" s="357"/>
      <c r="D5" s="357"/>
      <c r="E5" s="357"/>
      <c r="F5" s="357"/>
      <c r="G5" s="357"/>
      <c r="H5" s="357"/>
      <c r="I5" s="357"/>
      <c r="J5" s="357"/>
      <c r="K5" s="357"/>
      <c r="L5" s="357"/>
      <c r="M5" s="357"/>
      <c r="N5" s="357"/>
      <c r="O5" s="357"/>
      <c r="P5" s="357"/>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0"/>
      <c r="AQ5" s="220"/>
      <c r="AR5" s="221"/>
      <c r="AS5" s="221"/>
    </row>
    <row r="6" spans="1:45" x14ac:dyDescent="0.2">
      <c r="A6" s="224"/>
      <c r="B6" s="216"/>
      <c r="C6" s="216"/>
      <c r="D6" s="216"/>
      <c r="E6" s="216"/>
      <c r="F6" s="216"/>
      <c r="G6" s="216"/>
      <c r="H6" s="216"/>
      <c r="I6" s="216"/>
      <c r="J6" s="216"/>
      <c r="K6" s="222"/>
      <c r="L6" s="216"/>
      <c r="M6" s="216"/>
      <c r="N6" s="216"/>
      <c r="O6" s="216"/>
      <c r="P6" s="216"/>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217"/>
      <c r="AP6" s="220"/>
      <c r="AQ6" s="220"/>
      <c r="AR6" s="221"/>
      <c r="AS6" s="221"/>
    </row>
    <row r="7" spans="1:45" x14ac:dyDescent="0.2">
      <c r="A7" s="357" t="s">
        <v>6</v>
      </c>
      <c r="B7" s="357"/>
      <c r="C7" s="357"/>
      <c r="D7" s="357"/>
      <c r="E7" s="357"/>
      <c r="F7" s="357"/>
      <c r="G7" s="357"/>
      <c r="H7" s="357"/>
      <c r="I7" s="357"/>
      <c r="J7" s="357"/>
      <c r="K7" s="357"/>
      <c r="L7" s="357"/>
      <c r="M7" s="357"/>
      <c r="N7" s="357"/>
      <c r="O7" s="357"/>
      <c r="P7" s="357"/>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0"/>
      <c r="AQ7" s="220"/>
      <c r="AR7" s="221"/>
      <c r="AS7" s="221"/>
    </row>
    <row r="8" spans="1:45" x14ac:dyDescent="0.2">
      <c r="A8" s="227"/>
      <c r="B8" s="227"/>
      <c r="C8" s="227"/>
      <c r="D8" s="227"/>
      <c r="E8" s="227"/>
      <c r="F8" s="227"/>
      <c r="G8" s="227"/>
      <c r="H8" s="227"/>
      <c r="I8" s="227"/>
      <c r="J8" s="227"/>
      <c r="K8" s="227"/>
      <c r="L8" s="225"/>
      <c r="M8" s="225"/>
      <c r="N8" s="225"/>
      <c r="O8" s="225"/>
      <c r="P8" s="225"/>
      <c r="Q8" s="226"/>
      <c r="R8" s="226"/>
      <c r="S8" s="226"/>
      <c r="T8" s="226"/>
      <c r="U8" s="226"/>
      <c r="V8" s="226"/>
      <c r="W8" s="226"/>
      <c r="X8" s="226"/>
      <c r="Y8" s="226"/>
      <c r="Z8" s="217"/>
      <c r="AA8" s="217"/>
      <c r="AB8" s="217"/>
      <c r="AC8" s="217"/>
      <c r="AD8" s="217"/>
      <c r="AE8" s="217"/>
      <c r="AF8" s="217"/>
      <c r="AG8" s="217"/>
      <c r="AH8" s="217"/>
      <c r="AI8" s="217"/>
      <c r="AJ8" s="217"/>
      <c r="AK8" s="217"/>
      <c r="AL8" s="217"/>
      <c r="AM8" s="217"/>
      <c r="AN8" s="217"/>
      <c r="AO8" s="217"/>
      <c r="AP8" s="220"/>
      <c r="AQ8" s="220"/>
      <c r="AR8" s="221"/>
      <c r="AS8" s="221"/>
    </row>
    <row r="9" spans="1:45" x14ac:dyDescent="0.2">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c r="L9" s="358"/>
      <c r="M9" s="358"/>
      <c r="N9" s="358"/>
      <c r="O9" s="358"/>
      <c r="P9" s="35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0"/>
      <c r="AQ9" s="220"/>
      <c r="AR9" s="221"/>
      <c r="AS9" s="221"/>
    </row>
    <row r="10" spans="1:45" x14ac:dyDescent="0.2">
      <c r="A10" s="356" t="s">
        <v>5</v>
      </c>
      <c r="B10" s="356"/>
      <c r="C10" s="356"/>
      <c r="D10" s="356"/>
      <c r="E10" s="356"/>
      <c r="F10" s="356"/>
      <c r="G10" s="356"/>
      <c r="H10" s="356"/>
      <c r="I10" s="356"/>
      <c r="J10" s="356"/>
      <c r="K10" s="356"/>
      <c r="L10" s="356"/>
      <c r="M10" s="356"/>
      <c r="N10" s="356"/>
      <c r="O10" s="356"/>
      <c r="P10" s="356"/>
      <c r="AD10" s="229"/>
      <c r="AE10" s="229"/>
      <c r="AF10" s="229"/>
      <c r="AG10" s="229"/>
      <c r="AH10" s="229"/>
      <c r="AI10" s="229"/>
      <c r="AJ10" s="229"/>
      <c r="AK10" s="229"/>
      <c r="AL10" s="229"/>
      <c r="AM10" s="229"/>
      <c r="AN10" s="229"/>
      <c r="AO10" s="229"/>
      <c r="AP10" s="220"/>
      <c r="AQ10" s="220"/>
      <c r="AR10" s="221"/>
      <c r="AS10" s="221"/>
    </row>
    <row r="11" spans="1:45" x14ac:dyDescent="0.2">
      <c r="A11" s="227"/>
      <c r="B11" s="227"/>
      <c r="C11" s="227"/>
      <c r="D11" s="227"/>
      <c r="E11" s="227"/>
      <c r="F11" s="227"/>
      <c r="G11" s="227"/>
      <c r="H11" s="227"/>
      <c r="I11" s="227"/>
      <c r="J11" s="227"/>
      <c r="K11" s="227"/>
      <c r="L11" s="225"/>
      <c r="M11" s="225"/>
      <c r="N11" s="225"/>
      <c r="O11" s="225"/>
      <c r="P11" s="225"/>
      <c r="Q11" s="226"/>
      <c r="R11" s="226"/>
      <c r="S11" s="226"/>
      <c r="T11" s="226"/>
      <c r="U11" s="226"/>
      <c r="V11" s="226"/>
      <c r="W11" s="226"/>
      <c r="X11" s="226"/>
      <c r="Y11" s="226"/>
      <c r="Z11" s="217"/>
      <c r="AA11" s="217"/>
      <c r="AB11" s="217"/>
      <c r="AC11" s="217"/>
      <c r="AD11" s="217"/>
      <c r="AE11" s="217"/>
      <c r="AF11" s="217"/>
      <c r="AG11" s="217"/>
      <c r="AH11" s="217"/>
      <c r="AI11" s="217"/>
      <c r="AJ11" s="217"/>
      <c r="AK11" s="217"/>
      <c r="AL11" s="217"/>
      <c r="AM11" s="217"/>
      <c r="AN11" s="217"/>
      <c r="AO11" s="217"/>
      <c r="AP11" s="220"/>
      <c r="AQ11" s="220"/>
      <c r="AR11" s="221"/>
      <c r="AS11" s="221"/>
    </row>
    <row r="12" spans="1:45" x14ac:dyDescent="0.2">
      <c r="A12" s="358" t="str">
        <f>'1. паспорт местоположение'!A12:C12</f>
        <v>J 19-15</v>
      </c>
      <c r="B12" s="358"/>
      <c r="C12" s="358"/>
      <c r="D12" s="358"/>
      <c r="E12" s="358"/>
      <c r="F12" s="358"/>
      <c r="G12" s="358"/>
      <c r="H12" s="358"/>
      <c r="I12" s="358"/>
      <c r="J12" s="358"/>
      <c r="K12" s="358"/>
      <c r="L12" s="358"/>
      <c r="M12" s="358"/>
      <c r="N12" s="358"/>
      <c r="O12" s="358"/>
      <c r="P12" s="35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0"/>
      <c r="AQ12" s="220"/>
      <c r="AR12" s="221"/>
      <c r="AS12" s="221"/>
    </row>
    <row r="13" spans="1:45" x14ac:dyDescent="0.2">
      <c r="A13" s="356" t="s">
        <v>4</v>
      </c>
      <c r="B13" s="356"/>
      <c r="C13" s="356"/>
      <c r="D13" s="356"/>
      <c r="E13" s="356"/>
      <c r="F13" s="356"/>
      <c r="G13" s="356"/>
      <c r="H13" s="356"/>
      <c r="I13" s="356"/>
      <c r="J13" s="356"/>
      <c r="K13" s="356"/>
      <c r="L13" s="356"/>
      <c r="M13" s="356"/>
      <c r="N13" s="356"/>
      <c r="O13" s="356"/>
      <c r="P13" s="356"/>
      <c r="AD13" s="229"/>
      <c r="AE13" s="229"/>
      <c r="AF13" s="229"/>
      <c r="AG13" s="229"/>
      <c r="AH13" s="229"/>
      <c r="AI13" s="229"/>
      <c r="AJ13" s="229"/>
      <c r="AK13" s="229"/>
      <c r="AL13" s="229"/>
      <c r="AM13" s="229"/>
      <c r="AN13" s="229"/>
      <c r="AO13" s="229"/>
      <c r="AP13" s="220"/>
      <c r="AQ13" s="220"/>
      <c r="AR13" s="221"/>
      <c r="AS13" s="221"/>
    </row>
    <row r="14" spans="1:45" x14ac:dyDescent="0.2">
      <c r="A14" s="230"/>
      <c r="B14" s="230"/>
      <c r="C14" s="230"/>
      <c r="D14" s="230"/>
      <c r="E14" s="230"/>
      <c r="F14" s="230"/>
      <c r="G14" s="230"/>
      <c r="H14" s="230"/>
      <c r="I14" s="230"/>
      <c r="J14" s="230"/>
      <c r="K14" s="230"/>
      <c r="L14" s="230"/>
      <c r="M14" s="230"/>
      <c r="N14" s="230"/>
      <c r="O14" s="230"/>
      <c r="P14" s="230"/>
      <c r="Q14" s="231"/>
      <c r="R14" s="231"/>
      <c r="S14" s="231"/>
      <c r="T14" s="231"/>
      <c r="U14" s="231"/>
      <c r="V14" s="231"/>
      <c r="W14" s="231"/>
      <c r="X14" s="231"/>
      <c r="Y14" s="231"/>
      <c r="Z14" s="217"/>
      <c r="AA14" s="217"/>
      <c r="AB14" s="217"/>
      <c r="AC14" s="217"/>
      <c r="AD14" s="217"/>
      <c r="AE14" s="217"/>
      <c r="AF14" s="217"/>
      <c r="AG14" s="217"/>
      <c r="AH14" s="217"/>
      <c r="AI14" s="217"/>
      <c r="AJ14" s="217"/>
      <c r="AK14" s="217"/>
      <c r="AL14" s="217"/>
      <c r="AM14" s="217"/>
      <c r="AN14" s="217"/>
      <c r="AO14" s="217"/>
      <c r="AP14" s="220"/>
      <c r="AQ14" s="220"/>
      <c r="AR14" s="221"/>
      <c r="AS14" s="221"/>
    </row>
    <row r="15" spans="1:45" x14ac:dyDescent="0.2">
      <c r="A15" s="363" t="str">
        <f>'1. паспорт местоположение'!A15:C15</f>
        <v>Строительство КЛ 15 кВ от  РП-1 до ТП-1 пер. Комсомольский, г. Пионерский</v>
      </c>
      <c r="B15" s="363"/>
      <c r="C15" s="363"/>
      <c r="D15" s="363"/>
      <c r="E15" s="363"/>
      <c r="F15" s="363"/>
      <c r="G15" s="363"/>
      <c r="H15" s="363"/>
      <c r="I15" s="363"/>
      <c r="J15" s="363"/>
      <c r="K15" s="363"/>
      <c r="L15" s="363"/>
      <c r="M15" s="363"/>
      <c r="N15" s="363"/>
      <c r="O15" s="363"/>
      <c r="P15" s="363"/>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20"/>
      <c r="AQ15" s="220"/>
      <c r="AR15" s="221"/>
      <c r="AS15" s="221"/>
    </row>
    <row r="16" spans="1:45" x14ac:dyDescent="0.2">
      <c r="A16" s="364" t="s">
        <v>3</v>
      </c>
      <c r="B16" s="364"/>
      <c r="C16" s="364"/>
      <c r="D16" s="364"/>
      <c r="E16" s="364"/>
      <c r="F16" s="364"/>
      <c r="G16" s="364"/>
      <c r="H16" s="364"/>
      <c r="I16" s="364"/>
      <c r="J16" s="364"/>
      <c r="K16" s="364"/>
      <c r="L16" s="364"/>
      <c r="M16" s="364"/>
      <c r="N16" s="364"/>
      <c r="O16" s="364"/>
      <c r="P16" s="364"/>
      <c r="AD16" s="229"/>
      <c r="AE16" s="229"/>
      <c r="AF16" s="229"/>
      <c r="AG16" s="229"/>
      <c r="AH16" s="229"/>
      <c r="AI16" s="229"/>
      <c r="AJ16" s="229"/>
      <c r="AK16" s="229"/>
      <c r="AL16" s="229"/>
      <c r="AM16" s="229"/>
      <c r="AN16" s="229"/>
      <c r="AO16" s="229"/>
      <c r="AP16" s="220"/>
      <c r="AQ16" s="220"/>
      <c r="AR16" s="221"/>
      <c r="AS16" s="221"/>
    </row>
    <row r="17" spans="1:45" x14ac:dyDescent="0.2">
      <c r="A17" s="231"/>
      <c r="B17" s="231"/>
      <c r="C17" s="231"/>
      <c r="D17" s="231"/>
      <c r="E17" s="231"/>
      <c r="F17" s="231"/>
      <c r="G17" s="231"/>
      <c r="H17" s="231"/>
      <c r="I17" s="231"/>
      <c r="J17" s="231"/>
      <c r="K17" s="231"/>
      <c r="L17" s="231"/>
      <c r="M17" s="231"/>
      <c r="N17" s="231"/>
      <c r="O17" s="231"/>
      <c r="P17" s="231"/>
      <c r="Q17" s="231"/>
      <c r="R17" s="231"/>
      <c r="S17" s="231"/>
      <c r="T17" s="231"/>
      <c r="U17" s="231"/>
      <c r="V17" s="231"/>
      <c r="W17" s="233"/>
      <c r="X17" s="233"/>
      <c r="Y17" s="233"/>
      <c r="Z17" s="233"/>
      <c r="AA17" s="233"/>
      <c r="AB17" s="233"/>
      <c r="AC17" s="233"/>
      <c r="AD17" s="233"/>
      <c r="AE17" s="233"/>
      <c r="AF17" s="233"/>
      <c r="AG17" s="233"/>
      <c r="AH17" s="233"/>
      <c r="AI17" s="233"/>
      <c r="AJ17" s="233"/>
      <c r="AK17" s="233"/>
      <c r="AL17" s="233"/>
      <c r="AM17" s="233"/>
      <c r="AN17" s="233"/>
      <c r="AO17" s="233"/>
      <c r="AP17" s="220"/>
      <c r="AQ17" s="220"/>
      <c r="AR17" s="221"/>
      <c r="AS17" s="221"/>
    </row>
    <row r="18" spans="1:45" x14ac:dyDescent="0.2">
      <c r="A18" s="365" t="s">
        <v>421</v>
      </c>
      <c r="B18" s="365"/>
      <c r="C18" s="365"/>
      <c r="D18" s="365"/>
      <c r="E18" s="365"/>
      <c r="F18" s="365"/>
      <c r="G18" s="365"/>
      <c r="H18" s="365"/>
      <c r="I18" s="365"/>
      <c r="J18" s="365"/>
      <c r="K18" s="365"/>
      <c r="L18" s="365"/>
      <c r="M18" s="365"/>
      <c r="N18" s="365"/>
      <c r="O18" s="365"/>
      <c r="P18" s="365"/>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0"/>
      <c r="AQ18" s="220"/>
      <c r="AR18" s="221"/>
      <c r="AS18" s="221"/>
    </row>
    <row r="19" spans="1:45" x14ac:dyDescent="0.2">
      <c r="A19" s="234"/>
      <c r="B19" s="234"/>
      <c r="C19" s="234"/>
      <c r="D19" s="234"/>
      <c r="E19" s="234"/>
      <c r="F19" s="234"/>
      <c r="G19" s="234"/>
      <c r="H19" s="234"/>
      <c r="I19" s="234"/>
      <c r="J19" s="234"/>
      <c r="K19" s="234"/>
      <c r="L19" s="234"/>
      <c r="M19" s="234"/>
      <c r="N19" s="234"/>
      <c r="O19" s="234"/>
      <c r="P19" s="234"/>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0"/>
      <c r="AQ19" s="220"/>
      <c r="AR19" s="221"/>
      <c r="AS19" s="221"/>
    </row>
    <row r="20" spans="1:45" x14ac:dyDescent="0.2">
      <c r="A20" s="234"/>
      <c r="B20" s="234"/>
      <c r="C20" s="234"/>
      <c r="D20" s="234"/>
      <c r="E20" s="234"/>
      <c r="F20" s="234"/>
      <c r="G20" s="234"/>
      <c r="H20" s="234"/>
      <c r="I20" s="234"/>
      <c r="J20" s="234"/>
      <c r="K20" s="234"/>
      <c r="L20" s="234"/>
      <c r="M20" s="234"/>
      <c r="N20" s="234"/>
      <c r="O20" s="234"/>
      <c r="P20" s="234"/>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0"/>
      <c r="AQ20" s="220"/>
      <c r="AR20" s="221"/>
      <c r="AS20" s="221"/>
    </row>
    <row r="21" spans="1:45" x14ac:dyDescent="0.2">
      <c r="A21" s="235"/>
      <c r="N21" s="229"/>
      <c r="AP21" s="220"/>
      <c r="AQ21" s="220"/>
      <c r="AR21" s="221"/>
      <c r="AS21" s="221"/>
    </row>
    <row r="22" spans="1:45" x14ac:dyDescent="0.2">
      <c r="A22" s="226"/>
      <c r="N22" s="229"/>
      <c r="AP22" s="220"/>
      <c r="AQ22" s="220"/>
      <c r="AR22" s="221"/>
      <c r="AS22" s="221"/>
    </row>
    <row r="23" spans="1:45" ht="13.5" thickBot="1" x14ac:dyDescent="0.25">
      <c r="A23" s="236" t="s">
        <v>286</v>
      </c>
      <c r="B23" s="236" t="s">
        <v>0</v>
      </c>
      <c r="D23" s="237"/>
      <c r="N23" s="229"/>
    </row>
    <row r="24" spans="1:45" ht="15" x14ac:dyDescent="0.2">
      <c r="A24" s="238" t="s">
        <v>459</v>
      </c>
      <c r="B24" s="239">
        <f>'6.2. Паспорт фин осв ввод'!D30*1000000</f>
        <v>3241907.7247254923</v>
      </c>
      <c r="N24" s="229"/>
    </row>
    <row r="25" spans="1:45" x14ac:dyDescent="0.2">
      <c r="A25" s="240" t="s">
        <v>284</v>
      </c>
      <c r="B25" s="241">
        <v>0</v>
      </c>
      <c r="N25" s="229"/>
    </row>
    <row r="26" spans="1:45" x14ac:dyDescent="0.2">
      <c r="A26" s="240" t="s">
        <v>282</v>
      </c>
      <c r="B26" s="241">
        <v>30</v>
      </c>
      <c r="D26" s="226" t="s">
        <v>285</v>
      </c>
      <c r="N26" s="229"/>
    </row>
    <row r="27" spans="1:45" ht="13.5" thickBot="1" x14ac:dyDescent="0.25">
      <c r="A27" s="242" t="s">
        <v>280</v>
      </c>
      <c r="B27" s="243">
        <v>1</v>
      </c>
      <c r="D27" s="359" t="s">
        <v>283</v>
      </c>
      <c r="E27" s="360"/>
      <c r="F27" s="361"/>
      <c r="G27" s="244" t="str">
        <f>IF(SUM(B89:AG89)=0,"не окупается",SUM(B89:AG89))</f>
        <v>не окупается</v>
      </c>
      <c r="H27" s="245"/>
      <c r="N27" s="229"/>
    </row>
    <row r="28" spans="1:45" ht="15" x14ac:dyDescent="0.2">
      <c r="A28" s="238" t="s">
        <v>279</v>
      </c>
      <c r="B28" s="239">
        <f>B24*0.001</f>
        <v>3241.9077247254922</v>
      </c>
      <c r="D28" s="359" t="s">
        <v>281</v>
      </c>
      <c r="E28" s="360"/>
      <c r="F28" s="361"/>
      <c r="G28" s="244" t="str">
        <f>IF(SUM(B90:AG90)=0,"не окупается",SUM(B90:AG90))</f>
        <v>не окупается</v>
      </c>
      <c r="H28" s="245"/>
      <c r="N28" s="229"/>
    </row>
    <row r="29" spans="1:45" x14ac:dyDescent="0.2">
      <c r="A29" s="240" t="s">
        <v>460</v>
      </c>
      <c r="B29" s="241">
        <v>6</v>
      </c>
      <c r="D29" s="359" t="s">
        <v>594</v>
      </c>
      <c r="E29" s="360"/>
      <c r="F29" s="361"/>
      <c r="G29" s="246">
        <f>L87</f>
        <v>-312205.54171425244</v>
      </c>
      <c r="H29" s="247"/>
      <c r="N29" s="229"/>
    </row>
    <row r="30" spans="1:45" x14ac:dyDescent="0.2">
      <c r="A30" s="240" t="s">
        <v>278</v>
      </c>
      <c r="B30" s="241">
        <v>6</v>
      </c>
      <c r="D30" s="359"/>
      <c r="E30" s="360"/>
      <c r="F30" s="361"/>
      <c r="G30" s="248"/>
      <c r="H30" s="249"/>
      <c r="N30" s="229"/>
    </row>
    <row r="31" spans="1:45" x14ac:dyDescent="0.2">
      <c r="A31" s="240" t="s">
        <v>257</v>
      </c>
      <c r="B31" s="241">
        <v>0</v>
      </c>
      <c r="N31" s="229"/>
    </row>
    <row r="32" spans="1:45" x14ac:dyDescent="0.2">
      <c r="A32" s="240" t="s">
        <v>277</v>
      </c>
      <c r="B32" s="241">
        <v>1</v>
      </c>
      <c r="N32" s="229"/>
    </row>
    <row r="33" spans="1:31" x14ac:dyDescent="0.2">
      <c r="A33" s="240" t="s">
        <v>276</v>
      </c>
      <c r="B33" s="241">
        <v>1</v>
      </c>
      <c r="N33" s="229"/>
    </row>
    <row r="34" spans="1:31" x14ac:dyDescent="0.2">
      <c r="A34" s="250" t="s">
        <v>595</v>
      </c>
      <c r="B34" s="241">
        <f>B24*0.03</f>
        <v>97257.231741764772</v>
      </c>
      <c r="N34" s="229"/>
    </row>
    <row r="35" spans="1:31" ht="13.5" thickBot="1" x14ac:dyDescent="0.25">
      <c r="A35" s="242" t="s">
        <v>251</v>
      </c>
      <c r="B35" s="251">
        <v>0.2</v>
      </c>
      <c r="N35" s="229"/>
    </row>
    <row r="36" spans="1:31" x14ac:dyDescent="0.2">
      <c r="A36" s="238" t="s">
        <v>461</v>
      </c>
      <c r="B36" s="252">
        <v>0</v>
      </c>
      <c r="N36" s="229"/>
    </row>
    <row r="37" spans="1:31" x14ac:dyDescent="0.2">
      <c r="A37" s="240" t="s">
        <v>275</v>
      </c>
      <c r="B37" s="241"/>
      <c r="N37" s="229"/>
    </row>
    <row r="38" spans="1:31" ht="13.5" thickBot="1" x14ac:dyDescent="0.25">
      <c r="A38" s="250" t="s">
        <v>274</v>
      </c>
      <c r="B38" s="253"/>
      <c r="N38" s="229"/>
    </row>
    <row r="39" spans="1:31" x14ac:dyDescent="0.2">
      <c r="A39" s="254" t="s">
        <v>462</v>
      </c>
      <c r="B39" s="255">
        <v>1</v>
      </c>
      <c r="N39" s="229"/>
    </row>
    <row r="40" spans="1:31" x14ac:dyDescent="0.2">
      <c r="A40" s="256" t="s">
        <v>273</v>
      </c>
      <c r="B40" s="257"/>
      <c r="N40" s="229"/>
    </row>
    <row r="41" spans="1:31" x14ac:dyDescent="0.2">
      <c r="A41" s="256" t="s">
        <v>272</v>
      </c>
      <c r="B41" s="258"/>
      <c r="N41" s="229"/>
    </row>
    <row r="42" spans="1:31" x14ac:dyDescent="0.2">
      <c r="A42" s="256" t="s">
        <v>271</v>
      </c>
      <c r="B42" s="258">
        <v>0</v>
      </c>
      <c r="N42" s="229"/>
    </row>
    <row r="43" spans="1:31" x14ac:dyDescent="0.2">
      <c r="A43" s="256" t="s">
        <v>270</v>
      </c>
      <c r="B43" s="259">
        <v>9.8699999999999996E-2</v>
      </c>
      <c r="N43" s="229"/>
    </row>
    <row r="44" spans="1:31" x14ac:dyDescent="0.2">
      <c r="A44" s="256" t="s">
        <v>269</v>
      </c>
      <c r="B44" s="260">
        <v>1</v>
      </c>
      <c r="N44" s="229"/>
    </row>
    <row r="45" spans="1:31" ht="13.5" thickBot="1" x14ac:dyDescent="0.25">
      <c r="A45" s="261" t="s">
        <v>596</v>
      </c>
      <c r="B45" s="260">
        <f>B44*B43+B42*B41*(1-B35)</f>
        <v>9.8699999999999996E-2</v>
      </c>
      <c r="C45" s="262"/>
      <c r="N45" s="229"/>
    </row>
    <row r="46" spans="1:31" x14ac:dyDescent="0.2">
      <c r="A46" s="263" t="s">
        <v>268</v>
      </c>
      <c r="B46" s="264">
        <v>1</v>
      </c>
      <c r="C46" s="264">
        <v>2</v>
      </c>
      <c r="D46" s="264">
        <v>3</v>
      </c>
      <c r="E46" s="264">
        <v>4</v>
      </c>
      <c r="F46" s="264">
        <v>5</v>
      </c>
      <c r="G46" s="264">
        <v>6</v>
      </c>
      <c r="H46" s="264">
        <v>7</v>
      </c>
      <c r="I46" s="264">
        <v>8</v>
      </c>
      <c r="J46" s="264">
        <v>9</v>
      </c>
      <c r="K46" s="264">
        <v>10</v>
      </c>
      <c r="L46" s="264">
        <v>11</v>
      </c>
      <c r="M46" s="264">
        <v>12</v>
      </c>
      <c r="N46" s="264">
        <v>13</v>
      </c>
      <c r="O46" s="264">
        <v>14</v>
      </c>
      <c r="P46" s="264">
        <v>15</v>
      </c>
      <c r="Q46" s="264">
        <v>16</v>
      </c>
      <c r="R46" s="264">
        <v>17</v>
      </c>
      <c r="S46" s="264">
        <v>18</v>
      </c>
      <c r="T46" s="264">
        <v>19</v>
      </c>
      <c r="U46" s="264">
        <v>20</v>
      </c>
      <c r="V46" s="264">
        <v>21</v>
      </c>
      <c r="W46" s="264">
        <v>22</v>
      </c>
      <c r="X46" s="264">
        <v>23</v>
      </c>
      <c r="Y46" s="264">
        <v>24</v>
      </c>
      <c r="Z46" s="264">
        <v>25</v>
      </c>
      <c r="AA46" s="264">
        <v>26</v>
      </c>
      <c r="AB46" s="264">
        <v>27</v>
      </c>
      <c r="AC46" s="265">
        <v>28</v>
      </c>
      <c r="AD46" s="265">
        <v>29</v>
      </c>
      <c r="AE46" s="265">
        <v>30</v>
      </c>
    </row>
    <row r="47" spans="1:31" x14ac:dyDescent="0.2">
      <c r="A47" s="266" t="s">
        <v>267</v>
      </c>
      <c r="B47" s="267">
        <v>0.13900000000000001</v>
      </c>
      <c r="C47" s="267">
        <v>5.8999999999999997E-2</v>
      </c>
      <c r="D47" s="267">
        <v>5.2999999999999999E-2</v>
      </c>
      <c r="E47" s="267">
        <v>4.8000000000000001E-2</v>
      </c>
      <c r="F47" s="267">
        <v>4.7E-2</v>
      </c>
      <c r="G47" s="267">
        <v>4.7E-2</v>
      </c>
      <c r="H47" s="267">
        <v>4.7E-2</v>
      </c>
      <c r="I47" s="267">
        <v>4.7E-2</v>
      </c>
      <c r="J47" s="267">
        <v>4.7E-2</v>
      </c>
      <c r="K47" s="267">
        <v>4.7E-2</v>
      </c>
      <c r="L47" s="267">
        <v>4.7E-2</v>
      </c>
      <c r="M47" s="267">
        <v>4.7E-2</v>
      </c>
      <c r="N47" s="267">
        <v>4.7E-2</v>
      </c>
      <c r="O47" s="267">
        <v>4.7E-2</v>
      </c>
      <c r="P47" s="267">
        <v>4.7E-2</v>
      </c>
      <c r="Q47" s="267">
        <v>4.7E-2</v>
      </c>
      <c r="R47" s="267">
        <v>4.7E-2</v>
      </c>
      <c r="S47" s="267">
        <v>4.7E-2</v>
      </c>
      <c r="T47" s="267">
        <v>4.7E-2</v>
      </c>
      <c r="U47" s="267">
        <v>4.7E-2</v>
      </c>
      <c r="V47" s="267">
        <v>4.7E-2</v>
      </c>
      <c r="W47" s="267">
        <v>4.7E-2</v>
      </c>
      <c r="X47" s="267">
        <v>4.7E-2</v>
      </c>
      <c r="Y47" s="267">
        <v>4.7E-2</v>
      </c>
      <c r="Z47" s="267">
        <v>4.7E-2</v>
      </c>
      <c r="AA47" s="267">
        <v>4.7E-2</v>
      </c>
      <c r="AB47" s="267">
        <v>4.7E-2</v>
      </c>
      <c r="AC47" s="267">
        <v>4.7E-2</v>
      </c>
      <c r="AD47" s="267">
        <v>4.7E-2</v>
      </c>
      <c r="AE47" s="267">
        <v>4.7E-2</v>
      </c>
    </row>
    <row r="48" spans="1:31" x14ac:dyDescent="0.2">
      <c r="A48" s="266" t="s">
        <v>266</v>
      </c>
      <c r="B48" s="268">
        <f>B47</f>
        <v>0.13900000000000001</v>
      </c>
      <c r="C48" s="268">
        <f t="shared" ref="C48:AE48" si="0">(1+B48)*(1+C47)-1</f>
        <v>0.20620099999999986</v>
      </c>
      <c r="D48" s="268">
        <f t="shared" si="0"/>
        <v>0.27012965299999969</v>
      </c>
      <c r="E48" s="268">
        <f t="shared" si="0"/>
        <v>0.33109587634399973</v>
      </c>
      <c r="F48" s="268">
        <f t="shared" si="0"/>
        <v>0.39365738253216764</v>
      </c>
      <c r="G48" s="268">
        <f t="shared" si="0"/>
        <v>0.45915927951117941</v>
      </c>
      <c r="H48" s="268">
        <f t="shared" si="0"/>
        <v>0.52773976564820479</v>
      </c>
      <c r="I48" s="268">
        <f t="shared" si="0"/>
        <v>0.59954353463367038</v>
      </c>
      <c r="J48" s="268">
        <f t="shared" si="0"/>
        <v>0.67472208076145268</v>
      </c>
      <c r="K48" s="268">
        <f t="shared" si="0"/>
        <v>0.75343401855724079</v>
      </c>
      <c r="L48" s="268">
        <f t="shared" si="0"/>
        <v>0.83584541742943097</v>
      </c>
      <c r="M48" s="268">
        <f t="shared" si="0"/>
        <v>0.92213015204861404</v>
      </c>
      <c r="N48" s="268">
        <f t="shared" si="0"/>
        <v>1.0124702691948988</v>
      </c>
      <c r="O48" s="268">
        <f t="shared" si="0"/>
        <v>1.107056371847059</v>
      </c>
      <c r="P48" s="268">
        <f t="shared" si="0"/>
        <v>1.2060880213238705</v>
      </c>
      <c r="Q48" s="268">
        <f t="shared" si="0"/>
        <v>1.3097741583260922</v>
      </c>
      <c r="R48" s="268">
        <f t="shared" si="0"/>
        <v>1.4183335437674183</v>
      </c>
      <c r="S48" s="268">
        <f t="shared" si="0"/>
        <v>1.5319952203244869</v>
      </c>
      <c r="T48" s="268">
        <f t="shared" si="0"/>
        <v>1.6509989956797377</v>
      </c>
      <c r="U48" s="268">
        <f t="shared" si="0"/>
        <v>1.7755959484766852</v>
      </c>
      <c r="V48" s="268">
        <f t="shared" si="0"/>
        <v>1.9060489580550892</v>
      </c>
      <c r="W48" s="268">
        <f t="shared" si="0"/>
        <v>2.0426332590836784</v>
      </c>
      <c r="X48" s="268">
        <f t="shared" si="0"/>
        <v>2.185637022260611</v>
      </c>
      <c r="Y48" s="268">
        <f t="shared" si="0"/>
        <v>2.3353619623068593</v>
      </c>
      <c r="Z48" s="268">
        <f t="shared" si="0"/>
        <v>2.4921239745352817</v>
      </c>
      <c r="AA48" s="268">
        <f t="shared" si="0"/>
        <v>2.6562538013384396</v>
      </c>
      <c r="AB48" s="268">
        <f t="shared" si="0"/>
        <v>2.8280977300013461</v>
      </c>
      <c r="AC48" s="268">
        <f t="shared" si="0"/>
        <v>3.0080183233114095</v>
      </c>
      <c r="AD48" s="268">
        <f t="shared" si="0"/>
        <v>3.1963951845070451</v>
      </c>
      <c r="AE48" s="268">
        <f t="shared" si="0"/>
        <v>3.3936257581788762</v>
      </c>
    </row>
    <row r="49" spans="1:31" ht="13.5" thickBot="1" x14ac:dyDescent="0.25">
      <c r="A49" s="269" t="s">
        <v>463</v>
      </c>
      <c r="B49" s="270">
        <f>B24*1.2/2*0</f>
        <v>0</v>
      </c>
      <c r="C49" s="270">
        <v>0</v>
      </c>
      <c r="D49" s="270">
        <v>0</v>
      </c>
      <c r="E49" s="270">
        <v>0</v>
      </c>
      <c r="F49" s="270">
        <v>0</v>
      </c>
      <c r="G49" s="270">
        <v>0</v>
      </c>
      <c r="H49" s="270">
        <v>0</v>
      </c>
      <c r="I49" s="270">
        <v>0</v>
      </c>
      <c r="J49" s="270">
        <v>0</v>
      </c>
      <c r="K49" s="270">
        <v>0</v>
      </c>
      <c r="L49" s="270">
        <v>0</v>
      </c>
      <c r="M49" s="270">
        <v>0</v>
      </c>
      <c r="N49" s="270">
        <v>0</v>
      </c>
      <c r="O49" s="270">
        <v>0</v>
      </c>
      <c r="P49" s="270">
        <v>0</v>
      </c>
      <c r="Q49" s="270">
        <v>0</v>
      </c>
      <c r="R49" s="270">
        <v>0</v>
      </c>
      <c r="S49" s="270">
        <v>0</v>
      </c>
      <c r="T49" s="270">
        <v>0</v>
      </c>
      <c r="U49" s="270">
        <v>0</v>
      </c>
      <c r="V49" s="270">
        <v>0</v>
      </c>
      <c r="W49" s="270">
        <v>0</v>
      </c>
      <c r="X49" s="270">
        <v>0</v>
      </c>
      <c r="Y49" s="270">
        <v>0</v>
      </c>
      <c r="Z49" s="270">
        <v>0</v>
      </c>
      <c r="AA49" s="270">
        <v>0</v>
      </c>
      <c r="AB49" s="270">
        <v>0</v>
      </c>
      <c r="AC49" s="270">
        <v>0</v>
      </c>
      <c r="AD49" s="270">
        <v>0</v>
      </c>
      <c r="AE49" s="270">
        <v>0</v>
      </c>
    </row>
    <row r="50" spans="1:31" ht="13.5" thickBot="1" x14ac:dyDescent="0.25">
      <c r="A50" s="271"/>
      <c r="N50" s="229"/>
      <c r="AC50" s="272"/>
      <c r="AD50" s="272"/>
      <c r="AE50" s="272"/>
    </row>
    <row r="51" spans="1:31" x14ac:dyDescent="0.2">
      <c r="A51" s="273" t="s">
        <v>265</v>
      </c>
      <c r="B51" s="264">
        <v>1</v>
      </c>
      <c r="C51" s="264">
        <v>2</v>
      </c>
      <c r="D51" s="264">
        <v>3</v>
      </c>
      <c r="E51" s="264">
        <v>4</v>
      </c>
      <c r="F51" s="264">
        <v>5</v>
      </c>
      <c r="G51" s="264">
        <v>6</v>
      </c>
      <c r="H51" s="264">
        <v>7</v>
      </c>
      <c r="I51" s="264">
        <v>8</v>
      </c>
      <c r="J51" s="264">
        <v>9</v>
      </c>
      <c r="K51" s="264">
        <v>10</v>
      </c>
      <c r="L51" s="264">
        <v>11</v>
      </c>
      <c r="M51" s="264">
        <v>12</v>
      </c>
      <c r="N51" s="264">
        <v>13</v>
      </c>
      <c r="O51" s="264">
        <v>14</v>
      </c>
      <c r="P51" s="264">
        <v>15</v>
      </c>
      <c r="Q51" s="264">
        <v>16</v>
      </c>
      <c r="R51" s="264">
        <v>17</v>
      </c>
      <c r="S51" s="264">
        <v>18</v>
      </c>
      <c r="T51" s="264">
        <v>19</v>
      </c>
      <c r="U51" s="264">
        <v>20</v>
      </c>
      <c r="V51" s="264">
        <v>21</v>
      </c>
      <c r="W51" s="264">
        <v>22</v>
      </c>
      <c r="X51" s="264">
        <v>23</v>
      </c>
      <c r="Y51" s="264">
        <v>24</v>
      </c>
      <c r="Z51" s="264">
        <v>25</v>
      </c>
      <c r="AA51" s="264">
        <v>26</v>
      </c>
      <c r="AB51" s="264">
        <v>27</v>
      </c>
      <c r="AC51" s="264">
        <v>28</v>
      </c>
      <c r="AD51" s="264">
        <v>29</v>
      </c>
      <c r="AE51" s="264">
        <v>30</v>
      </c>
    </row>
    <row r="52" spans="1:31" x14ac:dyDescent="0.2">
      <c r="A52" s="266" t="s">
        <v>264</v>
      </c>
      <c r="B52" s="274">
        <v>0</v>
      </c>
      <c r="C52" s="274">
        <v>0</v>
      </c>
      <c r="D52" s="274">
        <v>0</v>
      </c>
      <c r="E52" s="274">
        <v>0</v>
      </c>
      <c r="F52" s="274">
        <v>0</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v>0</v>
      </c>
      <c r="Y52" s="274">
        <v>0</v>
      </c>
      <c r="Z52" s="274">
        <v>0</v>
      </c>
      <c r="AA52" s="274">
        <v>0</v>
      </c>
      <c r="AB52" s="274">
        <v>0</v>
      </c>
      <c r="AC52" s="275">
        <v>0</v>
      </c>
      <c r="AD52" s="275">
        <v>0</v>
      </c>
      <c r="AE52" s="275">
        <v>0</v>
      </c>
    </row>
    <row r="53" spans="1:31" x14ac:dyDescent="0.2">
      <c r="A53" s="266" t="s">
        <v>263</v>
      </c>
      <c r="B53" s="274">
        <v>0</v>
      </c>
      <c r="C53" s="274">
        <v>0</v>
      </c>
      <c r="D53" s="274">
        <v>0</v>
      </c>
      <c r="E53" s="274">
        <v>0</v>
      </c>
      <c r="F53" s="274">
        <v>0</v>
      </c>
      <c r="G53" s="274">
        <v>0</v>
      </c>
      <c r="H53" s="274">
        <v>0</v>
      </c>
      <c r="I53" s="274">
        <v>0</v>
      </c>
      <c r="J53" s="274">
        <v>0</v>
      </c>
      <c r="K53" s="274">
        <v>0</v>
      </c>
      <c r="L53" s="274">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4">
        <v>0</v>
      </c>
      <c r="AC53" s="275">
        <v>0</v>
      </c>
      <c r="AD53" s="275">
        <v>0</v>
      </c>
      <c r="AE53" s="275">
        <v>0</v>
      </c>
    </row>
    <row r="54" spans="1:31" x14ac:dyDescent="0.2">
      <c r="A54" s="266" t="s">
        <v>262</v>
      </c>
      <c r="B54" s="274">
        <v>0</v>
      </c>
      <c r="C54" s="274">
        <v>0</v>
      </c>
      <c r="D54" s="274">
        <v>0</v>
      </c>
      <c r="E54" s="274">
        <v>0</v>
      </c>
      <c r="F54" s="274">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v>0</v>
      </c>
      <c r="Y54" s="274">
        <v>0</v>
      </c>
      <c r="Z54" s="274">
        <v>0</v>
      </c>
      <c r="AA54" s="274">
        <v>0</v>
      </c>
      <c r="AB54" s="274">
        <v>0</v>
      </c>
      <c r="AC54" s="275">
        <v>0</v>
      </c>
      <c r="AD54" s="275">
        <v>0</v>
      </c>
      <c r="AE54" s="275">
        <v>0</v>
      </c>
    </row>
    <row r="55" spans="1:31" ht="13.5" thickBot="1" x14ac:dyDescent="0.25">
      <c r="A55" s="269" t="s">
        <v>261</v>
      </c>
      <c r="B55" s="276">
        <v>0</v>
      </c>
      <c r="C55" s="276">
        <v>0</v>
      </c>
      <c r="D55" s="276">
        <v>0</v>
      </c>
      <c r="E55" s="276">
        <v>0</v>
      </c>
      <c r="F55" s="276">
        <v>0</v>
      </c>
      <c r="G55" s="276">
        <v>0</v>
      </c>
      <c r="H55" s="276">
        <v>0</v>
      </c>
      <c r="I55" s="276">
        <v>0</v>
      </c>
      <c r="J55" s="276">
        <v>0</v>
      </c>
      <c r="K55" s="276">
        <v>0</v>
      </c>
      <c r="L55" s="276">
        <v>0</v>
      </c>
      <c r="M55" s="276">
        <v>0</v>
      </c>
      <c r="N55" s="276">
        <v>0</v>
      </c>
      <c r="O55" s="276">
        <v>0</v>
      </c>
      <c r="P55" s="276">
        <v>0</v>
      </c>
      <c r="Q55" s="276">
        <v>0</v>
      </c>
      <c r="R55" s="276">
        <v>0</v>
      </c>
      <c r="S55" s="276">
        <v>0</v>
      </c>
      <c r="T55" s="276">
        <v>0</v>
      </c>
      <c r="U55" s="276">
        <v>0</v>
      </c>
      <c r="V55" s="276">
        <v>0</v>
      </c>
      <c r="W55" s="276">
        <v>0</v>
      </c>
      <c r="X55" s="276">
        <v>0</v>
      </c>
      <c r="Y55" s="276">
        <v>0</v>
      </c>
      <c r="Z55" s="276">
        <v>0</v>
      </c>
      <c r="AA55" s="276">
        <v>0</v>
      </c>
      <c r="AB55" s="276">
        <v>0</v>
      </c>
      <c r="AC55" s="277">
        <v>0</v>
      </c>
      <c r="AD55" s="277">
        <v>0</v>
      </c>
      <c r="AE55" s="277">
        <v>0</v>
      </c>
    </row>
    <row r="56" spans="1:31" ht="13.5" thickBot="1" x14ac:dyDescent="0.25">
      <c r="A56" s="271"/>
      <c r="B56" s="278"/>
      <c r="C56" s="278"/>
      <c r="D56" s="278"/>
      <c r="E56" s="278"/>
      <c r="F56" s="278"/>
      <c r="G56" s="278"/>
      <c r="H56" s="278"/>
      <c r="I56" s="278"/>
      <c r="J56" s="278"/>
      <c r="K56" s="278"/>
      <c r="L56" s="278"/>
      <c r="M56" s="278"/>
      <c r="N56" s="278"/>
      <c r="O56" s="278"/>
      <c r="P56" s="278"/>
      <c r="Q56" s="278"/>
      <c r="R56" s="278"/>
      <c r="S56" s="278"/>
      <c r="T56" s="278"/>
      <c r="U56" s="278"/>
      <c r="V56" s="278"/>
      <c r="W56" s="278"/>
      <c r="X56" s="278"/>
      <c r="Y56" s="278"/>
      <c r="Z56" s="278"/>
      <c r="AA56" s="278"/>
      <c r="AB56" s="278"/>
      <c r="AC56" s="279"/>
      <c r="AD56" s="279"/>
      <c r="AE56" s="279"/>
    </row>
    <row r="57" spans="1:31" ht="13.5" thickBot="1" x14ac:dyDescent="0.25">
      <c r="A57" s="273" t="s">
        <v>464</v>
      </c>
      <c r="B57" s="264">
        <v>1</v>
      </c>
      <c r="C57" s="264">
        <v>2</v>
      </c>
      <c r="D57" s="264">
        <v>3</v>
      </c>
      <c r="E57" s="264">
        <v>4</v>
      </c>
      <c r="F57" s="264">
        <v>5</v>
      </c>
      <c r="G57" s="264">
        <v>6</v>
      </c>
      <c r="H57" s="264">
        <v>7</v>
      </c>
      <c r="I57" s="264">
        <v>8</v>
      </c>
      <c r="J57" s="264">
        <v>9</v>
      </c>
      <c r="K57" s="264">
        <v>10</v>
      </c>
      <c r="L57" s="264">
        <v>11</v>
      </c>
      <c r="M57" s="264">
        <v>12</v>
      </c>
      <c r="N57" s="264">
        <v>13</v>
      </c>
      <c r="O57" s="264">
        <v>14</v>
      </c>
      <c r="P57" s="264">
        <v>15</v>
      </c>
      <c r="Q57" s="264">
        <v>16</v>
      </c>
      <c r="R57" s="264">
        <v>17</v>
      </c>
      <c r="S57" s="264">
        <v>18</v>
      </c>
      <c r="T57" s="264">
        <v>19</v>
      </c>
      <c r="U57" s="264">
        <v>20</v>
      </c>
      <c r="V57" s="264">
        <v>21</v>
      </c>
      <c r="W57" s="264">
        <v>22</v>
      </c>
      <c r="X57" s="264">
        <v>23</v>
      </c>
      <c r="Y57" s="264">
        <v>24</v>
      </c>
      <c r="Z57" s="264">
        <v>25</v>
      </c>
      <c r="AA57" s="264">
        <v>26</v>
      </c>
      <c r="AB57" s="264">
        <v>27</v>
      </c>
      <c r="AC57" s="264">
        <v>28</v>
      </c>
      <c r="AD57" s="264">
        <v>29</v>
      </c>
      <c r="AE57" s="264">
        <v>30</v>
      </c>
    </row>
    <row r="58" spans="1:31" x14ac:dyDescent="0.2">
      <c r="A58" s="273" t="s">
        <v>260</v>
      </c>
      <c r="B58" s="264">
        <f t="shared" ref="B58:AE58" si="1">B49*$B$27</f>
        <v>0</v>
      </c>
      <c r="C58" s="264">
        <f t="shared" si="1"/>
        <v>0</v>
      </c>
      <c r="D58" s="264">
        <f t="shared" si="1"/>
        <v>0</v>
      </c>
      <c r="E58" s="264">
        <f t="shared" si="1"/>
        <v>0</v>
      </c>
      <c r="F58" s="264">
        <f t="shared" si="1"/>
        <v>0</v>
      </c>
      <c r="G58" s="264">
        <f t="shared" si="1"/>
        <v>0</v>
      </c>
      <c r="H58" s="264">
        <f t="shared" si="1"/>
        <v>0</v>
      </c>
      <c r="I58" s="264">
        <f t="shared" si="1"/>
        <v>0</v>
      </c>
      <c r="J58" s="264">
        <f t="shared" si="1"/>
        <v>0</v>
      </c>
      <c r="K58" s="264">
        <f t="shared" si="1"/>
        <v>0</v>
      </c>
      <c r="L58" s="264">
        <f t="shared" si="1"/>
        <v>0</v>
      </c>
      <c r="M58" s="264">
        <f t="shared" si="1"/>
        <v>0</v>
      </c>
      <c r="N58" s="264">
        <f t="shared" si="1"/>
        <v>0</v>
      </c>
      <c r="O58" s="264">
        <f t="shared" si="1"/>
        <v>0</v>
      </c>
      <c r="P58" s="264">
        <f t="shared" si="1"/>
        <v>0</v>
      </c>
      <c r="Q58" s="264">
        <f t="shared" si="1"/>
        <v>0</v>
      </c>
      <c r="R58" s="264">
        <f t="shared" si="1"/>
        <v>0</v>
      </c>
      <c r="S58" s="264">
        <f t="shared" si="1"/>
        <v>0</v>
      </c>
      <c r="T58" s="264">
        <f t="shared" si="1"/>
        <v>0</v>
      </c>
      <c r="U58" s="264">
        <f t="shared" si="1"/>
        <v>0</v>
      </c>
      <c r="V58" s="264">
        <f t="shared" si="1"/>
        <v>0</v>
      </c>
      <c r="W58" s="264">
        <f t="shared" si="1"/>
        <v>0</v>
      </c>
      <c r="X58" s="264">
        <f t="shared" si="1"/>
        <v>0</v>
      </c>
      <c r="Y58" s="264">
        <f t="shared" si="1"/>
        <v>0</v>
      </c>
      <c r="Z58" s="264">
        <f t="shared" si="1"/>
        <v>0</v>
      </c>
      <c r="AA58" s="264">
        <f t="shared" si="1"/>
        <v>0</v>
      </c>
      <c r="AB58" s="264">
        <f t="shared" si="1"/>
        <v>0</v>
      </c>
      <c r="AC58" s="264">
        <f t="shared" si="1"/>
        <v>0</v>
      </c>
      <c r="AD58" s="264">
        <f t="shared" si="1"/>
        <v>0</v>
      </c>
      <c r="AE58" s="264">
        <f t="shared" si="1"/>
        <v>0</v>
      </c>
    </row>
    <row r="59" spans="1:31" x14ac:dyDescent="0.2">
      <c r="A59" s="266" t="s">
        <v>259</v>
      </c>
      <c r="B59" s="280">
        <f t="shared" ref="B59:AE59" si="2">SUM(B60:B65)</f>
        <v>0</v>
      </c>
      <c r="C59" s="280">
        <f t="shared" si="2"/>
        <v>-68944.570945828804</v>
      </c>
      <c r="D59" s="280">
        <f t="shared" si="2"/>
        <v>-66567.17194769677</v>
      </c>
      <c r="E59" s="280">
        <f t="shared" si="2"/>
        <v>-64189.772949564744</v>
      </c>
      <c r="F59" s="280">
        <f t="shared" si="2"/>
        <v>-61812.373951432717</v>
      </c>
      <c r="G59" s="280">
        <f t="shared" si="2"/>
        <v>-59434.974953300691</v>
      </c>
      <c r="H59" s="280">
        <f t="shared" si="2"/>
        <v>-60299.483679894154</v>
      </c>
      <c r="I59" s="280">
        <f t="shared" si="2"/>
        <v>-54680.17695703663</v>
      </c>
      <c r="J59" s="280">
        <f t="shared" si="2"/>
        <v>44954.453782860168</v>
      </c>
      <c r="K59" s="280">
        <f t="shared" si="2"/>
        <v>-49925.378960772578</v>
      </c>
      <c r="L59" s="280">
        <f t="shared" si="2"/>
        <v>-47547.979962640551</v>
      </c>
      <c r="M59" s="280">
        <f t="shared" si="2"/>
        <v>-97473.358923413136</v>
      </c>
      <c r="N59" s="280">
        <f t="shared" si="2"/>
        <v>-46035.089691101988</v>
      </c>
      <c r="O59" s="280">
        <f t="shared" si="2"/>
        <v>-40415.782968244472</v>
      </c>
      <c r="P59" s="280">
        <f t="shared" si="2"/>
        <v>-38038.383970112438</v>
      </c>
      <c r="Q59" s="280">
        <f t="shared" si="2"/>
        <v>-35660.984971980412</v>
      </c>
      <c r="R59" s="280">
        <f t="shared" si="2"/>
        <v>63973.645767916387</v>
      </c>
      <c r="S59" s="280">
        <f t="shared" si="2"/>
        <v>-30906.186975716359</v>
      </c>
      <c r="T59" s="280">
        <f t="shared" si="2"/>
        <v>-31770.695702309826</v>
      </c>
      <c r="U59" s="280">
        <f t="shared" si="2"/>
        <v>-26151.388979452302</v>
      </c>
      <c r="V59" s="280">
        <f t="shared" si="2"/>
        <v>-23773.989981320276</v>
      </c>
      <c r="W59" s="280">
        <f t="shared" si="2"/>
        <v>-21396.590983188249</v>
      </c>
      <c r="X59" s="280">
        <f t="shared" si="2"/>
        <v>-19019.191985056219</v>
      </c>
      <c r="Y59" s="280">
        <f t="shared" si="2"/>
        <v>-16641.792986924193</v>
      </c>
      <c r="Z59" s="280">
        <f t="shared" si="2"/>
        <v>79750.930028247123</v>
      </c>
      <c r="AA59" s="280">
        <f t="shared" si="2"/>
        <v>-11886.994990660138</v>
      </c>
      <c r="AB59" s="280">
        <f t="shared" si="2"/>
        <v>-9509.5959925281095</v>
      </c>
      <c r="AC59" s="280">
        <f t="shared" si="2"/>
        <v>-7132.196994396083</v>
      </c>
      <c r="AD59" s="280">
        <f t="shared" si="2"/>
        <v>-4754.7979962640547</v>
      </c>
      <c r="AE59" s="280">
        <f t="shared" si="2"/>
        <v>-2377.3989981320274</v>
      </c>
    </row>
    <row r="60" spans="1:31" x14ac:dyDescent="0.2">
      <c r="A60" s="281" t="s">
        <v>258</v>
      </c>
      <c r="B60" s="274"/>
      <c r="C60" s="274"/>
      <c r="D60" s="274"/>
      <c r="E60" s="274"/>
      <c r="F60" s="274"/>
      <c r="G60" s="274"/>
      <c r="H60" s="274">
        <f>-B28</f>
        <v>-3241.9077247254922</v>
      </c>
      <c r="I60" s="280">
        <v>0</v>
      </c>
      <c r="J60" s="274"/>
      <c r="K60" s="274"/>
      <c r="L60" s="274"/>
      <c r="M60" s="274"/>
      <c r="N60" s="274">
        <f>H60</f>
        <v>-3241.9077247254922</v>
      </c>
      <c r="O60" s="274"/>
      <c r="P60" s="274"/>
      <c r="Q60" s="274"/>
      <c r="R60" s="274"/>
      <c r="S60" s="274"/>
      <c r="T60" s="274">
        <f>N60</f>
        <v>-3241.9077247254922</v>
      </c>
      <c r="U60" s="274"/>
      <c r="V60" s="274"/>
      <c r="W60" s="274"/>
      <c r="X60" s="274"/>
      <c r="Y60" s="274"/>
      <c r="Z60" s="274">
        <f>T60</f>
        <v>-3241.9077247254922</v>
      </c>
      <c r="AA60" s="274"/>
      <c r="AB60" s="274"/>
      <c r="AC60" s="274"/>
      <c r="AD60" s="274"/>
      <c r="AE60" s="274"/>
    </row>
    <row r="61" spans="1:31" x14ac:dyDescent="0.2">
      <c r="A61" s="281" t="s">
        <v>257</v>
      </c>
      <c r="B61" s="274"/>
      <c r="C61" s="274"/>
      <c r="D61" s="274"/>
      <c r="E61" s="274"/>
      <c r="F61" s="274"/>
      <c r="G61" s="274"/>
      <c r="H61" s="274"/>
      <c r="I61" s="274"/>
      <c r="J61" s="274">
        <f>B34</f>
        <v>97257.231741764772</v>
      </c>
      <c r="K61" s="274"/>
      <c r="L61" s="274"/>
      <c r="M61" s="274"/>
      <c r="N61" s="274"/>
      <c r="O61" s="274"/>
      <c r="P61" s="274"/>
      <c r="Q61" s="274"/>
      <c r="R61" s="274">
        <f>J61</f>
        <v>97257.231741764772</v>
      </c>
      <c r="S61" s="274"/>
      <c r="T61" s="274"/>
      <c r="U61" s="274"/>
      <c r="V61" s="274"/>
      <c r="W61" s="274"/>
      <c r="X61" s="274"/>
      <c r="Y61" s="274"/>
      <c r="Z61" s="274">
        <f>R61</f>
        <v>97257.231741764772</v>
      </c>
      <c r="AA61" s="282">
        <f>S61</f>
        <v>0</v>
      </c>
      <c r="AB61" s="274"/>
      <c r="AC61" s="274"/>
      <c r="AD61" s="274"/>
      <c r="AE61" s="274"/>
    </row>
    <row r="62" spans="1:31" x14ac:dyDescent="0.2">
      <c r="A62" s="281" t="s">
        <v>595</v>
      </c>
      <c r="B62" s="274"/>
      <c r="C62" s="274"/>
      <c r="D62" s="274"/>
      <c r="E62" s="274"/>
      <c r="F62" s="274"/>
      <c r="G62" s="274"/>
      <c r="H62" s="274"/>
      <c r="I62" s="274"/>
      <c r="J62" s="274"/>
      <c r="K62" s="274"/>
      <c r="L62" s="274"/>
      <c r="M62" s="274"/>
      <c r="N62" s="274"/>
      <c r="O62" s="274"/>
      <c r="P62" s="274"/>
      <c r="Q62" s="274"/>
      <c r="R62" s="274"/>
      <c r="S62" s="274"/>
      <c r="T62" s="274"/>
      <c r="U62" s="274"/>
      <c r="V62" s="274"/>
      <c r="W62" s="274"/>
      <c r="X62" s="274"/>
      <c r="Y62" s="274"/>
      <c r="Z62" s="274"/>
      <c r="AA62" s="274"/>
      <c r="AB62" s="274"/>
      <c r="AC62" s="274"/>
      <c r="AD62" s="274"/>
      <c r="AE62" s="274"/>
    </row>
    <row r="63" spans="1:31" x14ac:dyDescent="0.2">
      <c r="A63" s="281" t="s">
        <v>461</v>
      </c>
      <c r="B63" s="283">
        <v>0</v>
      </c>
      <c r="C63" s="283">
        <v>0</v>
      </c>
      <c r="D63" s="283">
        <v>0</v>
      </c>
      <c r="E63" s="283">
        <v>0</v>
      </c>
      <c r="F63" s="283">
        <v>0</v>
      </c>
      <c r="G63" s="283">
        <v>0</v>
      </c>
      <c r="H63" s="283">
        <v>0</v>
      </c>
      <c r="I63" s="283">
        <v>0</v>
      </c>
      <c r="J63" s="283">
        <v>0</v>
      </c>
      <c r="K63" s="283">
        <v>0</v>
      </c>
      <c r="L63" s="283">
        <v>0</v>
      </c>
      <c r="M63" s="283">
        <v>0</v>
      </c>
      <c r="N63" s="283">
        <v>0</v>
      </c>
      <c r="O63" s="283">
        <v>0</v>
      </c>
      <c r="P63" s="283">
        <v>0</v>
      </c>
      <c r="Q63" s="283">
        <v>0</v>
      </c>
      <c r="R63" s="283">
        <v>0</v>
      </c>
      <c r="S63" s="283">
        <v>0</v>
      </c>
      <c r="T63" s="283">
        <v>0</v>
      </c>
      <c r="U63" s="283">
        <v>0</v>
      </c>
      <c r="V63" s="283">
        <v>0</v>
      </c>
      <c r="W63" s="283">
        <v>0</v>
      </c>
      <c r="X63" s="283">
        <v>0</v>
      </c>
      <c r="Y63" s="283">
        <v>0</v>
      </c>
      <c r="Z63" s="283">
        <v>0</v>
      </c>
      <c r="AA63" s="283">
        <v>0</v>
      </c>
      <c r="AB63" s="283">
        <v>0</v>
      </c>
      <c r="AC63" s="283">
        <v>0</v>
      </c>
      <c r="AD63" s="283">
        <v>0</v>
      </c>
      <c r="AE63" s="283">
        <v>0</v>
      </c>
    </row>
    <row r="64" spans="1:31" x14ac:dyDescent="0.2">
      <c r="A64" s="281" t="s">
        <v>461</v>
      </c>
      <c r="B64" s="283">
        <v>0</v>
      </c>
      <c r="C64" s="283">
        <v>0</v>
      </c>
      <c r="D64" s="283">
        <v>0</v>
      </c>
      <c r="E64" s="283">
        <v>0</v>
      </c>
      <c r="F64" s="283">
        <v>0</v>
      </c>
      <c r="G64" s="283">
        <v>0</v>
      </c>
      <c r="H64" s="283">
        <v>0</v>
      </c>
      <c r="I64" s="283">
        <v>0</v>
      </c>
      <c r="J64" s="283">
        <v>0</v>
      </c>
      <c r="K64" s="283">
        <v>0</v>
      </c>
      <c r="L64" s="283">
        <v>0</v>
      </c>
      <c r="M64" s="283">
        <v>0</v>
      </c>
      <c r="N64" s="283">
        <v>0</v>
      </c>
      <c r="O64" s="283">
        <v>0</v>
      </c>
      <c r="P64" s="283">
        <v>0</v>
      </c>
      <c r="Q64" s="283">
        <v>0</v>
      </c>
      <c r="R64" s="283">
        <v>0</v>
      </c>
      <c r="S64" s="283">
        <v>0</v>
      </c>
      <c r="T64" s="283">
        <v>0</v>
      </c>
      <c r="U64" s="283">
        <v>0</v>
      </c>
      <c r="V64" s="283">
        <v>0</v>
      </c>
      <c r="W64" s="283">
        <v>0</v>
      </c>
      <c r="X64" s="283">
        <v>0</v>
      </c>
      <c r="Y64" s="283">
        <v>0</v>
      </c>
      <c r="Z64" s="283">
        <v>0</v>
      </c>
      <c r="AA64" s="283">
        <v>0</v>
      </c>
      <c r="AB64" s="283">
        <v>0</v>
      </c>
      <c r="AC64" s="283">
        <v>0</v>
      </c>
      <c r="AD64" s="283">
        <v>0</v>
      </c>
      <c r="AE64" s="283">
        <v>0</v>
      </c>
    </row>
    <row r="65" spans="1:31" x14ac:dyDescent="0.2">
      <c r="A65" s="281" t="s">
        <v>597</v>
      </c>
      <c r="B65" s="283">
        <v>0</v>
      </c>
      <c r="C65" s="304">
        <f>-($B$24+C67)*0.022</f>
        <v>-68944.570945828804</v>
      </c>
      <c r="D65" s="304">
        <f>-($B$24+D67+C67)*0.022</f>
        <v>-66567.17194769677</v>
      </c>
      <c r="E65" s="305">
        <f>-($B$24+E67+C67+D67)*0.022</f>
        <v>-64189.772949564744</v>
      </c>
      <c r="F65" s="305">
        <f>-($B$24+F67+D67+E67+C67)*0.022</f>
        <v>-61812.373951432717</v>
      </c>
      <c r="G65" s="305">
        <f>-($B$24+G67+E67+F67+D67+C67)*0.022</f>
        <v>-59434.974953300691</v>
      </c>
      <c r="H65" s="305">
        <f>-($B$24+H67+F67+G67+E67+C67+D67)*0.022</f>
        <v>-57057.575955168664</v>
      </c>
      <c r="I65" s="305">
        <f>-($B$24+C67+I67+G67+H67+F67+D67+E67)*0.022</f>
        <v>-54680.17695703663</v>
      </c>
      <c r="J65" s="305">
        <f>-($B$24+D67+J67+H67+I67+G67+E67+F67+C67)*0.022</f>
        <v>-52302.777958904604</v>
      </c>
      <c r="K65" s="305">
        <f>-($B$24+E67+K67+I67+J67+H67+F67+G67+C67+D67)*0.022</f>
        <v>-49925.378960772578</v>
      </c>
      <c r="L65" s="305">
        <f>-($B$24+F67+L67+J67+K67+I67+G67+H67+E67+D67+C67)*0.022</f>
        <v>-47547.979962640551</v>
      </c>
      <c r="M65" s="305">
        <f>(-$B$24+G67+M67+K67+L67+J67+H67+I67+F67+E67+D67+C67)*0.022</f>
        <v>-97473.358923413136</v>
      </c>
      <c r="N65" s="305">
        <f>-($B$24+H67+N67+L67+M67+K67+I67+J67+G67+F67+E67+C67+D67)*0.022</f>
        <v>-42793.181966376498</v>
      </c>
      <c r="O65" s="305">
        <f>-($B$24+I67+O67+M67+N67+L67+J67+K67+H67+G67+F67+D67+C67+E67)*0.022</f>
        <v>-40415.782968244472</v>
      </c>
      <c r="P65" s="305">
        <f>-($B$24+J67+P67+N67+O67+M67+K67+L67+I67+H67+G67+E67+F67+C67+D67)*0.022</f>
        <v>-38038.383970112438</v>
      </c>
      <c r="Q65" s="305">
        <f>-($B$24+K67+Q67+O67+P67+N67+L67+M67+J67+I67+H67+F67+G67+D67+C67+E67)*0.022</f>
        <v>-35660.984971980412</v>
      </c>
      <c r="R65" s="305">
        <f>-($B$24+L67+R67+P67+Q67+O67+M67+N67+K67+J67+I67+G67+H67+E67+D67+C67+F67)*0.022</f>
        <v>-33283.585973848385</v>
      </c>
      <c r="S65" s="305">
        <f>-($B$24+M67+S67+Q67+R67+P67+N67+O67+L67+K67+J67+H67+I67+F67+E67+D67+C67+G67)*0.022</f>
        <v>-30906.186975716359</v>
      </c>
      <c r="T65" s="305">
        <f>-($B$24+N67+T67+R67+S67+Q67+O67+P67+M67+L67+K67+I67+J67+G67+F67+E67+D67+C67+H67)*0.022</f>
        <v>-28528.787977584332</v>
      </c>
      <c r="U65" s="305">
        <f>-($B$24+O67+U67+S67+T67+R67+P67+Q67+N67+M67+L67+J67+K67+H67+G67+F67+E67+C67+D67++I67)*0.022</f>
        <v>-26151.388979452302</v>
      </c>
      <c r="V65" s="305">
        <f>-($B$24+P67+V67+T67+U67+S67+Q67+R67+O67+N67+M67+K67+L67+I67+H67+G67+F67+D67+E67+C67+J67)*0.022</f>
        <v>-23773.989981320276</v>
      </c>
      <c r="W65" s="305">
        <f>-($B$24+Q67+W67+U67+V67+T67+R67+S67+P67+O67+N67+L67+M67+J67+I67+H67+G67+E67+F67+D67+C67+K67)*0.022</f>
        <v>-21396.590983188249</v>
      </c>
      <c r="X65" s="305">
        <f>-($B$24+R67+X67+V67+W67+U67+S67+T67+Q67+P67+O67+M67+N67+K67+J67+I67+H67+F67+G67+E67+D67+C67+L67)*0.022</f>
        <v>-19019.191985056219</v>
      </c>
      <c r="Y65" s="305">
        <f>-($B$24+S67+Y67+W67+X67+V67+T67+U67+R67+Q67+P67+N67+O67+L67+K67+J67+I67+G67+H67+F67+E67+D67+C67+M67)*0.022</f>
        <v>-16641.792986924193</v>
      </c>
      <c r="Z65" s="305">
        <f>-($B$24+T67+Z67+X67+Y67+W67+U67+V67+S67+R67+Q67+O67+P67+M67+L67+K67+J67+H67+I67+G67+F67+E67+D67+C67+N67)*0.022</f>
        <v>-14264.393988792166</v>
      </c>
      <c r="AA65" s="305">
        <f>-($B$24+U67+AA67+Y67+Z67+X67+V67+W67+T67+S67+R67+P67+Q67+N67+M67+L67+K67+I67+J67+H67+G67+F67+E67+D67+C67+O67)*0.022</f>
        <v>-11886.994990660138</v>
      </c>
      <c r="AB65" s="305">
        <f>-($B$24+V67+AB67+Z67+AA67+Y67+W67+X67+U67+T67+S67+Q67+R67+O67+N67+M67+L67+J67+K67+I67+H67+G67+F67+E67+D67+C67+P67)*0.022</f>
        <v>-9509.5959925281095</v>
      </c>
      <c r="AC65" s="305">
        <f>-($B$24+W67+AC67+AA67+AB67+Z67+X67+Y67+V67+U67+T67+R67+S67+P67+O67+N67+M67+K67+L67+J67+I67+H67+G67+F67+E67+D67+C67+Q67)*0.022</f>
        <v>-7132.196994396083</v>
      </c>
      <c r="AD65" s="305">
        <f>-($B$24+X67+AD67+AB67+AC67+AA67+Y67+Z67+W67+V67+U67+S67+T67+Q67+P67+O67+N67+L67+M67+K67+J67+I67+H67+G67+F67+E67+D67+C67+R67)*0.022</f>
        <v>-4754.7979962640547</v>
      </c>
      <c r="AE65" s="305">
        <f>-($B$24+Y67+AE67+AC67+AD67+AB67+Z67+AA67+X67+W67+V67+T67+U67+R67+Q67+P67+O67+M67+N67+L67+K67+J67+I67+H67+G67+F67+E67+D67+C67+S67)*0.022</f>
        <v>-2377.3989981320274</v>
      </c>
    </row>
    <row r="66" spans="1:31" x14ac:dyDescent="0.2">
      <c r="A66" s="284" t="s">
        <v>598</v>
      </c>
      <c r="B66" s="285">
        <f t="shared" ref="B66:AE66" si="3">B58+B59</f>
        <v>0</v>
      </c>
      <c r="C66" s="285">
        <f t="shared" si="3"/>
        <v>-68944.570945828804</v>
      </c>
      <c r="D66" s="285">
        <f t="shared" si="3"/>
        <v>-66567.17194769677</v>
      </c>
      <c r="E66" s="285">
        <f t="shared" si="3"/>
        <v>-64189.772949564744</v>
      </c>
      <c r="F66" s="285">
        <f t="shared" si="3"/>
        <v>-61812.373951432717</v>
      </c>
      <c r="G66" s="285">
        <f t="shared" si="3"/>
        <v>-59434.974953300691</v>
      </c>
      <c r="H66" s="285">
        <f t="shared" si="3"/>
        <v>-60299.483679894154</v>
      </c>
      <c r="I66" s="285">
        <f t="shared" si="3"/>
        <v>-54680.17695703663</v>
      </c>
      <c r="J66" s="285">
        <f t="shared" si="3"/>
        <v>44954.453782860168</v>
      </c>
      <c r="K66" s="285">
        <f t="shared" si="3"/>
        <v>-49925.378960772578</v>
      </c>
      <c r="L66" s="285">
        <f t="shared" si="3"/>
        <v>-47547.979962640551</v>
      </c>
      <c r="M66" s="285">
        <f t="shared" si="3"/>
        <v>-97473.358923413136</v>
      </c>
      <c r="N66" s="285">
        <f t="shared" si="3"/>
        <v>-46035.089691101988</v>
      </c>
      <c r="O66" s="285">
        <f t="shared" si="3"/>
        <v>-40415.782968244472</v>
      </c>
      <c r="P66" s="285">
        <f t="shared" si="3"/>
        <v>-38038.383970112438</v>
      </c>
      <c r="Q66" s="285">
        <f t="shared" si="3"/>
        <v>-35660.984971980412</v>
      </c>
      <c r="R66" s="285">
        <f t="shared" si="3"/>
        <v>63973.645767916387</v>
      </c>
      <c r="S66" s="285">
        <f t="shared" si="3"/>
        <v>-30906.186975716359</v>
      </c>
      <c r="T66" s="285">
        <f t="shared" si="3"/>
        <v>-31770.695702309826</v>
      </c>
      <c r="U66" s="285">
        <f t="shared" si="3"/>
        <v>-26151.388979452302</v>
      </c>
      <c r="V66" s="285">
        <f t="shared" si="3"/>
        <v>-23773.989981320276</v>
      </c>
      <c r="W66" s="285">
        <f t="shared" si="3"/>
        <v>-21396.590983188249</v>
      </c>
      <c r="X66" s="285">
        <f t="shared" si="3"/>
        <v>-19019.191985056219</v>
      </c>
      <c r="Y66" s="285">
        <f t="shared" si="3"/>
        <v>-16641.792986924193</v>
      </c>
      <c r="Z66" s="285">
        <f t="shared" si="3"/>
        <v>79750.930028247123</v>
      </c>
      <c r="AA66" s="285">
        <f t="shared" si="3"/>
        <v>-11886.994990660138</v>
      </c>
      <c r="AB66" s="285">
        <f t="shared" si="3"/>
        <v>-9509.5959925281095</v>
      </c>
      <c r="AC66" s="285">
        <f t="shared" si="3"/>
        <v>-7132.196994396083</v>
      </c>
      <c r="AD66" s="285">
        <f t="shared" si="3"/>
        <v>-4754.7979962640547</v>
      </c>
      <c r="AE66" s="285">
        <f t="shared" si="3"/>
        <v>-2377.3989981320274</v>
      </c>
    </row>
    <row r="67" spans="1:31" x14ac:dyDescent="0.2">
      <c r="A67" s="281" t="s">
        <v>253</v>
      </c>
      <c r="B67" s="286">
        <v>0</v>
      </c>
      <c r="C67" s="286">
        <f>-($B$24)*$B$27/$B$26</f>
        <v>-108063.59082418308</v>
      </c>
      <c r="D67" s="286">
        <f>C67</f>
        <v>-108063.59082418308</v>
      </c>
      <c r="E67" s="287">
        <f t="shared" ref="E67:AE67" si="4">D67</f>
        <v>-108063.59082418308</v>
      </c>
      <c r="F67" s="287">
        <f t="shared" si="4"/>
        <v>-108063.59082418308</v>
      </c>
      <c r="G67" s="287">
        <f t="shared" si="4"/>
        <v>-108063.59082418308</v>
      </c>
      <c r="H67" s="287">
        <f t="shared" si="4"/>
        <v>-108063.59082418308</v>
      </c>
      <c r="I67" s="287">
        <f t="shared" si="4"/>
        <v>-108063.59082418308</v>
      </c>
      <c r="J67" s="287">
        <f t="shared" si="4"/>
        <v>-108063.59082418308</v>
      </c>
      <c r="K67" s="287">
        <f t="shared" si="4"/>
        <v>-108063.59082418308</v>
      </c>
      <c r="L67" s="287">
        <f t="shared" si="4"/>
        <v>-108063.59082418308</v>
      </c>
      <c r="M67" s="287">
        <f t="shared" si="4"/>
        <v>-108063.59082418308</v>
      </c>
      <c r="N67" s="287">
        <f t="shared" si="4"/>
        <v>-108063.59082418308</v>
      </c>
      <c r="O67" s="287">
        <f t="shared" si="4"/>
        <v>-108063.59082418308</v>
      </c>
      <c r="P67" s="287">
        <f t="shared" si="4"/>
        <v>-108063.59082418308</v>
      </c>
      <c r="Q67" s="287">
        <f t="shared" si="4"/>
        <v>-108063.59082418308</v>
      </c>
      <c r="R67" s="287">
        <f t="shared" si="4"/>
        <v>-108063.59082418308</v>
      </c>
      <c r="S67" s="287">
        <f t="shared" si="4"/>
        <v>-108063.59082418308</v>
      </c>
      <c r="T67" s="287">
        <f t="shared" si="4"/>
        <v>-108063.59082418308</v>
      </c>
      <c r="U67" s="287">
        <f t="shared" si="4"/>
        <v>-108063.59082418308</v>
      </c>
      <c r="V67" s="287">
        <f t="shared" si="4"/>
        <v>-108063.59082418308</v>
      </c>
      <c r="W67" s="287">
        <f t="shared" si="4"/>
        <v>-108063.59082418308</v>
      </c>
      <c r="X67" s="287">
        <f t="shared" si="4"/>
        <v>-108063.59082418308</v>
      </c>
      <c r="Y67" s="287">
        <f t="shared" si="4"/>
        <v>-108063.59082418308</v>
      </c>
      <c r="Z67" s="287">
        <f t="shared" si="4"/>
        <v>-108063.59082418308</v>
      </c>
      <c r="AA67" s="287">
        <f t="shared" si="4"/>
        <v>-108063.59082418308</v>
      </c>
      <c r="AB67" s="287">
        <f t="shared" si="4"/>
        <v>-108063.59082418308</v>
      </c>
      <c r="AC67" s="287">
        <f t="shared" si="4"/>
        <v>-108063.59082418308</v>
      </c>
      <c r="AD67" s="287">
        <f t="shared" si="4"/>
        <v>-108063.59082418308</v>
      </c>
      <c r="AE67" s="287">
        <f t="shared" si="4"/>
        <v>-108063.59082418308</v>
      </c>
    </row>
    <row r="68" spans="1:31" x14ac:dyDescent="0.2">
      <c r="A68" s="284" t="s">
        <v>599</v>
      </c>
      <c r="B68" s="285">
        <f t="shared" ref="B68:AE68" si="5">B66+B67</f>
        <v>0</v>
      </c>
      <c r="C68" s="285">
        <f>C66+C67</f>
        <v>-177008.16177001188</v>
      </c>
      <c r="D68" s="285">
        <f t="shared" si="5"/>
        <v>-174630.76277187985</v>
      </c>
      <c r="E68" s="285">
        <f t="shared" si="5"/>
        <v>-172253.36377374781</v>
      </c>
      <c r="F68" s="285">
        <f t="shared" si="5"/>
        <v>-169875.96477561578</v>
      </c>
      <c r="G68" s="285">
        <f t="shared" si="5"/>
        <v>-167498.56577748377</v>
      </c>
      <c r="H68" s="285">
        <f t="shared" si="5"/>
        <v>-168363.07450407723</v>
      </c>
      <c r="I68" s="285">
        <f t="shared" si="5"/>
        <v>-162743.76778121971</v>
      </c>
      <c r="J68" s="285">
        <f t="shared" si="5"/>
        <v>-63109.137041322909</v>
      </c>
      <c r="K68" s="285">
        <f t="shared" si="5"/>
        <v>-157988.96978495567</v>
      </c>
      <c r="L68" s="285">
        <f t="shared" si="5"/>
        <v>-155611.57078682363</v>
      </c>
      <c r="M68" s="285">
        <f t="shared" si="5"/>
        <v>-205536.94974759623</v>
      </c>
      <c r="N68" s="285">
        <f t="shared" si="5"/>
        <v>-154098.68051528506</v>
      </c>
      <c r="O68" s="285">
        <f t="shared" si="5"/>
        <v>-148479.37379242753</v>
      </c>
      <c r="P68" s="285">
        <f t="shared" si="5"/>
        <v>-146101.9747942955</v>
      </c>
      <c r="Q68" s="285">
        <f t="shared" si="5"/>
        <v>-143724.5757961635</v>
      </c>
      <c r="R68" s="285">
        <f t="shared" si="5"/>
        <v>-44089.94505626669</v>
      </c>
      <c r="S68" s="285">
        <f t="shared" si="5"/>
        <v>-138969.77779989943</v>
      </c>
      <c r="T68" s="285">
        <f t="shared" si="5"/>
        <v>-139834.28652649291</v>
      </c>
      <c r="U68" s="285">
        <f t="shared" si="5"/>
        <v>-134214.97980363539</v>
      </c>
      <c r="V68" s="285">
        <f t="shared" si="5"/>
        <v>-131837.58080550336</v>
      </c>
      <c r="W68" s="285">
        <f t="shared" si="5"/>
        <v>-129460.18180737132</v>
      </c>
      <c r="X68" s="285">
        <f t="shared" si="5"/>
        <v>-127082.78280923929</v>
      </c>
      <c r="Y68" s="285">
        <f t="shared" si="5"/>
        <v>-124705.38381110727</v>
      </c>
      <c r="Z68" s="285">
        <f t="shared" si="5"/>
        <v>-28312.660795935954</v>
      </c>
      <c r="AA68" s="285">
        <f t="shared" si="5"/>
        <v>-119950.58581484322</v>
      </c>
      <c r="AB68" s="285">
        <f t="shared" si="5"/>
        <v>-117573.18681671118</v>
      </c>
      <c r="AC68" s="285">
        <f t="shared" si="5"/>
        <v>-115195.78781857916</v>
      </c>
      <c r="AD68" s="285">
        <f t="shared" si="5"/>
        <v>-112818.38882044713</v>
      </c>
      <c r="AE68" s="285">
        <f t="shared" si="5"/>
        <v>-110440.98982231511</v>
      </c>
    </row>
    <row r="69" spans="1:31" x14ac:dyDescent="0.2">
      <c r="A69" s="281" t="s">
        <v>252</v>
      </c>
      <c r="B69" s="283">
        <v>0</v>
      </c>
      <c r="C69" s="283">
        <v>0</v>
      </c>
      <c r="D69" s="283">
        <v>0</v>
      </c>
      <c r="E69" s="283">
        <v>0</v>
      </c>
      <c r="F69" s="283">
        <v>0</v>
      </c>
      <c r="G69" s="283">
        <v>0</v>
      </c>
      <c r="H69" s="283">
        <v>0</v>
      </c>
      <c r="I69" s="283">
        <v>0</v>
      </c>
      <c r="J69" s="283">
        <v>0</v>
      </c>
      <c r="K69" s="283">
        <v>0</v>
      </c>
      <c r="L69" s="283">
        <v>0</v>
      </c>
      <c r="M69" s="283">
        <v>0</v>
      </c>
      <c r="N69" s="283">
        <v>0</v>
      </c>
      <c r="O69" s="283">
        <v>0</v>
      </c>
      <c r="P69" s="283">
        <v>0</v>
      </c>
      <c r="Q69" s="283">
        <v>0</v>
      </c>
      <c r="R69" s="283">
        <v>0</v>
      </c>
      <c r="S69" s="283">
        <v>0</v>
      </c>
      <c r="T69" s="283">
        <v>0</v>
      </c>
      <c r="U69" s="283">
        <v>0</v>
      </c>
      <c r="V69" s="283">
        <v>0</v>
      </c>
      <c r="W69" s="283">
        <v>0</v>
      </c>
      <c r="X69" s="283">
        <v>0</v>
      </c>
      <c r="Y69" s="283">
        <v>0</v>
      </c>
      <c r="Z69" s="283">
        <v>0</v>
      </c>
      <c r="AA69" s="283">
        <v>0</v>
      </c>
      <c r="AB69" s="283">
        <v>0</v>
      </c>
      <c r="AC69" s="283">
        <v>0</v>
      </c>
      <c r="AD69" s="283">
        <v>0</v>
      </c>
      <c r="AE69" s="283">
        <v>0</v>
      </c>
    </row>
    <row r="70" spans="1:31" x14ac:dyDescent="0.2">
      <c r="A70" s="284" t="s">
        <v>256</v>
      </c>
      <c r="B70" s="285">
        <f t="shared" ref="B70:AE70" si="6">B68+B69</f>
        <v>0</v>
      </c>
      <c r="C70" s="285">
        <f t="shared" si="6"/>
        <v>-177008.16177001188</v>
      </c>
      <c r="D70" s="285">
        <f t="shared" si="6"/>
        <v>-174630.76277187985</v>
      </c>
      <c r="E70" s="285">
        <f t="shared" si="6"/>
        <v>-172253.36377374781</v>
      </c>
      <c r="F70" s="285">
        <f t="shared" si="6"/>
        <v>-169875.96477561578</v>
      </c>
      <c r="G70" s="285">
        <f t="shared" si="6"/>
        <v>-167498.56577748377</v>
      </c>
      <c r="H70" s="285">
        <f t="shared" si="6"/>
        <v>-168363.07450407723</v>
      </c>
      <c r="I70" s="285">
        <f t="shared" si="6"/>
        <v>-162743.76778121971</v>
      </c>
      <c r="J70" s="285">
        <f t="shared" si="6"/>
        <v>-63109.137041322909</v>
      </c>
      <c r="K70" s="285">
        <f t="shared" si="6"/>
        <v>-157988.96978495567</v>
      </c>
      <c r="L70" s="285">
        <f t="shared" si="6"/>
        <v>-155611.57078682363</v>
      </c>
      <c r="M70" s="285">
        <f t="shared" si="6"/>
        <v>-205536.94974759623</v>
      </c>
      <c r="N70" s="285">
        <f t="shared" si="6"/>
        <v>-154098.68051528506</v>
      </c>
      <c r="O70" s="285">
        <f t="shared" si="6"/>
        <v>-148479.37379242753</v>
      </c>
      <c r="P70" s="285">
        <f t="shared" si="6"/>
        <v>-146101.9747942955</v>
      </c>
      <c r="Q70" s="285">
        <f t="shared" si="6"/>
        <v>-143724.5757961635</v>
      </c>
      <c r="R70" s="285">
        <f t="shared" si="6"/>
        <v>-44089.94505626669</v>
      </c>
      <c r="S70" s="285">
        <f t="shared" si="6"/>
        <v>-138969.77779989943</v>
      </c>
      <c r="T70" s="285">
        <f t="shared" si="6"/>
        <v>-139834.28652649291</v>
      </c>
      <c r="U70" s="285">
        <f t="shared" si="6"/>
        <v>-134214.97980363539</v>
      </c>
      <c r="V70" s="285">
        <f t="shared" si="6"/>
        <v>-131837.58080550336</v>
      </c>
      <c r="W70" s="285">
        <f t="shared" si="6"/>
        <v>-129460.18180737132</v>
      </c>
      <c r="X70" s="285">
        <f t="shared" si="6"/>
        <v>-127082.78280923929</v>
      </c>
      <c r="Y70" s="285">
        <f t="shared" si="6"/>
        <v>-124705.38381110727</v>
      </c>
      <c r="Z70" s="285">
        <f t="shared" si="6"/>
        <v>-28312.660795935954</v>
      </c>
      <c r="AA70" s="285">
        <f t="shared" si="6"/>
        <v>-119950.58581484322</v>
      </c>
      <c r="AB70" s="285">
        <f t="shared" si="6"/>
        <v>-117573.18681671118</v>
      </c>
      <c r="AC70" s="285">
        <f t="shared" si="6"/>
        <v>-115195.78781857916</v>
      </c>
      <c r="AD70" s="285">
        <f t="shared" si="6"/>
        <v>-112818.38882044713</v>
      </c>
      <c r="AE70" s="285">
        <f t="shared" si="6"/>
        <v>-110440.98982231511</v>
      </c>
    </row>
    <row r="71" spans="1:31" x14ac:dyDescent="0.2">
      <c r="A71" s="281" t="s">
        <v>251</v>
      </c>
      <c r="B71" s="286">
        <f t="shared" ref="B71:AE71" si="7">-B70*$B$35</f>
        <v>0</v>
      </c>
      <c r="C71" s="286">
        <f t="shared" si="7"/>
        <v>35401.63235400238</v>
      </c>
      <c r="D71" s="286">
        <f t="shared" si="7"/>
        <v>34926.152554375971</v>
      </c>
      <c r="E71" s="286">
        <f t="shared" si="7"/>
        <v>34450.672754749561</v>
      </c>
      <c r="F71" s="286">
        <f t="shared" si="7"/>
        <v>33975.192955123159</v>
      </c>
      <c r="G71" s="286">
        <f t="shared" si="7"/>
        <v>33499.713155496756</v>
      </c>
      <c r="H71" s="286">
        <f t="shared" si="7"/>
        <v>33672.614900815446</v>
      </c>
      <c r="I71" s="286">
        <f t="shared" si="7"/>
        <v>32548.753556243944</v>
      </c>
      <c r="J71" s="286">
        <f t="shared" si="7"/>
        <v>12621.827408264582</v>
      </c>
      <c r="K71" s="286">
        <f t="shared" si="7"/>
        <v>31597.793956991136</v>
      </c>
      <c r="L71" s="286">
        <f t="shared" si="7"/>
        <v>31122.31415736473</v>
      </c>
      <c r="M71" s="286">
        <f t="shared" si="7"/>
        <v>41107.389949519245</v>
      </c>
      <c r="N71" s="286">
        <f t="shared" si="7"/>
        <v>30819.736103057014</v>
      </c>
      <c r="O71" s="286">
        <f t="shared" si="7"/>
        <v>29695.874758485508</v>
      </c>
      <c r="P71" s="286">
        <f t="shared" si="7"/>
        <v>29220.394958859102</v>
      </c>
      <c r="Q71" s="286">
        <f t="shared" si="7"/>
        <v>28744.9151592327</v>
      </c>
      <c r="R71" s="286">
        <f t="shared" si="7"/>
        <v>8817.9890112533376</v>
      </c>
      <c r="S71" s="286">
        <f t="shared" si="7"/>
        <v>27793.955559979888</v>
      </c>
      <c r="T71" s="286">
        <f t="shared" si="7"/>
        <v>27966.857305298585</v>
      </c>
      <c r="U71" s="286">
        <f t="shared" si="7"/>
        <v>26842.995960727079</v>
      </c>
      <c r="V71" s="286">
        <f t="shared" si="7"/>
        <v>26367.516161100673</v>
      </c>
      <c r="W71" s="286">
        <f t="shared" si="7"/>
        <v>25892.036361474267</v>
      </c>
      <c r="X71" s="286">
        <f t="shared" si="7"/>
        <v>25416.556561847858</v>
      </c>
      <c r="Y71" s="286">
        <f t="shared" si="7"/>
        <v>24941.076762221455</v>
      </c>
      <c r="Z71" s="286">
        <f t="shared" si="7"/>
        <v>5662.5321591871907</v>
      </c>
      <c r="AA71" s="286">
        <f t="shared" si="7"/>
        <v>23990.117162968643</v>
      </c>
      <c r="AB71" s="286">
        <f t="shared" si="7"/>
        <v>23514.637363342237</v>
      </c>
      <c r="AC71" s="286">
        <f t="shared" si="7"/>
        <v>23039.157563715835</v>
      </c>
      <c r="AD71" s="286">
        <f t="shared" si="7"/>
        <v>22563.677764089429</v>
      </c>
      <c r="AE71" s="286">
        <f t="shared" si="7"/>
        <v>22088.197964463023</v>
      </c>
    </row>
    <row r="72" spans="1:31" ht="13.5" thickBot="1" x14ac:dyDescent="0.25">
      <c r="A72" s="288" t="s">
        <v>255</v>
      </c>
      <c r="B72" s="289">
        <f t="shared" ref="B72:AE72" si="8">B70+B71</f>
        <v>0</v>
      </c>
      <c r="C72" s="289">
        <f t="shared" si="8"/>
        <v>-141606.52941600949</v>
      </c>
      <c r="D72" s="289">
        <f t="shared" si="8"/>
        <v>-139704.61021750388</v>
      </c>
      <c r="E72" s="289">
        <f t="shared" si="8"/>
        <v>-137802.69101899824</v>
      </c>
      <c r="F72" s="289">
        <f t="shared" si="8"/>
        <v>-135900.77182049264</v>
      </c>
      <c r="G72" s="289">
        <f t="shared" si="8"/>
        <v>-133998.85262198703</v>
      </c>
      <c r="H72" s="289">
        <f t="shared" si="8"/>
        <v>-134690.45960326178</v>
      </c>
      <c r="I72" s="289">
        <f t="shared" si="8"/>
        <v>-130195.01422497576</v>
      </c>
      <c r="J72" s="289">
        <f t="shared" si="8"/>
        <v>-50487.309633058328</v>
      </c>
      <c r="K72" s="289">
        <f t="shared" si="8"/>
        <v>-126391.17582796453</v>
      </c>
      <c r="L72" s="289">
        <f t="shared" si="8"/>
        <v>-124489.25662945891</v>
      </c>
      <c r="M72" s="289">
        <f t="shared" si="8"/>
        <v>-164429.55979807698</v>
      </c>
      <c r="N72" s="289">
        <f t="shared" si="8"/>
        <v>-123278.94441222804</v>
      </c>
      <c r="O72" s="289">
        <f t="shared" si="8"/>
        <v>-118783.49903394203</v>
      </c>
      <c r="P72" s="289">
        <f t="shared" si="8"/>
        <v>-116881.57983543639</v>
      </c>
      <c r="Q72" s="289">
        <f t="shared" si="8"/>
        <v>-114979.6606369308</v>
      </c>
      <c r="R72" s="289">
        <f t="shared" si="8"/>
        <v>-35271.95604501335</v>
      </c>
      <c r="S72" s="289">
        <f t="shared" si="8"/>
        <v>-111175.82223991954</v>
      </c>
      <c r="T72" s="289">
        <f t="shared" si="8"/>
        <v>-111867.42922119432</v>
      </c>
      <c r="U72" s="289">
        <f t="shared" si="8"/>
        <v>-107371.98384290832</v>
      </c>
      <c r="V72" s="289">
        <f t="shared" si="8"/>
        <v>-105470.06464440268</v>
      </c>
      <c r="W72" s="289">
        <f t="shared" si="8"/>
        <v>-103568.14544589705</v>
      </c>
      <c r="X72" s="289">
        <f t="shared" si="8"/>
        <v>-101666.22624739143</v>
      </c>
      <c r="Y72" s="289">
        <f t="shared" si="8"/>
        <v>-99764.307048885821</v>
      </c>
      <c r="Z72" s="289">
        <f t="shared" si="8"/>
        <v>-22650.128636748763</v>
      </c>
      <c r="AA72" s="289">
        <f t="shared" si="8"/>
        <v>-95960.468651874573</v>
      </c>
      <c r="AB72" s="289">
        <f t="shared" si="8"/>
        <v>-94058.549453368949</v>
      </c>
      <c r="AC72" s="289">
        <f t="shared" si="8"/>
        <v>-92156.630254863325</v>
      </c>
      <c r="AD72" s="289">
        <f t="shared" si="8"/>
        <v>-90254.711056357701</v>
      </c>
      <c r="AE72" s="289">
        <f t="shared" si="8"/>
        <v>-88352.791857852091</v>
      </c>
    </row>
    <row r="73" spans="1:31" ht="13.5" thickBot="1" x14ac:dyDescent="0.25">
      <c r="A73" s="271"/>
      <c r="B73" s="290">
        <v>0.5</v>
      </c>
      <c r="C73" s="290">
        <v>1.5</v>
      </c>
      <c r="D73" s="290">
        <v>2.5</v>
      </c>
      <c r="E73" s="290">
        <v>3.5</v>
      </c>
      <c r="F73" s="290">
        <v>4.5</v>
      </c>
      <c r="G73" s="290">
        <v>5.5</v>
      </c>
      <c r="H73" s="290">
        <v>6.5</v>
      </c>
      <c r="I73" s="290">
        <v>7.5</v>
      </c>
      <c r="J73" s="290">
        <v>8.5</v>
      </c>
      <c r="K73" s="290">
        <v>9.5</v>
      </c>
      <c r="L73" s="290">
        <v>10.5</v>
      </c>
      <c r="M73" s="290">
        <v>11.5</v>
      </c>
      <c r="N73" s="290">
        <v>12.5</v>
      </c>
      <c r="O73" s="290">
        <v>13.5</v>
      </c>
      <c r="P73" s="290">
        <v>14.5</v>
      </c>
      <c r="Q73" s="290">
        <v>15.5</v>
      </c>
      <c r="R73" s="290">
        <v>16.5</v>
      </c>
      <c r="S73" s="290">
        <v>17.5</v>
      </c>
      <c r="T73" s="290">
        <v>18.5</v>
      </c>
      <c r="U73" s="290">
        <v>19.5</v>
      </c>
      <c r="V73" s="290">
        <v>20.5</v>
      </c>
      <c r="W73" s="290">
        <v>21.5</v>
      </c>
      <c r="X73" s="290">
        <v>22.5</v>
      </c>
      <c r="Y73" s="290">
        <v>23.5</v>
      </c>
      <c r="Z73" s="290">
        <v>24.5</v>
      </c>
      <c r="AA73" s="290">
        <v>25.5</v>
      </c>
      <c r="AB73" s="290">
        <v>26.5</v>
      </c>
      <c r="AC73" s="290">
        <v>27.5</v>
      </c>
      <c r="AD73" s="290">
        <v>28.5</v>
      </c>
      <c r="AE73" s="290">
        <v>29.5</v>
      </c>
    </row>
    <row r="74" spans="1:31" x14ac:dyDescent="0.2">
      <c r="A74" s="273" t="s">
        <v>254</v>
      </c>
      <c r="B74" s="264">
        <v>1</v>
      </c>
      <c r="C74" s="264">
        <v>2</v>
      </c>
      <c r="D74" s="264">
        <v>3</v>
      </c>
      <c r="E74" s="264">
        <v>4</v>
      </c>
      <c r="F74" s="264">
        <v>5</v>
      </c>
      <c r="G74" s="264">
        <v>6</v>
      </c>
      <c r="H74" s="264">
        <v>7</v>
      </c>
      <c r="I74" s="264">
        <v>8</v>
      </c>
      <c r="J74" s="264">
        <v>9</v>
      </c>
      <c r="K74" s="264">
        <v>10</v>
      </c>
      <c r="L74" s="264">
        <v>11</v>
      </c>
      <c r="M74" s="264">
        <v>12</v>
      </c>
      <c r="N74" s="264">
        <v>13</v>
      </c>
      <c r="O74" s="264">
        <v>14</v>
      </c>
      <c r="P74" s="264">
        <v>15</v>
      </c>
      <c r="Q74" s="264">
        <v>16</v>
      </c>
      <c r="R74" s="264">
        <v>17</v>
      </c>
      <c r="S74" s="264">
        <v>18</v>
      </c>
      <c r="T74" s="264">
        <v>19</v>
      </c>
      <c r="U74" s="264">
        <v>20</v>
      </c>
      <c r="V74" s="264">
        <v>21</v>
      </c>
      <c r="W74" s="264">
        <v>22</v>
      </c>
      <c r="X74" s="264">
        <v>23</v>
      </c>
      <c r="Y74" s="264">
        <v>24</v>
      </c>
      <c r="Z74" s="264">
        <v>25</v>
      </c>
      <c r="AA74" s="264">
        <v>26</v>
      </c>
      <c r="AB74" s="264">
        <v>27</v>
      </c>
      <c r="AC74" s="264">
        <v>28</v>
      </c>
      <c r="AD74" s="264">
        <v>29</v>
      </c>
      <c r="AE74" s="264">
        <v>30</v>
      </c>
    </row>
    <row r="75" spans="1:31" x14ac:dyDescent="0.2">
      <c r="A75" s="291" t="s">
        <v>599</v>
      </c>
      <c r="B75" s="285">
        <f t="shared" ref="B75:AE75" si="9">B68</f>
        <v>0</v>
      </c>
      <c r="C75" s="285">
        <f t="shared" si="9"/>
        <v>-177008.16177001188</v>
      </c>
      <c r="D75" s="285">
        <f t="shared" si="9"/>
        <v>-174630.76277187985</v>
      </c>
      <c r="E75" s="285">
        <f t="shared" si="9"/>
        <v>-172253.36377374781</v>
      </c>
      <c r="F75" s="285">
        <f t="shared" si="9"/>
        <v>-169875.96477561578</v>
      </c>
      <c r="G75" s="285">
        <f t="shared" si="9"/>
        <v>-167498.56577748377</v>
      </c>
      <c r="H75" s="285">
        <f t="shared" si="9"/>
        <v>-168363.07450407723</v>
      </c>
      <c r="I75" s="285">
        <f t="shared" si="9"/>
        <v>-162743.76778121971</v>
      </c>
      <c r="J75" s="285">
        <f t="shared" si="9"/>
        <v>-63109.137041322909</v>
      </c>
      <c r="K75" s="285">
        <f t="shared" si="9"/>
        <v>-157988.96978495567</v>
      </c>
      <c r="L75" s="285">
        <f t="shared" si="9"/>
        <v>-155611.57078682363</v>
      </c>
      <c r="M75" s="285">
        <f t="shared" si="9"/>
        <v>-205536.94974759623</v>
      </c>
      <c r="N75" s="285">
        <f t="shared" si="9"/>
        <v>-154098.68051528506</v>
      </c>
      <c r="O75" s="285">
        <f t="shared" si="9"/>
        <v>-148479.37379242753</v>
      </c>
      <c r="P75" s="285">
        <f t="shared" si="9"/>
        <v>-146101.9747942955</v>
      </c>
      <c r="Q75" s="285">
        <f t="shared" si="9"/>
        <v>-143724.5757961635</v>
      </c>
      <c r="R75" s="285">
        <f t="shared" si="9"/>
        <v>-44089.94505626669</v>
      </c>
      <c r="S75" s="285">
        <f t="shared" si="9"/>
        <v>-138969.77779989943</v>
      </c>
      <c r="T75" s="285">
        <f t="shared" si="9"/>
        <v>-139834.28652649291</v>
      </c>
      <c r="U75" s="285">
        <f t="shared" si="9"/>
        <v>-134214.97980363539</v>
      </c>
      <c r="V75" s="285">
        <f t="shared" si="9"/>
        <v>-131837.58080550336</v>
      </c>
      <c r="W75" s="285">
        <f t="shared" si="9"/>
        <v>-129460.18180737132</v>
      </c>
      <c r="X75" s="285">
        <f t="shared" si="9"/>
        <v>-127082.78280923929</v>
      </c>
      <c r="Y75" s="285">
        <f t="shared" si="9"/>
        <v>-124705.38381110727</v>
      </c>
      <c r="Z75" s="285">
        <f t="shared" si="9"/>
        <v>-28312.660795935954</v>
      </c>
      <c r="AA75" s="285">
        <f t="shared" si="9"/>
        <v>-119950.58581484322</v>
      </c>
      <c r="AB75" s="285">
        <f t="shared" si="9"/>
        <v>-117573.18681671118</v>
      </c>
      <c r="AC75" s="285">
        <f t="shared" si="9"/>
        <v>-115195.78781857916</v>
      </c>
      <c r="AD75" s="285">
        <f t="shared" si="9"/>
        <v>-112818.38882044713</v>
      </c>
      <c r="AE75" s="285">
        <f t="shared" si="9"/>
        <v>-110440.98982231511</v>
      </c>
    </row>
    <row r="76" spans="1:31" x14ac:dyDescent="0.2">
      <c r="A76" s="281" t="s">
        <v>253</v>
      </c>
      <c r="B76" s="286">
        <f t="shared" ref="B76:AE76" si="10">-B67</f>
        <v>0</v>
      </c>
      <c r="C76" s="286">
        <f t="shared" si="10"/>
        <v>108063.59082418308</v>
      </c>
      <c r="D76" s="286">
        <f t="shared" si="10"/>
        <v>108063.59082418308</v>
      </c>
      <c r="E76" s="286">
        <f t="shared" si="10"/>
        <v>108063.59082418308</v>
      </c>
      <c r="F76" s="286">
        <f t="shared" si="10"/>
        <v>108063.59082418308</v>
      </c>
      <c r="G76" s="286">
        <f t="shared" si="10"/>
        <v>108063.59082418308</v>
      </c>
      <c r="H76" s="286">
        <f t="shared" si="10"/>
        <v>108063.59082418308</v>
      </c>
      <c r="I76" s="286">
        <f t="shared" si="10"/>
        <v>108063.59082418308</v>
      </c>
      <c r="J76" s="286">
        <f t="shared" si="10"/>
        <v>108063.59082418308</v>
      </c>
      <c r="K76" s="286">
        <f t="shared" si="10"/>
        <v>108063.59082418308</v>
      </c>
      <c r="L76" s="286">
        <f t="shared" si="10"/>
        <v>108063.59082418308</v>
      </c>
      <c r="M76" s="286">
        <f t="shared" si="10"/>
        <v>108063.59082418308</v>
      </c>
      <c r="N76" s="286">
        <f t="shared" si="10"/>
        <v>108063.59082418308</v>
      </c>
      <c r="O76" s="286">
        <f t="shared" si="10"/>
        <v>108063.59082418308</v>
      </c>
      <c r="P76" s="286">
        <f t="shared" si="10"/>
        <v>108063.59082418308</v>
      </c>
      <c r="Q76" s="286">
        <f t="shared" si="10"/>
        <v>108063.59082418308</v>
      </c>
      <c r="R76" s="286">
        <f t="shared" si="10"/>
        <v>108063.59082418308</v>
      </c>
      <c r="S76" s="286">
        <f t="shared" si="10"/>
        <v>108063.59082418308</v>
      </c>
      <c r="T76" s="286">
        <f t="shared" si="10"/>
        <v>108063.59082418308</v>
      </c>
      <c r="U76" s="286">
        <f t="shared" si="10"/>
        <v>108063.59082418308</v>
      </c>
      <c r="V76" s="286">
        <f t="shared" si="10"/>
        <v>108063.59082418308</v>
      </c>
      <c r="W76" s="286">
        <f t="shared" si="10"/>
        <v>108063.59082418308</v>
      </c>
      <c r="X76" s="286">
        <f t="shared" si="10"/>
        <v>108063.59082418308</v>
      </c>
      <c r="Y76" s="286">
        <f t="shared" si="10"/>
        <v>108063.59082418308</v>
      </c>
      <c r="Z76" s="286">
        <f t="shared" si="10"/>
        <v>108063.59082418308</v>
      </c>
      <c r="AA76" s="286">
        <f t="shared" si="10"/>
        <v>108063.59082418308</v>
      </c>
      <c r="AB76" s="286">
        <f t="shared" si="10"/>
        <v>108063.59082418308</v>
      </c>
      <c r="AC76" s="286">
        <f t="shared" si="10"/>
        <v>108063.59082418308</v>
      </c>
      <c r="AD76" s="286">
        <f t="shared" si="10"/>
        <v>108063.59082418308</v>
      </c>
      <c r="AE76" s="286">
        <f t="shared" si="10"/>
        <v>108063.59082418308</v>
      </c>
    </row>
    <row r="77" spans="1:31" x14ac:dyDescent="0.2">
      <c r="A77" s="281" t="s">
        <v>252</v>
      </c>
      <c r="B77" s="286">
        <f t="shared" ref="B77:AE77" si="11">B69</f>
        <v>0</v>
      </c>
      <c r="C77" s="286">
        <f t="shared" si="11"/>
        <v>0</v>
      </c>
      <c r="D77" s="286">
        <f t="shared" si="11"/>
        <v>0</v>
      </c>
      <c r="E77" s="286">
        <f t="shared" si="11"/>
        <v>0</v>
      </c>
      <c r="F77" s="286">
        <f t="shared" si="11"/>
        <v>0</v>
      </c>
      <c r="G77" s="286">
        <f t="shared" si="11"/>
        <v>0</v>
      </c>
      <c r="H77" s="286">
        <f t="shared" si="11"/>
        <v>0</v>
      </c>
      <c r="I77" s="286">
        <f t="shared" si="11"/>
        <v>0</v>
      </c>
      <c r="J77" s="286">
        <f t="shared" si="11"/>
        <v>0</v>
      </c>
      <c r="K77" s="286">
        <f t="shared" si="11"/>
        <v>0</v>
      </c>
      <c r="L77" s="286">
        <f t="shared" si="11"/>
        <v>0</v>
      </c>
      <c r="M77" s="286">
        <f t="shared" si="11"/>
        <v>0</v>
      </c>
      <c r="N77" s="286">
        <f t="shared" si="11"/>
        <v>0</v>
      </c>
      <c r="O77" s="286">
        <f t="shared" si="11"/>
        <v>0</v>
      </c>
      <c r="P77" s="286">
        <f t="shared" si="11"/>
        <v>0</v>
      </c>
      <c r="Q77" s="286">
        <f t="shared" si="11"/>
        <v>0</v>
      </c>
      <c r="R77" s="286">
        <f t="shared" si="11"/>
        <v>0</v>
      </c>
      <c r="S77" s="286">
        <f t="shared" si="11"/>
        <v>0</v>
      </c>
      <c r="T77" s="286">
        <f t="shared" si="11"/>
        <v>0</v>
      </c>
      <c r="U77" s="286">
        <f t="shared" si="11"/>
        <v>0</v>
      </c>
      <c r="V77" s="286">
        <f t="shared" si="11"/>
        <v>0</v>
      </c>
      <c r="W77" s="286">
        <f t="shared" si="11"/>
        <v>0</v>
      </c>
      <c r="X77" s="286">
        <f t="shared" si="11"/>
        <v>0</v>
      </c>
      <c r="Y77" s="286">
        <f t="shared" si="11"/>
        <v>0</v>
      </c>
      <c r="Z77" s="286">
        <f t="shared" si="11"/>
        <v>0</v>
      </c>
      <c r="AA77" s="286">
        <f t="shared" si="11"/>
        <v>0</v>
      </c>
      <c r="AB77" s="286">
        <f t="shared" si="11"/>
        <v>0</v>
      </c>
      <c r="AC77" s="286">
        <f t="shared" si="11"/>
        <v>0</v>
      </c>
      <c r="AD77" s="286">
        <f t="shared" si="11"/>
        <v>0</v>
      </c>
      <c r="AE77" s="286">
        <f t="shared" si="11"/>
        <v>0</v>
      </c>
    </row>
    <row r="78" spans="1:31" x14ac:dyDescent="0.2">
      <c r="A78" s="281" t="s">
        <v>251</v>
      </c>
      <c r="B78" s="286">
        <f>IF(SUM($B$71:B71)+SUM($A$78:A78)&gt;0,0,SUM($B$71:B71)-SUM($A$78:A78))</f>
        <v>0</v>
      </c>
      <c r="C78" s="286">
        <f>IF(SUM($B$71:C71)+SUM($A$78:B78)&gt;0,0,SUM($B$71:C71)-SUM($A$78:B78))</f>
        <v>0</v>
      </c>
      <c r="D78" s="286">
        <f>IF(SUM($B$71:D71)+SUM($A$78:C78)&gt;0,0,SUM($B$71:D71)-SUM($A$78:C78))</f>
        <v>0</v>
      </c>
      <c r="E78" s="286">
        <f>IF(SUM($B$71:E71)+SUM($A$78:D78)&gt;0,0,SUM($B$71:E71)-SUM($A$78:D78))</f>
        <v>0</v>
      </c>
      <c r="F78" s="286">
        <f>IF(SUM($B$71:F71)+SUM($A$78:E78)&gt;0,0,SUM($B$71:F71)-SUM($A$78:E78))</f>
        <v>0</v>
      </c>
      <c r="G78" s="286">
        <f>IF(SUM($B$71:G71)+SUM($A$78:F78)&gt;0,0,SUM($B$71:G71)-SUM($A$78:F78))</f>
        <v>0</v>
      </c>
      <c r="H78" s="286">
        <f>IF(SUM($B$71:H71)+SUM($A$78:G78)&gt;0,0,SUM($B$71:H71)-SUM($A$78:G78))</f>
        <v>0</v>
      </c>
      <c r="I78" s="286">
        <f>IF(SUM($B$71:I71)+SUM($A$78:H78)&gt;0,0,SUM($B$71:I71)-SUM($A$78:H78))</f>
        <v>0</v>
      </c>
      <c r="J78" s="286">
        <f>IF(SUM($B$71:J71)+SUM($A$78:I78)&gt;0,0,SUM($B$71:J71)-SUM($A$78:I78))</f>
        <v>0</v>
      </c>
      <c r="K78" s="286">
        <f>IF(SUM($B$71:K71)+SUM($A$78:J78)&gt;0,0,SUM($B$71:K71)-SUM($A$78:J78))</f>
        <v>0</v>
      </c>
      <c r="L78" s="286">
        <f>IF(SUM($B$71:L71)+SUM($A$78:K78)&gt;0,0,SUM($B$71:L71)-SUM($A$78:K78))</f>
        <v>0</v>
      </c>
      <c r="M78" s="286">
        <f>IF(SUM($B$71:M71)+SUM($A$78:L78)&gt;0,0,SUM($B$71:M71)-SUM($A$78:L78))</f>
        <v>0</v>
      </c>
      <c r="N78" s="286">
        <f>IF(SUM($B$71:N71)+SUM($A$78:M78)&gt;0,0,SUM($B$71:N71)-SUM($A$78:M78))</f>
        <v>0</v>
      </c>
      <c r="O78" s="286">
        <f>IF(SUM($B$71:O71)+SUM($A$78:N78)&gt;0,0,SUM($B$71:O71)-SUM($A$78:N78))</f>
        <v>0</v>
      </c>
      <c r="P78" s="286">
        <f>IF(SUM($B$71:P71)+SUM($A$78:O78)&gt;0,0,SUM($B$71:P71)-SUM($A$78:O78))</f>
        <v>0</v>
      </c>
      <c r="Q78" s="286">
        <f>IF(SUM($B$71:Q71)+SUM($A$78:P78)&gt;0,0,SUM($B$71:Q71)-SUM($A$78:P78))</f>
        <v>0</v>
      </c>
      <c r="R78" s="286">
        <f>IF(SUM($B$71:R71)+SUM($A$78:Q78)&gt;0,0,SUM($B$71:R71)-SUM($A$78:Q78))</f>
        <v>0</v>
      </c>
      <c r="S78" s="286">
        <f>IF(SUM($B$71:S71)+SUM($A$78:R78)&gt;0,0,SUM($B$71:S71)-SUM($A$78:R78))</f>
        <v>0</v>
      </c>
      <c r="T78" s="286">
        <f>IF(SUM($B$71:T71)+SUM($A$78:S78)&gt;0,0,SUM($B$71:T71)-SUM($A$78:S78))</f>
        <v>0</v>
      </c>
      <c r="U78" s="286">
        <f>IF(SUM($B$71:U71)+SUM($A$78:T78)&gt;0,0,SUM($B$71:U71)-SUM($A$78:T78))</f>
        <v>0</v>
      </c>
      <c r="V78" s="286">
        <f>IF(SUM($B$71:V71)+SUM($A$78:U78)&gt;0,0,SUM($B$71:V71)-SUM($A$78:U78))</f>
        <v>0</v>
      </c>
      <c r="W78" s="286">
        <f>IF(SUM($B$71:W71)+SUM($A$78:V78)&gt;0,0,SUM($B$71:W71)-SUM($A$78:V78))</f>
        <v>0</v>
      </c>
      <c r="X78" s="286">
        <f>IF(SUM($B$71:X71)+SUM($A$78:W78)&gt;0,0,SUM($B$71:X71)-SUM($A$78:W78))</f>
        <v>0</v>
      </c>
      <c r="Y78" s="286">
        <f>IF(SUM($B$71:Y71)+SUM($A$78:X78)&gt;0,0,SUM($B$71:Y71)-SUM($A$78:X78))</f>
        <v>0</v>
      </c>
      <c r="Z78" s="286">
        <f>IF(SUM($B$71:Z71)+SUM($A$78:Y78)&gt;0,0,SUM($B$71:Z71)-SUM($A$78:Y78))</f>
        <v>0</v>
      </c>
      <c r="AA78" s="286">
        <f>IF(SUM($B$71:AA71)+SUM($A$78:Z78)&gt;0,0,SUM($B$71:AA71)-SUM($A$78:Z78))</f>
        <v>0</v>
      </c>
      <c r="AB78" s="286">
        <f>IF(SUM($B$71:AB71)+SUM($A$78:AA78)&gt;0,0,SUM($B$71:AB71)-SUM($A$78:AA78))</f>
        <v>0</v>
      </c>
      <c r="AC78" s="286">
        <f>IF(SUM($B$71:AC71)+SUM($A$78:AB78)&gt;0,0,SUM($B$71:AC71)-SUM($A$78:AB78))</f>
        <v>0</v>
      </c>
      <c r="AD78" s="286">
        <f>IF(SUM($B$71:AD71)+SUM($A$78:AC78)&gt;0,0,SUM($B$71:AD71)-SUM($A$78:AC78))</f>
        <v>0</v>
      </c>
      <c r="AE78" s="286">
        <f>IF(SUM($B$71:AE71)+SUM($A$78:AD78)&gt;0,0,SUM($B$71:AE71)-SUM($A$78:AD78))</f>
        <v>0</v>
      </c>
    </row>
    <row r="79" spans="1:31" x14ac:dyDescent="0.2">
      <c r="A79" s="281" t="s">
        <v>250</v>
      </c>
      <c r="B79" s="286">
        <f>IF(((SUM($B$58:B58)+SUM($B$60:B64))+SUM($B$81:B81))&lt;0,((SUM($B$58:B58)+SUM($B$60:B64))+SUM($B$81:B81))*0.2-SUM($A$79:A79),IF(SUM(A$79:$A79)&lt;0,0-SUM(A$79:$A79),0))</f>
        <v>0</v>
      </c>
      <c r="C79" s="286">
        <f>IF(((SUM($B$58:C58)+SUM($B$60:C64))+SUM($B$81:C81))&lt;0,((SUM($B$58:C58)+SUM($B$60:C64))+SUM($B$81:C81))*0.2-SUM($A$79:B79),IF(SUM($A$79:B79)&lt;0,0-SUM($A$79:B79),0))</f>
        <v>0</v>
      </c>
      <c r="D79" s="286">
        <f>IF(((SUM($B$58:D58)+SUM($B$60:D64))+SUM($B$81:D81))&lt;0,((SUM($B$58:D58)+SUM($B$60:D64))+SUM($B$81:D81))*0.2-SUM($A$79:C79),IF(SUM($A$79:C79)&lt;0,0-SUM($A$79:C79),0))</f>
        <v>0</v>
      </c>
      <c r="E79" s="286">
        <f>IF(((SUM($B$58:E58)+SUM($B$60:E64))+SUM($B$81:E81))&lt;0,((SUM($B$58:E58)+SUM($B$60:E64))+SUM($B$81:E81))*0.2-SUM($A$79:D79),IF(SUM($A$79:D79)&lt;0,0-SUM($A$79:D79),0))</f>
        <v>0</v>
      </c>
      <c r="F79" s="286">
        <f>IF(((SUM($B$58:F58)+SUM($B$60:F64))+SUM($B$81:F81))&lt;0,((SUM($B$58:F58)+SUM($B$60:F64))+SUM($B$81:F81))*0.2-SUM($A$79:E79),IF(SUM($A$79:E79)&lt;0,0-SUM($A$79:E79),0))</f>
        <v>0</v>
      </c>
      <c r="G79" s="286">
        <f>IF(((SUM($B$58:G58)+SUM($B$60:G64))+SUM($B$81:G81))&lt;0,((SUM($B$58:G58)+SUM($B$60:G64))+SUM($B$81:G81))*0.2-SUM($A$79:F79),IF(SUM($A$79:F79)&lt;0,0-SUM($A$79:F79),0))</f>
        <v>0</v>
      </c>
      <c r="H79" s="286">
        <f>IF(((SUM($B$58:H58)+SUM($B$60:H64))+SUM($B$81:H81))&lt;0,((SUM($B$58:H58)+SUM($B$60:H64))+SUM($B$81:H81))*0.2-SUM($A$79:G79),IF(SUM($A$79:G79)&lt;0,0-SUM($A$79:G79),0))</f>
        <v>-648.38154494509854</v>
      </c>
      <c r="I79" s="286">
        <f>IF(((SUM($B$58:I58)+SUM($B$60:I64))+SUM($B$81:I81))&lt;0,((SUM($B$58:I58)+SUM($B$60:I64))+SUM($B$81:I81))*0.2-SUM($A$79:H79),IF(SUM($A$79:H79)&lt;0,0-SUM($A$79:H79),0))</f>
        <v>0</v>
      </c>
      <c r="J79" s="286">
        <f>IF(((SUM($B$58:J58)+SUM($B$60:J64))+SUM($B$81:J81))&lt;0,((SUM($B$58:J58)+SUM($B$60:J64))+SUM($B$81:J81))*0.2-SUM($A$79:I79),IF(SUM($A$79:I79)&lt;0,0-SUM($A$79:I79),0))</f>
        <v>648.38154494509854</v>
      </c>
      <c r="K79" s="286">
        <f>IF(((SUM($B$58:K58)+SUM($B$60:K64))+SUM($B$81:K81))&lt;0,((SUM($B$58:K58)+SUM($B$60:K64))+SUM($B$81:K81))*0.2-SUM($A$79:J79),IF(SUM($A$79:J79)&lt;0,0-SUM($A$79:J79),0))</f>
        <v>0</v>
      </c>
      <c r="L79" s="286">
        <f>IF(((SUM($B$58:L58)+SUM($B$60:L64))+SUM($B$81:L81))&lt;0,((SUM($B$58:L58)+SUM($B$60:L64))+SUM($B$81:L81))*0.2-SUM($A$79:K79),IF(SUM($A$79:K79)&lt;0,0-SUM($A$79:K79),0))</f>
        <v>0</v>
      </c>
      <c r="M79" s="286">
        <f>IF(((SUM($B$58:M58)+SUM($B$60:M64))+SUM($B$81:M81))&lt;0,((SUM($B$58:M58)+SUM($B$60:M64))+SUM($B$81:M81))*0.2-SUM($A$79:L79),IF(SUM($A$79:L79)&lt;0,0-SUM($A$79:L79),0))</f>
        <v>0</v>
      </c>
      <c r="N79" s="286">
        <f>IF(((SUM($B$58:N58)+SUM($B$60:N64))+SUM($B$81:N81))&lt;0,((SUM($B$58:N58)+SUM($B$60:N64))+SUM($B$81:N81))*0.2-SUM($A$79:M79),IF(SUM($A$79:M79)&lt;0,0-SUM($A$79:M79),0))</f>
        <v>0</v>
      </c>
      <c r="O79" s="286">
        <f>IF(((SUM($B$58:O58)+SUM($B$60:O64))+SUM($B$81:O81))&lt;0,((SUM($B$58:O58)+SUM($B$60:O64))+SUM($B$81:O81))*0.2-SUM($A$79:N79),IF(SUM($A$79:N79)&lt;0,0-SUM($A$79:N79),0))</f>
        <v>0</v>
      </c>
      <c r="P79" s="286">
        <f>IF(((SUM($B$58:P58)+SUM($B$60:P64))+SUM($B$81:P81))&lt;0,((SUM($B$58:P58)+SUM($B$60:P64))+SUM($B$81:P81))*0.2-SUM($A$79:O79),IF(SUM($A$79:O79)&lt;0,0-SUM($A$79:O79),0))</f>
        <v>0</v>
      </c>
      <c r="Q79" s="286">
        <f>IF(((SUM($B$58:Q58)+SUM($B$60:Q64))+SUM($B$81:Q81))&lt;0,((SUM($B$58:Q58)+SUM($B$60:Q64))+SUM($B$81:Q81))*0.2-SUM($A$79:P79),IF(SUM($A$79:P79)&lt;0,0-SUM($A$79:P79),0))</f>
        <v>0</v>
      </c>
      <c r="R79" s="286">
        <f>IF(((SUM($B$58:R58)+SUM($B$60:R64))+SUM($B$81:R81))&lt;0,((SUM($B$58:R58)+SUM($B$60:R64))+SUM($B$81:R81))*0.2-SUM($A$79:Q79),IF(SUM($A$79:Q79)&lt;0,0-SUM($A$79:Q79),0))</f>
        <v>0</v>
      </c>
      <c r="S79" s="286">
        <f>IF(((SUM($B$58:S58)+SUM($B$60:S64))+SUM($B$81:S81))&lt;0,((SUM($B$58:S58)+SUM($B$60:S64))+SUM($B$81:S81))*0.2-SUM($A$79:R79),IF(SUM($A$79:R79)&lt;0,0-SUM($A$79:R79),0))</f>
        <v>0</v>
      </c>
      <c r="T79" s="286">
        <f>IF(((SUM($B$58:T58)+SUM($B$60:T64))+SUM($B$81:T81))&lt;0,((SUM($B$58:T58)+SUM($B$60:T64))+SUM($B$81:T81))*0.2-SUM($A$79:S79),IF(SUM($A$79:S79)&lt;0,0-SUM($A$79:S79),0))</f>
        <v>0</v>
      </c>
      <c r="U79" s="286">
        <f>IF(((SUM($B$58:U58)+SUM($B$60:U64))+SUM($B$81:U81))&lt;0,((SUM($B$58:U58)+SUM($B$60:U64))+SUM($B$81:U81))*0.2-SUM($A$79:T79),IF(SUM($A$79:T79)&lt;0,0-SUM($A$79:T79),0))</f>
        <v>0</v>
      </c>
      <c r="V79" s="286">
        <f>IF(((SUM($B$58:V58)+SUM($B$60:V64))+SUM($B$81:V81))&lt;0,((SUM($B$58:V58)+SUM($B$60:V64))+SUM($B$81:V81))*0.2-SUM($A$79:U79),IF(SUM($A$79:U79)&lt;0,0-SUM($A$79:U79),0))</f>
        <v>0</v>
      </c>
      <c r="W79" s="286">
        <f>IF(((SUM($B$58:W58)+SUM($B$60:W64))+SUM($B$81:W81))&lt;0,((SUM($B$58:W58)+SUM($B$60:W64))+SUM($B$81:W81))*0.2-SUM($A$79:V79),IF(SUM($A$79:V79)&lt;0,0-SUM($A$79:V79),0))</f>
        <v>0</v>
      </c>
      <c r="X79" s="286">
        <f>IF(((SUM($B$58:X58)+SUM($B$60:X64))+SUM($B$81:X81))&lt;0,((SUM($B$58:X58)+SUM($B$60:X64))+SUM($B$81:X81))*0.2-SUM($A$79:W79),IF(SUM($A$79:W79)&lt;0,0-SUM($A$79:W79),0))</f>
        <v>0</v>
      </c>
      <c r="Y79" s="286">
        <f>IF(((SUM($B$58:Y58)+SUM($B$60:Y64))+SUM($B$81:Y81))&lt;0,((SUM($B$58:Y58)+SUM($B$60:Y64))+SUM($B$81:Y81))*0.2-SUM($A$79:X79),IF(SUM($A$79:X79)&lt;0,0-SUM($A$79:X79),0))</f>
        <v>0</v>
      </c>
      <c r="Z79" s="286">
        <f>IF(((SUM($B$58:Z58)+SUM($B$60:Z64))+SUM($B$81:Z81))&lt;0,((SUM($B$58:Z58)+SUM($B$60:Z64))+SUM($B$81:Z81))*0.2-SUM($A$79:Y79),IF(SUM($A$79:Y79)&lt;0,0-SUM($A$79:Y79),0))</f>
        <v>0</v>
      </c>
      <c r="AA79" s="286">
        <f>IF(((SUM($B$58:AA58)+SUM($B$60:AA64))+SUM($B$81:AA81))&lt;0,((SUM($B$58:AA58)+SUM($B$60:AA64))+SUM($B$81:AA81))*0.2-SUM($A$79:Z79),IF(SUM($A$79:Z79)&lt;0,0-SUM($A$79:Z79),0))</f>
        <v>0</v>
      </c>
      <c r="AB79" s="286">
        <f>IF(((SUM($B$58:AB58)+SUM($B$60:AB64))+SUM($B$81:AB81))&lt;0,((SUM($B$58:AB58)+SUM($B$60:AB64))+SUM($B$81:AB81))*0.2-SUM($A$79:AA79),IF(SUM($A$79:AA79)&lt;0,0-SUM($A$79:AA79),0))</f>
        <v>0</v>
      </c>
      <c r="AC79" s="286">
        <f>IF(((SUM($B$58:AC58)+SUM($B$60:AC64))+SUM($B$81:AC81))&lt;0,((SUM($B$58:AC58)+SUM($B$60:AC64))+SUM($B$81:AC81))*0.2-SUM($A$79:AB79),IF(SUM($A$79:AB79)&lt;0,0-SUM($A$79:AB79),0))</f>
        <v>0</v>
      </c>
      <c r="AD79" s="286">
        <f>IF(((SUM($B$58:AD58)+SUM($B$60:AD64))+SUM($B$81:AD81))&lt;0,((SUM($B$58:AD58)+SUM($B$60:AD64))+SUM($B$81:AD81))*0.2-SUM($A$79:AC79),IF(SUM($A$79:AC79)&lt;0,0-SUM($A$79:AC79),0))</f>
        <v>0</v>
      </c>
      <c r="AE79" s="286">
        <f>IF(((SUM($B$58:AE58)+SUM($B$60:AE64))+SUM($B$81:AE81))&lt;0,((SUM($B$58:AE58)+SUM($B$60:AE64))+SUM($B$81:AE81))*0.2-SUM($A$79:AD79),IF(SUM($A$79:AD79)&lt;0,0-SUM($A$79:AD79),0))</f>
        <v>0</v>
      </c>
    </row>
    <row r="80" spans="1:31" x14ac:dyDescent="0.2">
      <c r="A80" s="281" t="s">
        <v>249</v>
      </c>
      <c r="B80" s="286">
        <f>-B58*($B$38)</f>
        <v>0</v>
      </c>
      <c r="C80" s="286">
        <f t="shared" ref="C80:AE80" si="12">-C58*($B$38)</f>
        <v>0</v>
      </c>
      <c r="D80" s="286">
        <f t="shared" si="12"/>
        <v>0</v>
      </c>
      <c r="E80" s="286">
        <f t="shared" si="12"/>
        <v>0</v>
      </c>
      <c r="F80" s="286">
        <f t="shared" si="12"/>
        <v>0</v>
      </c>
      <c r="G80" s="286">
        <f t="shared" si="12"/>
        <v>0</v>
      </c>
      <c r="H80" s="286">
        <f t="shared" si="12"/>
        <v>0</v>
      </c>
      <c r="I80" s="286">
        <f t="shared" si="12"/>
        <v>0</v>
      </c>
      <c r="J80" s="286">
        <f t="shared" si="12"/>
        <v>0</v>
      </c>
      <c r="K80" s="286">
        <f t="shared" si="12"/>
        <v>0</v>
      </c>
      <c r="L80" s="286">
        <f t="shared" si="12"/>
        <v>0</v>
      </c>
      <c r="M80" s="286">
        <f t="shared" si="12"/>
        <v>0</v>
      </c>
      <c r="N80" s="286">
        <f t="shared" si="12"/>
        <v>0</v>
      </c>
      <c r="O80" s="286">
        <f t="shared" si="12"/>
        <v>0</v>
      </c>
      <c r="P80" s="286">
        <f t="shared" si="12"/>
        <v>0</v>
      </c>
      <c r="Q80" s="286">
        <f t="shared" si="12"/>
        <v>0</v>
      </c>
      <c r="R80" s="286">
        <f t="shared" si="12"/>
        <v>0</v>
      </c>
      <c r="S80" s="286">
        <f t="shared" si="12"/>
        <v>0</v>
      </c>
      <c r="T80" s="286">
        <f t="shared" si="12"/>
        <v>0</v>
      </c>
      <c r="U80" s="286">
        <f t="shared" si="12"/>
        <v>0</v>
      </c>
      <c r="V80" s="286">
        <f t="shared" si="12"/>
        <v>0</v>
      </c>
      <c r="W80" s="286">
        <f t="shared" si="12"/>
        <v>0</v>
      </c>
      <c r="X80" s="286">
        <f t="shared" si="12"/>
        <v>0</v>
      </c>
      <c r="Y80" s="286">
        <f t="shared" si="12"/>
        <v>0</v>
      </c>
      <c r="Z80" s="286">
        <f t="shared" si="12"/>
        <v>0</v>
      </c>
      <c r="AA80" s="286">
        <f t="shared" si="12"/>
        <v>0</v>
      </c>
      <c r="AB80" s="286">
        <f t="shared" si="12"/>
        <v>0</v>
      </c>
      <c r="AC80" s="286">
        <f t="shared" si="12"/>
        <v>0</v>
      </c>
      <c r="AD80" s="286">
        <f t="shared" si="12"/>
        <v>0</v>
      </c>
      <c r="AE80" s="286">
        <f t="shared" si="12"/>
        <v>0</v>
      </c>
    </row>
    <row r="81" spans="1:31" x14ac:dyDescent="0.2">
      <c r="A81" s="281" t="s">
        <v>465</v>
      </c>
      <c r="B81" s="292">
        <f>-'6.2. Паспорт фин осв ввод'!R24*1000000</f>
        <v>0</v>
      </c>
      <c r="C81" s="292"/>
      <c r="D81" s="283"/>
      <c r="E81" s="283"/>
      <c r="F81" s="283"/>
      <c r="G81" s="283"/>
      <c r="H81" s="283"/>
      <c r="I81" s="283"/>
      <c r="J81" s="283"/>
      <c r="K81" s="283"/>
      <c r="L81" s="283"/>
      <c r="M81" s="283"/>
      <c r="N81" s="283"/>
      <c r="O81" s="283"/>
      <c r="P81" s="283"/>
      <c r="Q81" s="283"/>
      <c r="R81" s="283"/>
      <c r="S81" s="283"/>
      <c r="T81" s="283"/>
      <c r="U81" s="283"/>
      <c r="V81" s="283"/>
      <c r="W81" s="283"/>
      <c r="X81" s="283"/>
      <c r="Y81" s="283"/>
      <c r="Z81" s="283"/>
      <c r="AA81" s="283"/>
      <c r="AB81" s="283"/>
      <c r="AC81" s="283"/>
      <c r="AD81" s="283"/>
      <c r="AE81" s="283"/>
    </row>
    <row r="82" spans="1:31" x14ac:dyDescent="0.2">
      <c r="A82" s="281" t="s">
        <v>248</v>
      </c>
      <c r="B82" s="283">
        <v>0</v>
      </c>
      <c r="C82" s="283">
        <v>0</v>
      </c>
      <c r="D82" s="283">
        <v>0</v>
      </c>
      <c r="E82" s="283">
        <v>0</v>
      </c>
      <c r="F82" s="283">
        <v>0</v>
      </c>
      <c r="G82" s="283">
        <v>0</v>
      </c>
      <c r="H82" s="283">
        <v>0</v>
      </c>
      <c r="I82" s="283">
        <v>0</v>
      </c>
      <c r="J82" s="283">
        <v>0</v>
      </c>
      <c r="K82" s="283">
        <v>0</v>
      </c>
      <c r="L82" s="283">
        <v>0</v>
      </c>
      <c r="M82" s="283">
        <v>0</v>
      </c>
      <c r="N82" s="283">
        <v>0</v>
      </c>
      <c r="O82" s="283">
        <v>0</v>
      </c>
      <c r="P82" s="283">
        <v>0</v>
      </c>
      <c r="Q82" s="283">
        <v>0</v>
      </c>
      <c r="R82" s="283">
        <v>0</v>
      </c>
      <c r="S82" s="283">
        <v>0</v>
      </c>
      <c r="T82" s="283">
        <v>0</v>
      </c>
      <c r="U82" s="283">
        <v>0</v>
      </c>
      <c r="V82" s="283">
        <v>0</v>
      </c>
      <c r="W82" s="283">
        <v>0</v>
      </c>
      <c r="X82" s="283">
        <v>0</v>
      </c>
      <c r="Y82" s="283">
        <v>0</v>
      </c>
      <c r="Z82" s="283">
        <v>0</v>
      </c>
      <c r="AA82" s="283">
        <v>0</v>
      </c>
      <c r="AB82" s="283">
        <v>0</v>
      </c>
      <c r="AC82" s="283">
        <v>0</v>
      </c>
      <c r="AD82" s="283">
        <v>0</v>
      </c>
      <c r="AE82" s="283">
        <v>0</v>
      </c>
    </row>
    <row r="83" spans="1:31" x14ac:dyDescent="0.2">
      <c r="A83" s="284" t="s">
        <v>247</v>
      </c>
      <c r="B83" s="285">
        <f t="shared" ref="B83:AE83" si="13">SUM(B75:B82)</f>
        <v>0</v>
      </c>
      <c r="C83" s="285">
        <f t="shared" si="13"/>
        <v>-68944.570945828804</v>
      </c>
      <c r="D83" s="285">
        <f t="shared" si="13"/>
        <v>-66567.17194769677</v>
      </c>
      <c r="E83" s="285">
        <f t="shared" si="13"/>
        <v>-64189.772949564736</v>
      </c>
      <c r="F83" s="285">
        <f t="shared" si="13"/>
        <v>-61812.373951432703</v>
      </c>
      <c r="G83" s="285">
        <f t="shared" si="13"/>
        <v>-59434.974953300698</v>
      </c>
      <c r="H83" s="285">
        <f t="shared" si="13"/>
        <v>-60947.865224839254</v>
      </c>
      <c r="I83" s="285">
        <f t="shared" si="13"/>
        <v>-54680.17695703663</v>
      </c>
      <c r="J83" s="285">
        <f t="shared" si="13"/>
        <v>45602.835327805267</v>
      </c>
      <c r="K83" s="285">
        <f t="shared" si="13"/>
        <v>-49925.378960772592</v>
      </c>
      <c r="L83" s="285">
        <f t="shared" si="13"/>
        <v>-47547.979962640558</v>
      </c>
      <c r="M83" s="285">
        <f t="shared" si="13"/>
        <v>-97473.35892341315</v>
      </c>
      <c r="N83" s="285">
        <f t="shared" si="13"/>
        <v>-46035.089691101981</v>
      </c>
      <c r="O83" s="285">
        <f t="shared" si="13"/>
        <v>-40415.782968244457</v>
      </c>
      <c r="P83" s="285">
        <f t="shared" si="13"/>
        <v>-38038.383970112423</v>
      </c>
      <c r="Q83" s="285">
        <f t="shared" si="13"/>
        <v>-35660.984971980419</v>
      </c>
      <c r="R83" s="285">
        <f t="shared" si="13"/>
        <v>63973.645767916387</v>
      </c>
      <c r="S83" s="285">
        <f t="shared" si="13"/>
        <v>-30906.186975716351</v>
      </c>
      <c r="T83" s="285">
        <f t="shared" si="13"/>
        <v>-31770.695702309837</v>
      </c>
      <c r="U83" s="285">
        <f t="shared" si="13"/>
        <v>-26151.388979452313</v>
      </c>
      <c r="V83" s="285">
        <f t="shared" si="13"/>
        <v>-23773.989981320279</v>
      </c>
      <c r="W83" s="285">
        <f t="shared" si="13"/>
        <v>-21396.590983188245</v>
      </c>
      <c r="X83" s="285">
        <f t="shared" si="13"/>
        <v>-19019.191985056212</v>
      </c>
      <c r="Y83" s="285">
        <f t="shared" si="13"/>
        <v>-16641.792986924193</v>
      </c>
      <c r="Z83" s="285">
        <f t="shared" si="13"/>
        <v>79750.930028247123</v>
      </c>
      <c r="AA83" s="285">
        <f t="shared" si="13"/>
        <v>-11886.99499066014</v>
      </c>
      <c r="AB83" s="285">
        <f t="shared" si="13"/>
        <v>-9509.5959925281059</v>
      </c>
      <c r="AC83" s="285">
        <f t="shared" si="13"/>
        <v>-7132.1969943960867</v>
      </c>
      <c r="AD83" s="285">
        <f t="shared" si="13"/>
        <v>-4754.7979962640529</v>
      </c>
      <c r="AE83" s="285">
        <f t="shared" si="13"/>
        <v>-2377.3989981320337</v>
      </c>
    </row>
    <row r="84" spans="1:31" x14ac:dyDescent="0.2">
      <c r="A84" s="284" t="s">
        <v>600</v>
      </c>
      <c r="B84" s="285">
        <f>SUM($B$83:B83)</f>
        <v>0</v>
      </c>
      <c r="C84" s="285">
        <f>SUM($B$83:C83)</f>
        <v>-68944.570945828804</v>
      </c>
      <c r="D84" s="285">
        <f>SUM($B$83:D83)</f>
        <v>-135511.74289352557</v>
      </c>
      <c r="E84" s="285">
        <f>SUM($B$83:E83)</f>
        <v>-199701.51584309031</v>
      </c>
      <c r="F84" s="285">
        <f>SUM($B$83:F83)</f>
        <v>-261513.88979452301</v>
      </c>
      <c r="G84" s="285">
        <f>SUM($B$83:G83)</f>
        <v>-320948.86474782368</v>
      </c>
      <c r="H84" s="285">
        <f>SUM($B$83:H83)</f>
        <v>-381896.72997266293</v>
      </c>
      <c r="I84" s="285">
        <f>SUM($B$83:I83)</f>
        <v>-436576.90692969959</v>
      </c>
      <c r="J84" s="285">
        <f>SUM($B$83:J83)</f>
        <v>-390974.07160189433</v>
      </c>
      <c r="K84" s="285">
        <f>SUM($B$83:K83)</f>
        <v>-440899.45056266693</v>
      </c>
      <c r="L84" s="285">
        <f>SUM($B$83:L83)</f>
        <v>-488447.43052530749</v>
      </c>
      <c r="M84" s="285">
        <f>SUM($B$83:M83)</f>
        <v>-585920.78944872064</v>
      </c>
      <c r="N84" s="285">
        <f>SUM($B$83:N83)</f>
        <v>-631955.87913982267</v>
      </c>
      <c r="O84" s="285">
        <f>SUM($B$83:O83)</f>
        <v>-672371.66210806719</v>
      </c>
      <c r="P84" s="285">
        <f>SUM($B$83:P83)</f>
        <v>-710410.04607817961</v>
      </c>
      <c r="Q84" s="285">
        <f>SUM($B$83:Q83)</f>
        <v>-746071.03105016006</v>
      </c>
      <c r="R84" s="285">
        <f>SUM($B$83:R83)</f>
        <v>-682097.38528224372</v>
      </c>
      <c r="S84" s="285">
        <f>SUM($B$83:S83)</f>
        <v>-713003.5722579601</v>
      </c>
      <c r="T84" s="285">
        <f>SUM($B$83:T83)</f>
        <v>-744774.26796026994</v>
      </c>
      <c r="U84" s="285">
        <f>SUM($B$83:U83)</f>
        <v>-770925.65693972225</v>
      </c>
      <c r="V84" s="285">
        <f>SUM($B$83:V83)</f>
        <v>-794699.64692104259</v>
      </c>
      <c r="W84" s="285">
        <f>SUM($B$83:W83)</f>
        <v>-816096.23790423083</v>
      </c>
      <c r="X84" s="285">
        <f>SUM($B$83:X83)</f>
        <v>-835115.4298892871</v>
      </c>
      <c r="Y84" s="285">
        <f>SUM($B$83:Y83)</f>
        <v>-851757.22287621128</v>
      </c>
      <c r="Z84" s="285">
        <f>SUM($B$83:Z83)</f>
        <v>-772006.29284796421</v>
      </c>
      <c r="AA84" s="285">
        <f>SUM($B$83:AA83)</f>
        <v>-783893.28783862432</v>
      </c>
      <c r="AB84" s="285">
        <f>SUM($B$83:AB83)</f>
        <v>-793402.88383115246</v>
      </c>
      <c r="AC84" s="285">
        <f>SUM($B$83:AC83)</f>
        <v>-800535.0808255485</v>
      </c>
      <c r="AD84" s="285">
        <f>SUM($B$83:AD83)</f>
        <v>-805289.87882181257</v>
      </c>
      <c r="AE84" s="285">
        <f>SUM($B$83:AE83)</f>
        <v>-807667.27781994455</v>
      </c>
    </row>
    <row r="85" spans="1:31" x14ac:dyDescent="0.2">
      <c r="A85" s="293" t="s">
        <v>466</v>
      </c>
      <c r="B85" s="294">
        <f t="shared" ref="B85:AE85" si="14">1/POWER((1+$B$43),B73)</f>
        <v>0.95402649883562884</v>
      </c>
      <c r="C85" s="294">
        <f t="shared" si="14"/>
        <v>0.86832301705254278</v>
      </c>
      <c r="D85" s="294">
        <f t="shared" si="14"/>
        <v>0.79031857381682236</v>
      </c>
      <c r="E85" s="294">
        <f t="shared" si="14"/>
        <v>0.71932153801476506</v>
      </c>
      <c r="F85" s="294">
        <f t="shared" si="14"/>
        <v>0.65470241013449082</v>
      </c>
      <c r="G85" s="294">
        <f t="shared" si="14"/>
        <v>0.59588824077044755</v>
      </c>
      <c r="H85" s="294">
        <f t="shared" si="14"/>
        <v>0.54235755053285484</v>
      </c>
      <c r="I85" s="294">
        <f t="shared" si="14"/>
        <v>0.49363570631915432</v>
      </c>
      <c r="J85" s="294">
        <f t="shared" si="14"/>
        <v>0.44929071295090039</v>
      </c>
      <c r="K85" s="294">
        <f t="shared" si="14"/>
        <v>0.40892938286238317</v>
      </c>
      <c r="L85" s="294">
        <f t="shared" si="14"/>
        <v>0.37219384987929666</v>
      </c>
      <c r="M85" s="294">
        <f t="shared" si="14"/>
        <v>0.3387583961766602</v>
      </c>
      <c r="N85" s="294">
        <f t="shared" si="14"/>
        <v>0.30832656428202437</v>
      </c>
      <c r="O85" s="294">
        <f t="shared" si="14"/>
        <v>0.28062852851736092</v>
      </c>
      <c r="P85" s="294">
        <f t="shared" si="14"/>
        <v>0.25541870257336935</v>
      </c>
      <c r="Q85" s="294">
        <f t="shared" si="14"/>
        <v>0.23247356200361272</v>
      </c>
      <c r="R85" s="294">
        <f t="shared" si="14"/>
        <v>0.21158966233149432</v>
      </c>
      <c r="S85" s="294">
        <f t="shared" si="14"/>
        <v>0.19258183519750091</v>
      </c>
      <c r="T85" s="294">
        <f t="shared" si="14"/>
        <v>0.17528154655274497</v>
      </c>
      <c r="U85" s="294">
        <f t="shared" si="14"/>
        <v>0.15953540234162647</v>
      </c>
      <c r="V85" s="294">
        <f t="shared" si="14"/>
        <v>0.14520378842416171</v>
      </c>
      <c r="W85" s="294">
        <f t="shared" si="14"/>
        <v>0.13215963267876735</v>
      </c>
      <c r="X85" s="294">
        <f t="shared" si="14"/>
        <v>0.12028727830960895</v>
      </c>
      <c r="Y85" s="294">
        <f t="shared" si="14"/>
        <v>0.10948145836862559</v>
      </c>
      <c r="Z85" s="294">
        <f t="shared" si="14"/>
        <v>9.9646362399768443E-2</v>
      </c>
      <c r="AA85" s="294">
        <f t="shared" si="14"/>
        <v>9.0694786929797461E-2</v>
      </c>
      <c r="AB85" s="294">
        <f t="shared" si="14"/>
        <v>8.2547362273411681E-2</v>
      </c>
      <c r="AC85" s="294">
        <f t="shared" si="14"/>
        <v>7.5131848797134526E-2</v>
      </c>
      <c r="AD85" s="294">
        <f t="shared" si="14"/>
        <v>6.8382496402234039E-2</v>
      </c>
      <c r="AE85" s="294">
        <f t="shared" si="14"/>
        <v>6.2239461547496142E-2</v>
      </c>
    </row>
    <row r="86" spans="1:31" x14ac:dyDescent="0.2">
      <c r="A86" s="291" t="s">
        <v>601</v>
      </c>
      <c r="B86" s="285">
        <f t="shared" ref="B86:AE86" si="15">B83*B85</f>
        <v>0</v>
      </c>
      <c r="C86" s="285">
        <f t="shared" si="15"/>
        <v>-59866.15785307515</v>
      </c>
      <c r="D86" s="285">
        <f t="shared" si="15"/>
        <v>-52609.272396722896</v>
      </c>
      <c r="E86" s="285">
        <f t="shared" si="15"/>
        <v>-46173.086202899467</v>
      </c>
      <c r="F86" s="285">
        <f t="shared" si="15"/>
        <v>-40468.710202137408</v>
      </c>
      <c r="G86" s="285">
        <f t="shared" si="15"/>
        <v>-35416.602665157967</v>
      </c>
      <c r="H86" s="285">
        <f t="shared" si="15"/>
        <v>-33055.534893550379</v>
      </c>
      <c r="I86" s="285">
        <f t="shared" si="15"/>
        <v>-26992.087773843123</v>
      </c>
      <c r="J86" s="285">
        <f t="shared" si="15"/>
        <v>20488.930397012136</v>
      </c>
      <c r="K86" s="285">
        <f t="shared" si="15"/>
        <v>-20415.954407599344</v>
      </c>
      <c r="L86" s="285">
        <f t="shared" si="15"/>
        <v>-17697.065716278845</v>
      </c>
      <c r="M86" s="285">
        <f t="shared" si="15"/>
        <v>-33019.918738847387</v>
      </c>
      <c r="N86" s="285">
        <f t="shared" si="15"/>
        <v>-14193.841040872312</v>
      </c>
      <c r="O86" s="285">
        <f t="shared" si="15"/>
        <v>-11341.82170325546</v>
      </c>
      <c r="P86" s="285">
        <f t="shared" si="15"/>
        <v>-9715.7146816337663</v>
      </c>
      <c r="Q86" s="285">
        <f t="shared" si="15"/>
        <v>-8290.2362009935914</v>
      </c>
      <c r="R86" s="285">
        <f t="shared" si="15"/>
        <v>13536.162106148058</v>
      </c>
      <c r="S86" s="285">
        <f t="shared" si="15"/>
        <v>-5951.9702067405551</v>
      </c>
      <c r="T86" s="285">
        <f t="shared" si="15"/>
        <v>-5568.8166777575161</v>
      </c>
      <c r="U86" s="285">
        <f t="shared" si="15"/>
        <v>-4172.0723626293011</v>
      </c>
      <c r="V86" s="285">
        <f t="shared" si="15"/>
        <v>-3452.0734112457699</v>
      </c>
      <c r="W86" s="285">
        <f t="shared" si="15"/>
        <v>-2827.7656049159841</v>
      </c>
      <c r="X86" s="285">
        <f t="shared" si="15"/>
        <v>-2287.7668395303403</v>
      </c>
      <c r="Y86" s="285">
        <f t="shared" si="15"/>
        <v>-1821.9677660772263</v>
      </c>
      <c r="Z86" s="285">
        <f t="shared" si="15"/>
        <v>7946.8900753132884</v>
      </c>
      <c r="AA86" s="285">
        <f t="shared" si="15"/>
        <v>-1078.088477913491</v>
      </c>
      <c r="AB86" s="285">
        <f t="shared" si="15"/>
        <v>-784.99206546900143</v>
      </c>
      <c r="AC86" s="285">
        <f t="shared" si="15"/>
        <v>-535.8551461743441</v>
      </c>
      <c r="AD86" s="285">
        <f t="shared" si="15"/>
        <v>-325.14495687287621</v>
      </c>
      <c r="AE86" s="285">
        <f t="shared" si="15"/>
        <v>-147.96803352729455</v>
      </c>
    </row>
    <row r="87" spans="1:31" x14ac:dyDescent="0.2">
      <c r="A87" s="291" t="s">
        <v>602</v>
      </c>
      <c r="B87" s="285">
        <f>SUM($B$86:B86)</f>
        <v>0</v>
      </c>
      <c r="C87" s="285">
        <f>SUM($B$86:C86)</f>
        <v>-59866.15785307515</v>
      </c>
      <c r="D87" s="285">
        <f>SUM($B$86:D86)</f>
        <v>-112475.43024979805</v>
      </c>
      <c r="E87" s="285">
        <f>SUM($B$86:E86)</f>
        <v>-158648.51645269751</v>
      </c>
      <c r="F87" s="285">
        <f>SUM($B$86:F86)</f>
        <v>-199117.22665483493</v>
      </c>
      <c r="G87" s="285">
        <f>SUM($B$86:G86)</f>
        <v>-234533.82931999289</v>
      </c>
      <c r="H87" s="285">
        <f>SUM($B$86:H86)</f>
        <v>-267589.36421354325</v>
      </c>
      <c r="I87" s="285">
        <f>SUM($B$86:I86)</f>
        <v>-294581.45198738639</v>
      </c>
      <c r="J87" s="285">
        <f>SUM($B$86:J86)</f>
        <v>-274092.52159037424</v>
      </c>
      <c r="K87" s="285">
        <f>SUM($B$86:K86)</f>
        <v>-294508.47599797358</v>
      </c>
      <c r="L87" s="285">
        <f>SUM($B$86:L86)</f>
        <v>-312205.54171425244</v>
      </c>
      <c r="M87" s="285">
        <f>SUM($B$86:M86)</f>
        <v>-345225.4604530998</v>
      </c>
      <c r="N87" s="285">
        <f>SUM($B$86:N86)</f>
        <v>-359419.30149397213</v>
      </c>
      <c r="O87" s="285">
        <f>SUM($B$86:O86)</f>
        <v>-370761.1231972276</v>
      </c>
      <c r="P87" s="285">
        <f>SUM($B$86:P86)</f>
        <v>-380476.83787886135</v>
      </c>
      <c r="Q87" s="285">
        <f>SUM($B$86:Q86)</f>
        <v>-388767.07407985494</v>
      </c>
      <c r="R87" s="285">
        <f>SUM($B$86:R86)</f>
        <v>-375230.91197370685</v>
      </c>
      <c r="S87" s="285">
        <f>SUM($B$86:S86)</f>
        <v>-381182.8821804474</v>
      </c>
      <c r="T87" s="285">
        <f>SUM($B$86:T86)</f>
        <v>-386751.69885820494</v>
      </c>
      <c r="U87" s="285">
        <f>SUM($B$86:U86)</f>
        <v>-390923.77122083423</v>
      </c>
      <c r="V87" s="285">
        <f>SUM($B$86:V86)</f>
        <v>-394375.84463208</v>
      </c>
      <c r="W87" s="285">
        <f>SUM($B$86:W86)</f>
        <v>-397203.61023699597</v>
      </c>
      <c r="X87" s="285">
        <f>SUM($B$86:X86)</f>
        <v>-399491.37707652629</v>
      </c>
      <c r="Y87" s="285">
        <f>SUM($B$86:Y86)</f>
        <v>-401313.34484260349</v>
      </c>
      <c r="Z87" s="285">
        <f>SUM($B$86:Z86)</f>
        <v>-393366.45476729021</v>
      </c>
      <c r="AA87" s="285">
        <f>SUM($B$86:AA86)</f>
        <v>-394444.54324520368</v>
      </c>
      <c r="AB87" s="285">
        <f>SUM($B$86:AB86)</f>
        <v>-395229.53531067265</v>
      </c>
      <c r="AC87" s="285">
        <f>SUM($B$86:AC86)</f>
        <v>-395765.39045684697</v>
      </c>
      <c r="AD87" s="285">
        <f>SUM($B$86:AD86)</f>
        <v>-396090.53541371983</v>
      </c>
      <c r="AE87" s="285">
        <f>SUM($B$86:AE86)</f>
        <v>-396238.50344724715</v>
      </c>
    </row>
    <row r="88" spans="1:31" x14ac:dyDescent="0.2">
      <c r="A88" s="291" t="s">
        <v>603</v>
      </c>
      <c r="B88" s="295">
        <f>IF((ISERR(IRR($B$83:B83))),0,IF(IRR($B$83:B83)&lt;0,0,IRR($B$83:B83)))</f>
        <v>0</v>
      </c>
      <c r="C88" s="295">
        <f>IF((ISERR(IRR($B$83:C83))),0,IF(IRR($B$83:C83)&lt;0,0,IRR($B$83:C83)))</f>
        <v>0</v>
      </c>
      <c r="D88" s="295">
        <f>IF((ISERR(IRR($B$83:D83))),0,IF(IRR($B$83:D83)&lt;0,0,IRR($B$83:D83)))</f>
        <v>0</v>
      </c>
      <c r="E88" s="295">
        <f>IF((ISERR(IRR($B$83:E83))),0,IF(IRR($B$83:E83)&lt;0,0,IRR($B$83:E83)))</f>
        <v>0</v>
      </c>
      <c r="F88" s="295">
        <f>IF((ISERR(IRR($B$83:F83))),0,IF(IRR($B$83:F83)&lt;0,0,IRR($B$83:F83)))</f>
        <v>0</v>
      </c>
      <c r="G88" s="295">
        <f>IF((ISERR(IRR($B$83:G83))),0,IF(IRR($B$83:G83)&lt;0,0,IRR($B$83:G83)))</f>
        <v>0</v>
      </c>
      <c r="H88" s="295">
        <f>IF((ISERR(IRR($B$83:H83))),0,IF(IRR($B$83:H83)&lt;0,0,IRR($B$83:H83)))</f>
        <v>0</v>
      </c>
      <c r="I88" s="295">
        <f>IF((ISERR(IRR($B$83:I83))),0,IF(IRR($B$83:I83)&lt;0,0,IRR($B$83:I83)))</f>
        <v>0</v>
      </c>
      <c r="J88" s="295">
        <f>IF((ISERR(IRR($B$83:J83))),0,IF(IRR($B$83:J83)&lt;0,0,IRR($B$83:J83)))</f>
        <v>0</v>
      </c>
      <c r="K88" s="295">
        <f>IF((ISERR(IRR($B$83:K83))),0,IF(IRR($B$83:K83)&lt;0,0,IRR($B$83:K83)))</f>
        <v>0</v>
      </c>
      <c r="L88" s="295">
        <f>IF((ISERR(IRR($B$83:L83))),0,IF(IRR($B$83:L83)&lt;0,0,IRR($B$83:L83)))</f>
        <v>0</v>
      </c>
      <c r="M88" s="295">
        <f>IF((ISERR(IRR($B$83:M83))),0,IF(IRR($B$83:M83)&lt;0,0,IRR($B$83:M83)))</f>
        <v>0</v>
      </c>
      <c r="N88" s="295">
        <f>IF((ISERR(IRR($B$83:N83))),0,IF(IRR($B$83:N83)&lt;0,0,IRR($B$83:N83)))</f>
        <v>0</v>
      </c>
      <c r="O88" s="295">
        <f>IF((ISERR(IRR($B$83:O83))),0,IF(IRR($B$83:O83)&lt;0,0,IRR($B$83:O83)))</f>
        <v>0</v>
      </c>
      <c r="P88" s="295">
        <f>IF((ISERR(IRR($B$83:P83))),0,IF(IRR($B$83:P83)&lt;0,0,IRR($B$83:P83)))</f>
        <v>0</v>
      </c>
      <c r="Q88" s="295">
        <f>IF((ISERR(IRR($B$83:Q83))),0,IF(IRR($B$83:Q83)&lt;0,0,IRR($B$83:Q83)))</f>
        <v>0</v>
      </c>
      <c r="R88" s="295">
        <f>IF((ISERR(IRR($B$83:R83))),0,IF(IRR($B$83:R83)&lt;0,0,IRR($B$83:R83)))</f>
        <v>0</v>
      </c>
      <c r="S88" s="295">
        <f>IF((ISERR(IRR($B$83:S83))),0,IF(IRR($B$83:S83)&lt;0,0,IRR($B$83:S83)))</f>
        <v>0</v>
      </c>
      <c r="T88" s="295">
        <f>IF((ISERR(IRR($B$83:T83))),0,IF(IRR($B$83:T83)&lt;0,0,IRR($B$83:T83)))</f>
        <v>0</v>
      </c>
      <c r="U88" s="295">
        <f>IF((ISERR(IRR($B$83:U83))),0,IF(IRR($B$83:U83)&lt;0,0,IRR($B$83:U83)))</f>
        <v>0</v>
      </c>
      <c r="V88" s="295">
        <f>IF((ISERR(IRR($B$83:V83))),0,IF(IRR($B$83:V83)&lt;0,0,IRR($B$83:V83)))</f>
        <v>0</v>
      </c>
      <c r="W88" s="295">
        <f>IF((ISERR(IRR($B$83:W83))),0,IF(IRR($B$83:W83)&lt;0,0,IRR($B$83:W83)))</f>
        <v>0</v>
      </c>
      <c r="X88" s="295">
        <f>IF((ISERR(IRR($B$83:X83))),0,IF(IRR($B$83:X83)&lt;0,0,IRR($B$83:X83)))</f>
        <v>0</v>
      </c>
      <c r="Y88" s="295">
        <f>IF((ISERR(IRR($B$83:Y83))),0,IF(IRR($B$83:Y83)&lt;0,0,IRR($B$83:Y83)))</f>
        <v>0</v>
      </c>
      <c r="Z88" s="295">
        <f>IF((ISERR(IRR($B$83:Z83))),0,IF(IRR($B$83:Z83)&lt;0,0,IRR($B$83:Z83)))</f>
        <v>0</v>
      </c>
      <c r="AA88" s="295">
        <f>IF((ISERR(IRR($B$83:AA83))),0,IF(IRR($B$83:AA83)&lt;0,0,IRR($B$83:AA83)))</f>
        <v>0</v>
      </c>
      <c r="AB88" s="295">
        <f>IF((ISERR(IRR($B$83:AB83))),0,IF(IRR($B$83:AB83)&lt;0,0,IRR($B$83:AB83)))</f>
        <v>0</v>
      </c>
      <c r="AC88" s="295">
        <f>IF((ISERR(IRR($B$83:AC83))),0,IF(IRR($B$83:AC83)&lt;0,0,IRR($B$83:AC83)))</f>
        <v>0</v>
      </c>
      <c r="AD88" s="295">
        <f>IF((ISERR(IRR($B$83:AD83))),0,IF(IRR($B$83:AD83)&lt;0,0,IRR($B$83:AD83)))</f>
        <v>0</v>
      </c>
      <c r="AE88" s="295">
        <f>IF((ISERR(IRR($B$83:AE83))),0,IF(IRR($B$83:AE83)&lt;0,0,IRR($B$83:AE83)))</f>
        <v>0</v>
      </c>
    </row>
    <row r="89" spans="1:31" x14ac:dyDescent="0.2">
      <c r="A89" s="291" t="s">
        <v>604</v>
      </c>
      <c r="B89" s="296">
        <f t="shared" ref="B89:AE89" si="16">IF(AND(B84&gt;0,A84&lt;0),(B74-(B84/(B84-A84))),0)</f>
        <v>0</v>
      </c>
      <c r="C89" s="296">
        <f t="shared" si="16"/>
        <v>0</v>
      </c>
      <c r="D89" s="296">
        <f t="shared" si="16"/>
        <v>0</v>
      </c>
      <c r="E89" s="296">
        <f t="shared" si="16"/>
        <v>0</v>
      </c>
      <c r="F89" s="296">
        <f t="shared" si="16"/>
        <v>0</v>
      </c>
      <c r="G89" s="296">
        <f t="shared" si="16"/>
        <v>0</v>
      </c>
      <c r="H89" s="296">
        <f t="shared" si="16"/>
        <v>0</v>
      </c>
      <c r="I89" s="296">
        <f t="shared" si="16"/>
        <v>0</v>
      </c>
      <c r="J89" s="296">
        <f t="shared" si="16"/>
        <v>0</v>
      </c>
      <c r="K89" s="296">
        <f t="shared" si="16"/>
        <v>0</v>
      </c>
      <c r="L89" s="296">
        <f t="shared" si="16"/>
        <v>0</v>
      </c>
      <c r="M89" s="296">
        <f t="shared" si="16"/>
        <v>0</v>
      </c>
      <c r="N89" s="296">
        <f t="shared" si="16"/>
        <v>0</v>
      </c>
      <c r="O89" s="296">
        <f t="shared" si="16"/>
        <v>0</v>
      </c>
      <c r="P89" s="296">
        <f t="shared" si="16"/>
        <v>0</v>
      </c>
      <c r="Q89" s="296">
        <f t="shared" si="16"/>
        <v>0</v>
      </c>
      <c r="R89" s="296">
        <f t="shared" si="16"/>
        <v>0</v>
      </c>
      <c r="S89" s="296">
        <f t="shared" si="16"/>
        <v>0</v>
      </c>
      <c r="T89" s="296">
        <f t="shared" si="16"/>
        <v>0</v>
      </c>
      <c r="U89" s="296">
        <f t="shared" si="16"/>
        <v>0</v>
      </c>
      <c r="V89" s="296">
        <f t="shared" si="16"/>
        <v>0</v>
      </c>
      <c r="W89" s="296">
        <f t="shared" si="16"/>
        <v>0</v>
      </c>
      <c r="X89" s="296">
        <f t="shared" si="16"/>
        <v>0</v>
      </c>
      <c r="Y89" s="296">
        <f t="shared" si="16"/>
        <v>0</v>
      </c>
      <c r="Z89" s="296">
        <f t="shared" si="16"/>
        <v>0</v>
      </c>
      <c r="AA89" s="296">
        <f t="shared" si="16"/>
        <v>0</v>
      </c>
      <c r="AB89" s="296">
        <f t="shared" si="16"/>
        <v>0</v>
      </c>
      <c r="AC89" s="296">
        <f t="shared" si="16"/>
        <v>0</v>
      </c>
      <c r="AD89" s="296">
        <f t="shared" si="16"/>
        <v>0</v>
      </c>
      <c r="AE89" s="296">
        <f t="shared" si="16"/>
        <v>0</v>
      </c>
    </row>
    <row r="90" spans="1:31" ht="13.5" thickBot="1" x14ac:dyDescent="0.25">
      <c r="A90" s="297" t="s">
        <v>605</v>
      </c>
      <c r="B90" s="298">
        <f t="shared" ref="B90:AE90" si="17">IF(AND(B87&gt;0,A87&lt;0),(B74-(B87/(B87-A87))),0)</f>
        <v>0</v>
      </c>
      <c r="C90" s="298">
        <f t="shared" si="17"/>
        <v>0</v>
      </c>
      <c r="D90" s="298">
        <f t="shared" si="17"/>
        <v>0</v>
      </c>
      <c r="E90" s="298">
        <f t="shared" si="17"/>
        <v>0</v>
      </c>
      <c r="F90" s="298">
        <f t="shared" si="17"/>
        <v>0</v>
      </c>
      <c r="G90" s="298">
        <f t="shared" si="17"/>
        <v>0</v>
      </c>
      <c r="H90" s="298">
        <f t="shared" si="17"/>
        <v>0</v>
      </c>
      <c r="I90" s="298">
        <f t="shared" si="17"/>
        <v>0</v>
      </c>
      <c r="J90" s="298">
        <f t="shared" si="17"/>
        <v>0</v>
      </c>
      <c r="K90" s="298">
        <f t="shared" si="17"/>
        <v>0</v>
      </c>
      <c r="L90" s="298">
        <f t="shared" si="17"/>
        <v>0</v>
      </c>
      <c r="M90" s="298">
        <f t="shared" si="17"/>
        <v>0</v>
      </c>
      <c r="N90" s="298">
        <f t="shared" si="17"/>
        <v>0</v>
      </c>
      <c r="O90" s="298">
        <f t="shared" si="17"/>
        <v>0</v>
      </c>
      <c r="P90" s="298">
        <f t="shared" si="17"/>
        <v>0</v>
      </c>
      <c r="Q90" s="298">
        <f t="shared" si="17"/>
        <v>0</v>
      </c>
      <c r="R90" s="298">
        <f t="shared" si="17"/>
        <v>0</v>
      </c>
      <c r="S90" s="298">
        <f t="shared" si="17"/>
        <v>0</v>
      </c>
      <c r="T90" s="298">
        <f t="shared" si="17"/>
        <v>0</v>
      </c>
      <c r="U90" s="298">
        <f t="shared" si="17"/>
        <v>0</v>
      </c>
      <c r="V90" s="298">
        <f t="shared" si="17"/>
        <v>0</v>
      </c>
      <c r="W90" s="298">
        <f t="shared" si="17"/>
        <v>0</v>
      </c>
      <c r="X90" s="298">
        <f t="shared" si="17"/>
        <v>0</v>
      </c>
      <c r="Y90" s="298">
        <f t="shared" si="17"/>
        <v>0</v>
      </c>
      <c r="Z90" s="298">
        <f t="shared" si="17"/>
        <v>0</v>
      </c>
      <c r="AA90" s="298">
        <f t="shared" si="17"/>
        <v>0</v>
      </c>
      <c r="AB90" s="298">
        <f t="shared" si="17"/>
        <v>0</v>
      </c>
      <c r="AC90" s="298">
        <f t="shared" si="17"/>
        <v>0</v>
      </c>
      <c r="AD90" s="298">
        <f t="shared" si="17"/>
        <v>0</v>
      </c>
      <c r="AE90" s="298">
        <f t="shared" si="17"/>
        <v>0</v>
      </c>
    </row>
    <row r="91" spans="1:31" x14ac:dyDescent="0.2">
      <c r="A91" s="299"/>
      <c r="B91" s="299">
        <v>2022</v>
      </c>
      <c r="C91" s="299">
        <f t="shared" ref="C91:R92" si="18">B91+1</f>
        <v>2023</v>
      </c>
      <c r="D91" s="299">
        <f t="shared" si="18"/>
        <v>2024</v>
      </c>
      <c r="E91" s="299">
        <f t="shared" si="18"/>
        <v>2025</v>
      </c>
      <c r="F91" s="299">
        <f t="shared" si="18"/>
        <v>2026</v>
      </c>
      <c r="G91" s="299">
        <f t="shared" si="18"/>
        <v>2027</v>
      </c>
      <c r="H91" s="299">
        <f t="shared" si="18"/>
        <v>2028</v>
      </c>
      <c r="I91" s="299">
        <f t="shared" si="18"/>
        <v>2029</v>
      </c>
      <c r="J91" s="299">
        <f t="shared" si="18"/>
        <v>2030</v>
      </c>
      <c r="K91" s="299">
        <f t="shared" si="18"/>
        <v>2031</v>
      </c>
      <c r="L91" s="299">
        <f t="shared" si="18"/>
        <v>2032</v>
      </c>
      <c r="M91" s="299">
        <f t="shared" si="18"/>
        <v>2033</v>
      </c>
      <c r="N91" s="299">
        <f t="shared" si="18"/>
        <v>2034</v>
      </c>
      <c r="O91" s="299">
        <f t="shared" si="18"/>
        <v>2035</v>
      </c>
      <c r="P91" s="299">
        <f t="shared" si="18"/>
        <v>2036</v>
      </c>
      <c r="Q91" s="299">
        <f t="shared" si="18"/>
        <v>2037</v>
      </c>
      <c r="R91" s="299">
        <f t="shared" si="18"/>
        <v>2038</v>
      </c>
      <c r="S91" s="299">
        <f t="shared" ref="S91:AE92" si="19">R91+1</f>
        <v>2039</v>
      </c>
      <c r="T91" s="299">
        <f t="shared" si="19"/>
        <v>2040</v>
      </c>
      <c r="U91" s="299">
        <f t="shared" si="19"/>
        <v>2041</v>
      </c>
      <c r="V91" s="299">
        <f t="shared" si="19"/>
        <v>2042</v>
      </c>
      <c r="W91" s="299">
        <f t="shared" si="19"/>
        <v>2043</v>
      </c>
      <c r="X91" s="299">
        <f t="shared" si="19"/>
        <v>2044</v>
      </c>
      <c r="Y91" s="299">
        <f t="shared" si="19"/>
        <v>2045</v>
      </c>
      <c r="Z91" s="299">
        <f t="shared" si="19"/>
        <v>2046</v>
      </c>
      <c r="AA91" s="299">
        <f t="shared" si="19"/>
        <v>2047</v>
      </c>
      <c r="AB91" s="299">
        <f t="shared" si="19"/>
        <v>2048</v>
      </c>
      <c r="AC91" s="299">
        <f t="shared" si="19"/>
        <v>2049</v>
      </c>
      <c r="AD91" s="299">
        <f t="shared" si="19"/>
        <v>2050</v>
      </c>
      <c r="AE91" s="299">
        <f t="shared" si="19"/>
        <v>2051</v>
      </c>
    </row>
    <row r="92" spans="1:31" x14ac:dyDescent="0.2">
      <c r="B92" s="229">
        <v>1</v>
      </c>
      <c r="C92" s="229">
        <f>B92+1</f>
        <v>2</v>
      </c>
      <c r="D92" s="229">
        <f t="shared" si="18"/>
        <v>3</v>
      </c>
      <c r="E92" s="229">
        <f t="shared" si="18"/>
        <v>4</v>
      </c>
      <c r="F92" s="229">
        <f t="shared" si="18"/>
        <v>5</v>
      </c>
      <c r="G92" s="229">
        <f t="shared" si="18"/>
        <v>6</v>
      </c>
      <c r="H92" s="229">
        <f t="shared" si="18"/>
        <v>7</v>
      </c>
      <c r="I92" s="229">
        <f t="shared" si="18"/>
        <v>8</v>
      </c>
      <c r="J92" s="229">
        <f t="shared" si="18"/>
        <v>9</v>
      </c>
      <c r="K92" s="229">
        <f t="shared" si="18"/>
        <v>10</v>
      </c>
      <c r="L92" s="229">
        <f t="shared" si="18"/>
        <v>11</v>
      </c>
      <c r="M92" s="229">
        <f t="shared" si="18"/>
        <v>12</v>
      </c>
      <c r="N92" s="229">
        <f t="shared" si="18"/>
        <v>13</v>
      </c>
      <c r="O92" s="229">
        <f t="shared" si="18"/>
        <v>14</v>
      </c>
      <c r="P92" s="229">
        <f t="shared" si="18"/>
        <v>15</v>
      </c>
      <c r="Q92" s="229">
        <f t="shared" si="18"/>
        <v>16</v>
      </c>
      <c r="R92" s="229">
        <f t="shared" si="18"/>
        <v>17</v>
      </c>
      <c r="S92" s="229">
        <f t="shared" si="19"/>
        <v>18</v>
      </c>
      <c r="T92" s="229">
        <f t="shared" si="19"/>
        <v>19</v>
      </c>
      <c r="U92" s="229">
        <f t="shared" si="19"/>
        <v>20</v>
      </c>
      <c r="V92" s="229">
        <f t="shared" si="19"/>
        <v>21</v>
      </c>
      <c r="W92" s="229">
        <f t="shared" si="19"/>
        <v>22</v>
      </c>
      <c r="X92" s="229">
        <f t="shared" si="19"/>
        <v>23</v>
      </c>
      <c r="Y92" s="229">
        <f t="shared" si="19"/>
        <v>24</v>
      </c>
      <c r="Z92" s="229">
        <f t="shared" si="19"/>
        <v>25</v>
      </c>
      <c r="AA92" s="229">
        <f t="shared" si="19"/>
        <v>26</v>
      </c>
      <c r="AB92" s="229">
        <f t="shared" si="19"/>
        <v>27</v>
      </c>
      <c r="AC92" s="229">
        <f t="shared" si="19"/>
        <v>28</v>
      </c>
      <c r="AD92" s="229">
        <f t="shared" si="19"/>
        <v>29</v>
      </c>
      <c r="AE92" s="229">
        <f t="shared" si="19"/>
        <v>30</v>
      </c>
    </row>
    <row r="93" spans="1:31" x14ac:dyDescent="0.2">
      <c r="A93" s="362" t="s">
        <v>606</v>
      </c>
      <c r="B93" s="362"/>
      <c r="C93" s="362"/>
      <c r="D93" s="362"/>
      <c r="E93" s="362"/>
      <c r="F93" s="362"/>
      <c r="G93" s="362"/>
      <c r="H93" s="362"/>
      <c r="I93" s="362"/>
      <c r="J93" s="362"/>
      <c r="K93" s="362"/>
      <c r="L93" s="362"/>
      <c r="M93" s="362"/>
      <c r="N93" s="362"/>
      <c r="O93" s="362"/>
      <c r="P93" s="362"/>
      <c r="Q93" s="362"/>
      <c r="R93" s="362"/>
      <c r="S93" s="362"/>
      <c r="T93" s="362"/>
      <c r="U93" s="362"/>
      <c r="V93" s="362"/>
      <c r="W93" s="362"/>
      <c r="X93" s="362"/>
      <c r="Y93" s="362"/>
      <c r="Z93" s="362"/>
      <c r="AA93" s="362"/>
      <c r="AB93" s="362"/>
      <c r="AC93" s="362"/>
    </row>
    <row r="94" spans="1:31" x14ac:dyDescent="0.2">
      <c r="A94" s="362" t="s">
        <v>607</v>
      </c>
      <c r="B94" s="362"/>
      <c r="C94" s="362"/>
      <c r="D94" s="362"/>
      <c r="E94" s="362"/>
      <c r="F94" s="362"/>
      <c r="G94" s="362"/>
      <c r="H94" s="362"/>
      <c r="I94" s="362"/>
      <c r="N94" s="229"/>
    </row>
    <row r="95" spans="1:31" x14ac:dyDescent="0.2">
      <c r="C95" s="300"/>
      <c r="N95" s="229"/>
    </row>
    <row r="96" spans="1:31" x14ac:dyDescent="0.2">
      <c r="N96" s="229"/>
    </row>
    <row r="97" spans="14:14" s="219" customFormat="1" x14ac:dyDescent="0.2">
      <c r="N97" s="229"/>
    </row>
    <row r="98" spans="14:14" s="219" customFormat="1" x14ac:dyDescent="0.2">
      <c r="N98" s="229"/>
    </row>
    <row r="99" spans="14:14" s="219" customFormat="1" x14ac:dyDescent="0.2">
      <c r="N99" s="229"/>
    </row>
    <row r="100" spans="14:14" s="219" customFormat="1" x14ac:dyDescent="0.2">
      <c r="N100" s="229"/>
    </row>
    <row r="101" spans="14:14" s="219" customFormat="1" x14ac:dyDescent="0.2">
      <c r="N101" s="229"/>
    </row>
    <row r="102" spans="14:14" s="219" customFormat="1" x14ac:dyDescent="0.2">
      <c r="N102" s="229"/>
    </row>
    <row r="103" spans="14:14" s="219" customFormat="1" x14ac:dyDescent="0.2">
      <c r="N103" s="229"/>
    </row>
    <row r="104" spans="14:14" s="219" customFormat="1" x14ac:dyDescent="0.2">
      <c r="N104" s="229"/>
    </row>
    <row r="105" spans="14:14" s="219" customFormat="1" x14ac:dyDescent="0.2">
      <c r="N105" s="229"/>
    </row>
    <row r="106" spans="14:14" s="219" customFormat="1" x14ac:dyDescent="0.2">
      <c r="N106" s="229"/>
    </row>
    <row r="107" spans="14:14" s="219" customFormat="1" x14ac:dyDescent="0.2">
      <c r="N107" s="229"/>
    </row>
    <row r="108" spans="14:14" s="219" customFormat="1" x14ac:dyDescent="0.2">
      <c r="N108" s="229"/>
    </row>
    <row r="109" spans="14:14" s="219" customFormat="1" x14ac:dyDescent="0.2">
      <c r="N109" s="229"/>
    </row>
    <row r="110" spans="14:14" s="219" customFormat="1" x14ac:dyDescent="0.2">
      <c r="N110" s="229"/>
    </row>
    <row r="111" spans="14:14" s="219" customFormat="1" x14ac:dyDescent="0.2">
      <c r="N111" s="229"/>
    </row>
    <row r="112" spans="14:14" s="219" customFormat="1" x14ac:dyDescent="0.2">
      <c r="N112" s="229"/>
    </row>
    <row r="113" spans="14:14" s="219" customFormat="1" x14ac:dyDescent="0.2">
      <c r="N113" s="229"/>
    </row>
    <row r="114" spans="14:14" s="219" customFormat="1" x14ac:dyDescent="0.2">
      <c r="N114" s="229"/>
    </row>
    <row r="115" spans="14:14" s="219" customFormat="1" x14ac:dyDescent="0.2">
      <c r="N115" s="229"/>
    </row>
    <row r="116" spans="14:14" s="219" customFormat="1" x14ac:dyDescent="0.2">
      <c r="N116" s="229"/>
    </row>
    <row r="117" spans="14:14" s="219" customFormat="1" x14ac:dyDescent="0.2">
      <c r="N117" s="229"/>
    </row>
    <row r="118" spans="14:14" s="219" customFormat="1" x14ac:dyDescent="0.2">
      <c r="N118" s="229"/>
    </row>
    <row r="119" spans="14:14" s="219" customFormat="1" x14ac:dyDescent="0.2">
      <c r="N119" s="229"/>
    </row>
    <row r="120" spans="14:14" s="219" customFormat="1" x14ac:dyDescent="0.2">
      <c r="N120" s="229"/>
    </row>
    <row r="121" spans="14:14" s="219" customFormat="1" x14ac:dyDescent="0.2">
      <c r="N121" s="229"/>
    </row>
    <row r="122" spans="14:14" s="219" customFormat="1" x14ac:dyDescent="0.2">
      <c r="N122" s="229"/>
    </row>
    <row r="123" spans="14:14" s="219" customFormat="1" x14ac:dyDescent="0.2">
      <c r="N123" s="229"/>
    </row>
    <row r="124" spans="14:14" s="219" customFormat="1" x14ac:dyDescent="0.2">
      <c r="N124" s="229"/>
    </row>
    <row r="125" spans="14:14" s="219" customFormat="1" x14ac:dyDescent="0.2">
      <c r="N125" s="229"/>
    </row>
    <row r="126" spans="14:14" s="219" customFormat="1" x14ac:dyDescent="0.2">
      <c r="N126" s="229"/>
    </row>
    <row r="127" spans="14:14" s="219" customFormat="1" x14ac:dyDescent="0.2">
      <c r="N127" s="229"/>
    </row>
    <row r="128" spans="14:14" s="219" customFormat="1" x14ac:dyDescent="0.2">
      <c r="N128" s="229"/>
    </row>
    <row r="129" spans="14:14" s="219" customFormat="1" x14ac:dyDescent="0.2">
      <c r="N129" s="229"/>
    </row>
    <row r="130" spans="14:14" s="219" customFormat="1" x14ac:dyDescent="0.2">
      <c r="N130" s="229"/>
    </row>
    <row r="131" spans="14:14" s="219" customFormat="1" x14ac:dyDescent="0.2">
      <c r="N131" s="229"/>
    </row>
    <row r="132" spans="14:14" s="219" customFormat="1" x14ac:dyDescent="0.2">
      <c r="N132" s="229"/>
    </row>
    <row r="133" spans="14:14" s="219" customFormat="1" x14ac:dyDescent="0.2">
      <c r="N133" s="229"/>
    </row>
    <row r="134" spans="14:14" s="219" customFormat="1" x14ac:dyDescent="0.2">
      <c r="N134" s="229"/>
    </row>
    <row r="135" spans="14:14" s="219" customFormat="1" x14ac:dyDescent="0.2">
      <c r="N135" s="229"/>
    </row>
    <row r="136" spans="14:14" s="219" customFormat="1" x14ac:dyDescent="0.2">
      <c r="N136" s="229"/>
    </row>
    <row r="137" spans="14:14" s="219" customFormat="1" x14ac:dyDescent="0.2">
      <c r="N137" s="229"/>
    </row>
    <row r="138" spans="14:14" s="219" customFormat="1" x14ac:dyDescent="0.2">
      <c r="N138" s="229"/>
    </row>
    <row r="139" spans="14:14" s="219" customFormat="1" x14ac:dyDescent="0.2">
      <c r="N139" s="229"/>
    </row>
    <row r="140" spans="14:14" s="219" customFormat="1" x14ac:dyDescent="0.2">
      <c r="N140" s="229"/>
    </row>
    <row r="141" spans="14:14" s="219" customFormat="1" x14ac:dyDescent="0.2">
      <c r="N141" s="229"/>
    </row>
    <row r="142" spans="14:14" s="219" customFormat="1" x14ac:dyDescent="0.2">
      <c r="N142" s="229"/>
    </row>
    <row r="143" spans="14:14" s="219" customFormat="1" x14ac:dyDescent="0.2">
      <c r="N143" s="229"/>
    </row>
    <row r="144" spans="14:14" s="219" customFormat="1" x14ac:dyDescent="0.2">
      <c r="N144" s="229"/>
    </row>
    <row r="145" spans="14:14" s="219" customFormat="1" x14ac:dyDescent="0.2">
      <c r="N145" s="229"/>
    </row>
    <row r="146" spans="14:14" s="219" customFormat="1" x14ac:dyDescent="0.2">
      <c r="N146" s="229"/>
    </row>
    <row r="147" spans="14:14" s="219" customFormat="1" x14ac:dyDescent="0.2">
      <c r="N147" s="229"/>
    </row>
    <row r="148" spans="14:14" s="219" customFormat="1" x14ac:dyDescent="0.2">
      <c r="N148" s="229"/>
    </row>
    <row r="149" spans="14:14" s="219" customFormat="1" x14ac:dyDescent="0.2">
      <c r="N149" s="229"/>
    </row>
    <row r="150" spans="14:14" s="219" customFormat="1" x14ac:dyDescent="0.2">
      <c r="N150" s="229"/>
    </row>
    <row r="151" spans="14:14" s="219" customFormat="1" x14ac:dyDescent="0.2">
      <c r="N151" s="229"/>
    </row>
    <row r="152" spans="14:14" s="219" customFormat="1" x14ac:dyDescent="0.2">
      <c r="N152" s="229"/>
    </row>
    <row r="153" spans="14:14" s="219" customFormat="1" x14ac:dyDescent="0.2">
      <c r="N153" s="229"/>
    </row>
    <row r="154" spans="14:14" s="219" customFormat="1" x14ac:dyDescent="0.2">
      <c r="N154" s="229"/>
    </row>
    <row r="155" spans="14:14" s="219" customFormat="1" x14ac:dyDescent="0.2">
      <c r="N155" s="229"/>
    </row>
    <row r="156" spans="14:14" s="219" customFormat="1" x14ac:dyDescent="0.2">
      <c r="N156" s="229"/>
    </row>
    <row r="157" spans="14:14" s="219" customFormat="1" x14ac:dyDescent="0.2">
      <c r="N157" s="229"/>
    </row>
    <row r="158" spans="14:14" s="219" customFormat="1" x14ac:dyDescent="0.2">
      <c r="N158" s="229"/>
    </row>
    <row r="159" spans="14:14" s="219" customFormat="1" x14ac:dyDescent="0.2">
      <c r="N159" s="229"/>
    </row>
    <row r="160" spans="14:14" s="219" customFormat="1" x14ac:dyDescent="0.2">
      <c r="N160" s="229"/>
    </row>
    <row r="161" spans="14:14" s="219" customFormat="1" x14ac:dyDescent="0.2">
      <c r="N161" s="229"/>
    </row>
    <row r="162" spans="14:14" s="219" customFormat="1" x14ac:dyDescent="0.2">
      <c r="N162" s="229"/>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5" zoomScale="60" workbookViewId="0">
      <selection activeCell="H52" sqref="H52"/>
    </sheetView>
  </sheetViews>
  <sheetFormatPr defaultRowHeight="15.75" x14ac:dyDescent="0.25"/>
  <cols>
    <col min="1" max="1" width="9.140625" style="46"/>
    <col min="2" max="2" width="37.7109375" style="46" customWidth="1"/>
    <col min="3" max="4" width="16.7109375" style="46" customWidth="1"/>
    <col min="5" max="6" width="16.7109375" style="46" hidden="1" customWidth="1"/>
    <col min="7" max="8" width="16.710937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0" t="str">
        <f>'2. паспорт  ТП'!A4:S4</f>
        <v>Год раскрытия информации: 2023 год</v>
      </c>
      <c r="B5" s="310"/>
      <c r="C5" s="310"/>
      <c r="D5" s="310"/>
      <c r="E5" s="310"/>
      <c r="F5" s="310"/>
      <c r="G5" s="310"/>
      <c r="H5" s="310"/>
      <c r="I5" s="310"/>
      <c r="J5" s="310"/>
      <c r="K5" s="310"/>
      <c r="L5" s="310"/>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row>
    <row r="6" spans="1:44" ht="18.75" x14ac:dyDescent="0.3">
      <c r="K6" s="12"/>
    </row>
    <row r="7" spans="1:44" ht="18.75" x14ac:dyDescent="0.25">
      <c r="A7" s="314" t="s">
        <v>6</v>
      </c>
      <c r="B7" s="314"/>
      <c r="C7" s="314"/>
      <c r="D7" s="314"/>
      <c r="E7" s="314"/>
      <c r="F7" s="314"/>
      <c r="G7" s="314"/>
      <c r="H7" s="314"/>
      <c r="I7" s="314"/>
      <c r="J7" s="314"/>
      <c r="K7" s="314"/>
      <c r="L7" s="314"/>
    </row>
    <row r="8" spans="1:44" ht="18.75" x14ac:dyDescent="0.25">
      <c r="A8" s="314"/>
      <c r="B8" s="314"/>
      <c r="C8" s="314"/>
      <c r="D8" s="314"/>
      <c r="E8" s="314"/>
      <c r="F8" s="314"/>
      <c r="G8" s="314"/>
      <c r="H8" s="314"/>
      <c r="I8" s="314"/>
      <c r="J8" s="314"/>
      <c r="K8" s="314"/>
      <c r="L8" s="314"/>
    </row>
    <row r="9" spans="1:44" x14ac:dyDescent="0.25">
      <c r="A9" s="321" t="str">
        <f>'1. паспорт местоположение'!A9:C9</f>
        <v xml:space="preserve">Акционерное общество "Западная энергетическая компания" </v>
      </c>
      <c r="B9" s="321"/>
      <c r="C9" s="321"/>
      <c r="D9" s="321"/>
      <c r="E9" s="321"/>
      <c r="F9" s="321"/>
      <c r="G9" s="321"/>
      <c r="H9" s="321"/>
      <c r="I9" s="321"/>
      <c r="J9" s="321"/>
      <c r="K9" s="321"/>
      <c r="L9" s="321"/>
    </row>
    <row r="10" spans="1:44" x14ac:dyDescent="0.25">
      <c r="A10" s="311" t="s">
        <v>5</v>
      </c>
      <c r="B10" s="311"/>
      <c r="C10" s="311"/>
      <c r="D10" s="311"/>
      <c r="E10" s="311"/>
      <c r="F10" s="311"/>
      <c r="G10" s="311"/>
      <c r="H10" s="311"/>
      <c r="I10" s="311"/>
      <c r="J10" s="311"/>
      <c r="K10" s="311"/>
      <c r="L10" s="311"/>
    </row>
    <row r="11" spans="1:44" ht="18.75" x14ac:dyDescent="0.25">
      <c r="A11" s="314"/>
      <c r="B11" s="314"/>
      <c r="C11" s="314"/>
      <c r="D11" s="314"/>
      <c r="E11" s="314"/>
      <c r="F11" s="314"/>
      <c r="G11" s="314"/>
      <c r="H11" s="314"/>
      <c r="I11" s="314"/>
      <c r="J11" s="314"/>
      <c r="K11" s="314"/>
      <c r="L11" s="314"/>
    </row>
    <row r="12" spans="1:44" x14ac:dyDescent="0.25">
      <c r="A12" s="321" t="str">
        <f>'1. паспорт местоположение'!A12:C12</f>
        <v>J 19-15</v>
      </c>
      <c r="B12" s="321"/>
      <c r="C12" s="321"/>
      <c r="D12" s="321"/>
      <c r="E12" s="321"/>
      <c r="F12" s="321"/>
      <c r="G12" s="321"/>
      <c r="H12" s="321"/>
      <c r="I12" s="321"/>
      <c r="J12" s="321"/>
      <c r="K12" s="321"/>
      <c r="L12" s="321"/>
    </row>
    <row r="13" spans="1:44" x14ac:dyDescent="0.25">
      <c r="A13" s="311" t="s">
        <v>4</v>
      </c>
      <c r="B13" s="311"/>
      <c r="C13" s="311"/>
      <c r="D13" s="311"/>
      <c r="E13" s="311"/>
      <c r="F13" s="311"/>
      <c r="G13" s="311"/>
      <c r="H13" s="311"/>
      <c r="I13" s="311"/>
      <c r="J13" s="311"/>
      <c r="K13" s="311"/>
      <c r="L13" s="311"/>
    </row>
    <row r="14" spans="1:44" ht="18.75" x14ac:dyDescent="0.25">
      <c r="A14" s="325"/>
      <c r="B14" s="325"/>
      <c r="C14" s="325"/>
      <c r="D14" s="325"/>
      <c r="E14" s="325"/>
      <c r="F14" s="325"/>
      <c r="G14" s="325"/>
      <c r="H14" s="325"/>
      <c r="I14" s="325"/>
      <c r="J14" s="325"/>
      <c r="K14" s="325"/>
      <c r="L14" s="325"/>
    </row>
    <row r="15" spans="1:44" x14ac:dyDescent="0.25">
      <c r="A15" s="321" t="str">
        <f>'1. паспорт местоположение'!A15</f>
        <v>Строительство КЛ 15 кВ от  РП-1 до ТП-1 пер. Комсомольский, г. Пионерский</v>
      </c>
      <c r="B15" s="321"/>
      <c r="C15" s="321"/>
      <c r="D15" s="321"/>
      <c r="E15" s="321"/>
      <c r="F15" s="321"/>
      <c r="G15" s="321"/>
      <c r="H15" s="321"/>
      <c r="I15" s="321"/>
      <c r="J15" s="321"/>
      <c r="K15" s="321"/>
      <c r="L15" s="321"/>
    </row>
    <row r="16" spans="1:44" x14ac:dyDescent="0.25">
      <c r="A16" s="311" t="s">
        <v>3</v>
      </c>
      <c r="B16" s="311"/>
      <c r="C16" s="311"/>
      <c r="D16" s="311"/>
      <c r="E16" s="311"/>
      <c r="F16" s="311"/>
      <c r="G16" s="311"/>
      <c r="H16" s="311"/>
      <c r="I16" s="311"/>
      <c r="J16" s="311"/>
      <c r="K16" s="311"/>
      <c r="L16" s="311"/>
    </row>
    <row r="17" spans="1:12" ht="15.75" customHeight="1" x14ac:dyDescent="0.25">
      <c r="L17" s="75"/>
    </row>
    <row r="18" spans="1:12" x14ac:dyDescent="0.25">
      <c r="K18" s="32"/>
    </row>
    <row r="19" spans="1:12" ht="15.75" customHeight="1" x14ac:dyDescent="0.25">
      <c r="A19" s="373" t="s">
        <v>422</v>
      </c>
      <c r="B19" s="373"/>
      <c r="C19" s="373"/>
      <c r="D19" s="373"/>
      <c r="E19" s="373"/>
      <c r="F19" s="373"/>
      <c r="G19" s="373"/>
      <c r="H19" s="373"/>
      <c r="I19" s="373"/>
      <c r="J19" s="373"/>
      <c r="K19" s="373"/>
      <c r="L19" s="373"/>
    </row>
    <row r="20" spans="1:12" x14ac:dyDescent="0.25">
      <c r="A20" s="49"/>
      <c r="B20" s="49"/>
    </row>
    <row r="21" spans="1:12" ht="28.5" customHeight="1" x14ac:dyDescent="0.25">
      <c r="A21" s="366" t="s">
        <v>217</v>
      </c>
      <c r="B21" s="366" t="s">
        <v>216</v>
      </c>
      <c r="C21" s="371" t="s">
        <v>354</v>
      </c>
      <c r="D21" s="371"/>
      <c r="E21" s="371"/>
      <c r="F21" s="371"/>
      <c r="G21" s="371"/>
      <c r="H21" s="371"/>
      <c r="I21" s="366" t="s">
        <v>215</v>
      </c>
      <c r="J21" s="368" t="s">
        <v>356</v>
      </c>
      <c r="K21" s="366" t="s">
        <v>214</v>
      </c>
      <c r="L21" s="367" t="s">
        <v>355</v>
      </c>
    </row>
    <row r="22" spans="1:12" ht="58.5" customHeight="1" x14ac:dyDescent="0.25">
      <c r="A22" s="366"/>
      <c r="B22" s="366"/>
      <c r="C22" s="372" t="s">
        <v>563</v>
      </c>
      <c r="D22" s="372"/>
      <c r="E22" s="372" t="s">
        <v>8</v>
      </c>
      <c r="F22" s="372"/>
      <c r="G22" s="372" t="s">
        <v>564</v>
      </c>
      <c r="H22" s="372"/>
      <c r="I22" s="366"/>
      <c r="J22" s="369"/>
      <c r="K22" s="366"/>
      <c r="L22" s="367"/>
    </row>
    <row r="23" spans="1:12" ht="31.5" x14ac:dyDescent="0.25">
      <c r="A23" s="366"/>
      <c r="B23" s="366"/>
      <c r="C23" s="67" t="s">
        <v>213</v>
      </c>
      <c r="D23" s="67" t="s">
        <v>212</v>
      </c>
      <c r="E23" s="67" t="s">
        <v>213</v>
      </c>
      <c r="F23" s="67" t="s">
        <v>212</v>
      </c>
      <c r="G23" s="67" t="s">
        <v>213</v>
      </c>
      <c r="H23" s="67" t="s">
        <v>212</v>
      </c>
      <c r="I23" s="366"/>
      <c r="J23" s="370"/>
      <c r="K23" s="366"/>
      <c r="L23" s="367"/>
    </row>
    <row r="24" spans="1:12" x14ac:dyDescent="0.25">
      <c r="A24" s="53">
        <v>1</v>
      </c>
      <c r="B24" s="53">
        <v>2</v>
      </c>
      <c r="C24" s="67">
        <v>3</v>
      </c>
      <c r="D24" s="67">
        <v>4</v>
      </c>
      <c r="E24" s="67">
        <v>5</v>
      </c>
      <c r="F24" s="67">
        <v>6</v>
      </c>
      <c r="G24" s="67">
        <v>7</v>
      </c>
      <c r="H24" s="67">
        <v>8</v>
      </c>
      <c r="I24" s="67">
        <v>9</v>
      </c>
      <c r="J24" s="67">
        <v>10</v>
      </c>
      <c r="K24" s="67">
        <v>11</v>
      </c>
      <c r="L24" s="67">
        <v>12</v>
      </c>
    </row>
    <row r="25" spans="1:12" x14ac:dyDescent="0.25">
      <c r="A25" s="67">
        <v>1</v>
      </c>
      <c r="B25" s="68" t="s">
        <v>211</v>
      </c>
      <c r="C25" s="160"/>
      <c r="D25" s="160"/>
      <c r="E25" s="73"/>
      <c r="F25" s="73"/>
      <c r="G25" s="160"/>
      <c r="H25" s="160"/>
      <c r="I25" s="73"/>
      <c r="J25" s="73"/>
      <c r="K25" s="65"/>
      <c r="L25" s="77"/>
    </row>
    <row r="26" spans="1:12" ht="21.75" customHeight="1" x14ac:dyDescent="0.25">
      <c r="A26" s="67" t="s">
        <v>210</v>
      </c>
      <c r="B26" s="74" t="s">
        <v>361</v>
      </c>
      <c r="C26" s="161" t="s">
        <v>457</v>
      </c>
      <c r="D26" s="161" t="s">
        <v>457</v>
      </c>
      <c r="E26" s="73"/>
      <c r="F26" s="73"/>
      <c r="G26" s="161" t="s">
        <v>457</v>
      </c>
      <c r="H26" s="161" t="s">
        <v>457</v>
      </c>
      <c r="I26" s="161"/>
      <c r="J26" s="73"/>
      <c r="K26" s="65"/>
      <c r="L26" s="65"/>
    </row>
    <row r="27" spans="1:12" ht="39" customHeight="1" x14ac:dyDescent="0.25">
      <c r="A27" s="67" t="s">
        <v>209</v>
      </c>
      <c r="B27" s="74" t="s">
        <v>363</v>
      </c>
      <c r="C27" s="161" t="s">
        <v>457</v>
      </c>
      <c r="D27" s="161" t="s">
        <v>457</v>
      </c>
      <c r="E27" s="73"/>
      <c r="F27" s="73"/>
      <c r="G27" s="161" t="s">
        <v>457</v>
      </c>
      <c r="H27" s="161" t="s">
        <v>457</v>
      </c>
      <c r="I27" s="161"/>
      <c r="J27" s="73"/>
      <c r="K27" s="65"/>
      <c r="L27" s="65"/>
    </row>
    <row r="28" spans="1:12" ht="70.5" customHeight="1" x14ac:dyDescent="0.25">
      <c r="A28" s="67" t="s">
        <v>362</v>
      </c>
      <c r="B28" s="74" t="s">
        <v>367</v>
      </c>
      <c r="C28" s="161" t="s">
        <v>457</v>
      </c>
      <c r="D28" s="161" t="s">
        <v>457</v>
      </c>
      <c r="E28" s="73"/>
      <c r="F28" s="73"/>
      <c r="G28" s="161" t="s">
        <v>457</v>
      </c>
      <c r="H28" s="161" t="s">
        <v>457</v>
      </c>
      <c r="I28" s="161"/>
      <c r="J28" s="73"/>
      <c r="K28" s="65"/>
      <c r="L28" s="65"/>
    </row>
    <row r="29" spans="1:12" ht="54" customHeight="1" x14ac:dyDescent="0.25">
      <c r="A29" s="67" t="s">
        <v>208</v>
      </c>
      <c r="B29" s="74" t="s">
        <v>366</v>
      </c>
      <c r="C29" s="161" t="s">
        <v>457</v>
      </c>
      <c r="D29" s="161" t="s">
        <v>457</v>
      </c>
      <c r="E29" s="73"/>
      <c r="F29" s="73"/>
      <c r="G29" s="161" t="s">
        <v>457</v>
      </c>
      <c r="H29" s="161" t="s">
        <v>457</v>
      </c>
      <c r="I29" s="161"/>
      <c r="J29" s="73"/>
      <c r="K29" s="65"/>
      <c r="L29" s="65"/>
    </row>
    <row r="30" spans="1:12" ht="42" customHeight="1" x14ac:dyDescent="0.25">
      <c r="A30" s="67" t="s">
        <v>207</v>
      </c>
      <c r="B30" s="74" t="s">
        <v>368</v>
      </c>
      <c r="C30" s="161" t="s">
        <v>457</v>
      </c>
      <c r="D30" s="161" t="s">
        <v>457</v>
      </c>
      <c r="E30" s="73"/>
      <c r="F30" s="73"/>
      <c r="G30" s="161" t="s">
        <v>457</v>
      </c>
      <c r="H30" s="161" t="s">
        <v>457</v>
      </c>
      <c r="I30" s="161"/>
      <c r="J30" s="73"/>
      <c r="K30" s="65"/>
      <c r="L30" s="65"/>
    </row>
    <row r="31" spans="1:12" ht="37.5" customHeight="1" x14ac:dyDescent="0.25">
      <c r="A31" s="67" t="s">
        <v>206</v>
      </c>
      <c r="B31" s="66" t="s">
        <v>364</v>
      </c>
      <c r="C31" s="162">
        <v>44621</v>
      </c>
      <c r="D31" s="162">
        <v>44625</v>
      </c>
      <c r="E31" s="73"/>
      <c r="F31" s="73"/>
      <c r="G31" s="162">
        <v>44986</v>
      </c>
      <c r="H31" s="162">
        <v>44990</v>
      </c>
      <c r="I31" s="158"/>
      <c r="J31" s="73"/>
      <c r="K31" s="65"/>
      <c r="L31" s="65"/>
    </row>
    <row r="32" spans="1:12" ht="31.5" x14ac:dyDescent="0.25">
      <c r="A32" s="67" t="s">
        <v>204</v>
      </c>
      <c r="B32" s="66" t="s">
        <v>369</v>
      </c>
      <c r="C32" s="162">
        <v>44696</v>
      </c>
      <c r="D32" s="162">
        <v>44701</v>
      </c>
      <c r="E32" s="73"/>
      <c r="F32" s="73"/>
      <c r="G32" s="162">
        <v>45061</v>
      </c>
      <c r="H32" s="162">
        <v>45066</v>
      </c>
      <c r="I32" s="158"/>
      <c r="J32" s="73"/>
      <c r="K32" s="65"/>
      <c r="L32" s="65"/>
    </row>
    <row r="33" spans="1:12" ht="37.5" customHeight="1" x14ac:dyDescent="0.25">
      <c r="A33" s="67" t="s">
        <v>380</v>
      </c>
      <c r="B33" s="66" t="s">
        <v>296</v>
      </c>
      <c r="C33" s="161" t="s">
        <v>457</v>
      </c>
      <c r="D33" s="161" t="s">
        <v>457</v>
      </c>
      <c r="E33" s="73"/>
      <c r="F33" s="73"/>
      <c r="G33" s="161" t="s">
        <v>457</v>
      </c>
      <c r="H33" s="161" t="s">
        <v>457</v>
      </c>
      <c r="I33" s="161"/>
      <c r="J33" s="73"/>
      <c r="K33" s="65"/>
      <c r="L33" s="65"/>
    </row>
    <row r="34" spans="1:12" ht="47.25" customHeight="1" x14ac:dyDescent="0.25">
      <c r="A34" s="67" t="s">
        <v>381</v>
      </c>
      <c r="B34" s="66" t="s">
        <v>373</v>
      </c>
      <c r="C34" s="161" t="s">
        <v>457</v>
      </c>
      <c r="D34" s="161" t="s">
        <v>457</v>
      </c>
      <c r="E34" s="72"/>
      <c r="F34" s="72"/>
      <c r="G34" s="161" t="s">
        <v>457</v>
      </c>
      <c r="H34" s="161" t="s">
        <v>457</v>
      </c>
      <c r="I34" s="161"/>
      <c r="J34" s="72"/>
      <c r="K34" s="72"/>
      <c r="L34" s="65"/>
    </row>
    <row r="35" spans="1:12" ht="49.5" customHeight="1" x14ac:dyDescent="0.25">
      <c r="A35" s="67" t="s">
        <v>382</v>
      </c>
      <c r="B35" s="66" t="s">
        <v>205</v>
      </c>
      <c r="C35" s="162">
        <v>44701</v>
      </c>
      <c r="D35" s="162">
        <v>44706</v>
      </c>
      <c r="E35" s="72"/>
      <c r="F35" s="72"/>
      <c r="G35" s="162">
        <v>45066</v>
      </c>
      <c r="H35" s="162">
        <v>45071</v>
      </c>
      <c r="I35" s="158"/>
      <c r="J35" s="72"/>
      <c r="K35" s="72"/>
      <c r="L35" s="65"/>
    </row>
    <row r="36" spans="1:12" ht="37.5" customHeight="1" x14ac:dyDescent="0.25">
      <c r="A36" s="67" t="s">
        <v>383</v>
      </c>
      <c r="B36" s="66" t="s">
        <v>365</v>
      </c>
      <c r="C36" s="162" t="s">
        <v>457</v>
      </c>
      <c r="D36" s="162" t="s">
        <v>457</v>
      </c>
      <c r="E36" s="71"/>
      <c r="F36" s="70"/>
      <c r="G36" s="162" t="s">
        <v>457</v>
      </c>
      <c r="H36" s="162" t="s">
        <v>457</v>
      </c>
      <c r="I36" s="161"/>
      <c r="J36" s="69"/>
      <c r="K36" s="65"/>
      <c r="L36" s="65"/>
    </row>
    <row r="37" spans="1:12" x14ac:dyDescent="0.25">
      <c r="A37" s="67" t="s">
        <v>384</v>
      </c>
      <c r="B37" s="66" t="s">
        <v>203</v>
      </c>
      <c r="C37" s="162">
        <v>44645</v>
      </c>
      <c r="D37" s="162">
        <v>44696</v>
      </c>
      <c r="E37" s="71"/>
      <c r="F37" s="70"/>
      <c r="G37" s="162">
        <v>45010</v>
      </c>
      <c r="H37" s="162">
        <v>45061</v>
      </c>
      <c r="I37" s="161"/>
      <c r="J37" s="69"/>
      <c r="K37" s="65"/>
      <c r="L37" s="65"/>
    </row>
    <row r="38" spans="1:12" x14ac:dyDescent="0.25">
      <c r="A38" s="67" t="s">
        <v>385</v>
      </c>
      <c r="B38" s="68" t="s">
        <v>202</v>
      </c>
      <c r="C38" s="162"/>
      <c r="D38" s="162"/>
      <c r="E38" s="65"/>
      <c r="F38" s="65"/>
      <c r="G38" s="162"/>
      <c r="H38" s="162"/>
      <c r="I38" s="159"/>
      <c r="J38" s="65"/>
      <c r="K38" s="65"/>
      <c r="L38" s="65"/>
    </row>
    <row r="39" spans="1:12" ht="63" x14ac:dyDescent="0.25">
      <c r="A39" s="67">
        <v>2</v>
      </c>
      <c r="B39" s="66" t="s">
        <v>370</v>
      </c>
      <c r="C39" s="162">
        <v>44706</v>
      </c>
      <c r="D39" s="162">
        <v>44722</v>
      </c>
      <c r="E39" s="65"/>
      <c r="F39" s="65"/>
      <c r="G39" s="162">
        <v>45071</v>
      </c>
      <c r="H39" s="162">
        <v>45087</v>
      </c>
      <c r="I39" s="159"/>
      <c r="J39" s="65"/>
      <c r="K39" s="65"/>
      <c r="L39" s="65"/>
    </row>
    <row r="40" spans="1:12" ht="33.75" customHeight="1" x14ac:dyDescent="0.25">
      <c r="A40" s="67" t="s">
        <v>201</v>
      </c>
      <c r="B40" s="66" t="s">
        <v>372</v>
      </c>
      <c r="C40" s="162">
        <v>44722</v>
      </c>
      <c r="D40" s="162">
        <v>44757</v>
      </c>
      <c r="E40" s="65"/>
      <c r="F40" s="65"/>
      <c r="G40" s="162">
        <v>45087</v>
      </c>
      <c r="H40" s="162">
        <v>45122</v>
      </c>
      <c r="I40" s="159"/>
      <c r="J40" s="65"/>
      <c r="K40" s="65"/>
      <c r="L40" s="65"/>
    </row>
    <row r="41" spans="1:12" ht="63" customHeight="1" x14ac:dyDescent="0.25">
      <c r="A41" s="67" t="s">
        <v>200</v>
      </c>
      <c r="B41" s="68" t="s">
        <v>453</v>
      </c>
      <c r="C41" s="162"/>
      <c r="D41" s="162"/>
      <c r="E41" s="65"/>
      <c r="F41" s="65"/>
      <c r="G41" s="162"/>
      <c r="H41" s="162"/>
      <c r="I41" s="159"/>
      <c r="J41" s="65"/>
      <c r="K41" s="65"/>
      <c r="L41" s="65"/>
    </row>
    <row r="42" spans="1:12" ht="58.5" customHeight="1" x14ac:dyDescent="0.25">
      <c r="A42" s="67">
        <v>3</v>
      </c>
      <c r="B42" s="66" t="s">
        <v>371</v>
      </c>
      <c r="C42" s="162">
        <v>44752</v>
      </c>
      <c r="D42" s="162">
        <v>44757</v>
      </c>
      <c r="E42" s="65"/>
      <c r="F42" s="65"/>
      <c r="G42" s="162">
        <v>45117</v>
      </c>
      <c r="H42" s="162">
        <v>45122</v>
      </c>
      <c r="I42" s="161"/>
      <c r="J42" s="65"/>
      <c r="K42" s="65"/>
      <c r="L42" s="65"/>
    </row>
    <row r="43" spans="1:12" ht="34.5" customHeight="1" x14ac:dyDescent="0.25">
      <c r="A43" s="67" t="s">
        <v>199</v>
      </c>
      <c r="B43" s="66" t="s">
        <v>197</v>
      </c>
      <c r="C43" s="162">
        <v>44757</v>
      </c>
      <c r="D43" s="162">
        <v>44760</v>
      </c>
      <c r="E43" s="65"/>
      <c r="F43" s="65"/>
      <c r="G43" s="162">
        <v>45122</v>
      </c>
      <c r="H43" s="162">
        <v>45125</v>
      </c>
      <c r="I43" s="161"/>
      <c r="J43" s="65"/>
      <c r="K43" s="65"/>
      <c r="L43" s="65"/>
    </row>
    <row r="44" spans="1:12" ht="24.75" customHeight="1" x14ac:dyDescent="0.25">
      <c r="A44" s="67" t="s">
        <v>198</v>
      </c>
      <c r="B44" s="66" t="s">
        <v>195</v>
      </c>
      <c r="C44" s="162">
        <v>44762</v>
      </c>
      <c r="D44" s="162">
        <v>44793</v>
      </c>
      <c r="E44" s="65"/>
      <c r="F44" s="65"/>
      <c r="G44" s="162">
        <v>45127</v>
      </c>
      <c r="H44" s="162">
        <v>45158</v>
      </c>
      <c r="I44" s="161"/>
      <c r="J44" s="65"/>
      <c r="K44" s="65"/>
      <c r="L44" s="65"/>
    </row>
    <row r="45" spans="1:12" ht="90.75" customHeight="1" x14ac:dyDescent="0.25">
      <c r="A45" s="67" t="s">
        <v>196</v>
      </c>
      <c r="B45" s="66" t="s">
        <v>376</v>
      </c>
      <c r="C45" s="162" t="s">
        <v>457</v>
      </c>
      <c r="D45" s="162" t="s">
        <v>457</v>
      </c>
      <c r="E45" s="65"/>
      <c r="F45" s="65"/>
      <c r="G45" s="162" t="s">
        <v>457</v>
      </c>
      <c r="H45" s="162" t="s">
        <v>457</v>
      </c>
      <c r="I45" s="159"/>
      <c r="J45" s="65"/>
      <c r="K45" s="65"/>
      <c r="L45" s="65"/>
    </row>
    <row r="46" spans="1:12" ht="167.25" customHeight="1" x14ac:dyDescent="0.25">
      <c r="A46" s="67" t="s">
        <v>194</v>
      </c>
      <c r="B46" s="66" t="s">
        <v>374</v>
      </c>
      <c r="C46" s="162" t="s">
        <v>457</v>
      </c>
      <c r="D46" s="162" t="s">
        <v>457</v>
      </c>
      <c r="E46" s="65"/>
      <c r="F46" s="65"/>
      <c r="G46" s="162" t="s">
        <v>457</v>
      </c>
      <c r="H46" s="162" t="s">
        <v>457</v>
      </c>
      <c r="I46" s="159"/>
      <c r="J46" s="65"/>
      <c r="K46" s="65"/>
      <c r="L46" s="65"/>
    </row>
    <row r="47" spans="1:12" ht="30.75" customHeight="1" x14ac:dyDescent="0.25">
      <c r="A47" s="67" t="s">
        <v>192</v>
      </c>
      <c r="B47" s="66" t="s">
        <v>193</v>
      </c>
      <c r="C47" s="162"/>
      <c r="D47" s="162"/>
      <c r="E47" s="65"/>
      <c r="F47" s="65"/>
      <c r="G47" s="162">
        <v>45127</v>
      </c>
      <c r="H47" s="162" t="s">
        <v>608</v>
      </c>
      <c r="I47" s="161"/>
      <c r="J47" s="65"/>
      <c r="K47" s="65"/>
      <c r="L47" s="65"/>
    </row>
    <row r="48" spans="1:12" ht="37.5" customHeight="1" x14ac:dyDescent="0.25">
      <c r="A48" s="67" t="s">
        <v>386</v>
      </c>
      <c r="B48" s="68" t="s">
        <v>191</v>
      </c>
      <c r="C48" s="162"/>
      <c r="D48" s="162"/>
      <c r="E48" s="65"/>
      <c r="F48" s="65"/>
      <c r="G48" s="162"/>
      <c r="H48" s="162"/>
      <c r="I48" s="161"/>
      <c r="J48" s="65"/>
      <c r="K48" s="65"/>
      <c r="L48" s="65"/>
    </row>
    <row r="49" spans="1:12" ht="35.25" customHeight="1" x14ac:dyDescent="0.25">
      <c r="A49" s="67">
        <v>4</v>
      </c>
      <c r="B49" s="66" t="s">
        <v>189</v>
      </c>
      <c r="C49" s="162">
        <v>44794</v>
      </c>
      <c r="D49" s="162">
        <v>44796</v>
      </c>
      <c r="E49" s="65"/>
      <c r="F49" s="65"/>
      <c r="G49" s="162">
        <v>45127</v>
      </c>
      <c r="H49" s="162">
        <v>45280</v>
      </c>
      <c r="I49" s="161"/>
      <c r="J49" s="65"/>
      <c r="K49" s="65"/>
      <c r="L49" s="65"/>
    </row>
    <row r="50" spans="1:12" ht="86.25" customHeight="1" x14ac:dyDescent="0.25">
      <c r="A50" s="67" t="s">
        <v>190</v>
      </c>
      <c r="B50" s="66" t="s">
        <v>375</v>
      </c>
      <c r="C50" s="162">
        <v>44797</v>
      </c>
      <c r="D50" s="162">
        <v>44799</v>
      </c>
      <c r="E50" s="65"/>
      <c r="F50" s="65"/>
      <c r="G50" s="162" t="str">
        <f>H47</f>
        <v>20.012.2023</v>
      </c>
      <c r="H50" s="162">
        <v>45290</v>
      </c>
      <c r="I50" s="159"/>
      <c r="J50" s="65"/>
      <c r="K50" s="65"/>
      <c r="L50" s="65"/>
    </row>
    <row r="51" spans="1:12" ht="77.25" customHeight="1" x14ac:dyDescent="0.25">
      <c r="A51" s="67" t="s">
        <v>188</v>
      </c>
      <c r="B51" s="66" t="s">
        <v>377</v>
      </c>
      <c r="C51" s="162"/>
      <c r="D51" s="162"/>
      <c r="E51" s="65"/>
      <c r="F51" s="65"/>
      <c r="G51" s="162"/>
      <c r="H51" s="162"/>
      <c r="I51" s="159"/>
      <c r="J51" s="65"/>
      <c r="K51" s="65"/>
      <c r="L51" s="65"/>
    </row>
    <row r="52" spans="1:12" ht="71.25" customHeight="1" x14ac:dyDescent="0.25">
      <c r="A52" s="67" t="s">
        <v>186</v>
      </c>
      <c r="B52" s="66" t="s">
        <v>187</v>
      </c>
      <c r="C52" s="162"/>
      <c r="D52" s="162"/>
      <c r="E52" s="65"/>
      <c r="F52" s="65"/>
      <c r="G52" s="162"/>
      <c r="H52" s="162"/>
      <c r="I52" s="161"/>
      <c r="J52" s="65"/>
      <c r="K52" s="65"/>
      <c r="L52" s="65"/>
    </row>
    <row r="53" spans="1:12" ht="48" customHeight="1" x14ac:dyDescent="0.25">
      <c r="A53" s="67" t="s">
        <v>184</v>
      </c>
      <c r="B53" s="117" t="s">
        <v>378</v>
      </c>
      <c r="C53" s="162">
        <v>44800</v>
      </c>
      <c r="D53" s="162">
        <v>44803</v>
      </c>
      <c r="E53" s="65"/>
      <c r="F53" s="65"/>
      <c r="G53" s="162">
        <f>H50</f>
        <v>45290</v>
      </c>
      <c r="H53" s="162">
        <v>45290</v>
      </c>
      <c r="I53" s="159"/>
      <c r="J53" s="65"/>
      <c r="K53" s="65"/>
      <c r="L53" s="65"/>
    </row>
    <row r="54" spans="1:12" ht="46.5" customHeight="1" x14ac:dyDescent="0.25">
      <c r="A54" s="67" t="s">
        <v>379</v>
      </c>
      <c r="B54" s="66" t="s">
        <v>185</v>
      </c>
      <c r="C54" s="162">
        <v>44800</v>
      </c>
      <c r="D54" s="162">
        <v>44803</v>
      </c>
      <c r="E54" s="65"/>
      <c r="F54" s="65"/>
      <c r="G54" s="162">
        <f>H51</f>
        <v>0</v>
      </c>
      <c r="H54" s="162">
        <v>45290</v>
      </c>
      <c r="I54" s="159"/>
      <c r="J54" s="65"/>
      <c r="K54" s="65"/>
      <c r="L54" s="6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2023-02-24T11:06:37Z</dcterms:modified>
</cp:coreProperties>
</file>