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28 факт 2022\M 22-28_паспорт_карта\"/>
    </mc:Choice>
  </mc:AlternateContent>
  <xr:revisionPtr revIDLastSave="0" documentId="13_ncr:1_{6F48D41C-B764-4BFF-A086-DC5D983998E3}" xr6:coauthVersionLast="47" xr6:coauthVersionMax="47" xr10:uidLastSave="{00000000-0000-0000-0000-000000000000}"/>
  <bookViews>
    <workbookView xWindow="285"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ПС'!$A$2:$T$63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56" i="29" l="1"/>
  <c r="D30" i="29"/>
  <c r="D24" i="29"/>
  <c r="D29" i="29"/>
  <c r="E79" i="32"/>
  <c r="D59" i="32"/>
  <c r="F67" i="32"/>
  <c r="C58" i="32"/>
  <c r="E81" i="32"/>
  <c r="F79" i="32" s="1"/>
  <c r="B24" i="32"/>
  <c r="F65" i="32" s="1"/>
  <c r="C51" i="7"/>
  <c r="C50" i="7"/>
  <c r="C42" i="7"/>
  <c r="AC25" i="29"/>
  <c r="AC26" i="29"/>
  <c r="AC28" i="29"/>
  <c r="AC31" i="29"/>
  <c r="AC32" i="29"/>
  <c r="AC34" i="29"/>
  <c r="AC35" i="29"/>
  <c r="AC36" i="29"/>
  <c r="AC37" i="29"/>
  <c r="AC38" i="29"/>
  <c r="AC39" i="29"/>
  <c r="AC40" i="29"/>
  <c r="AC41" i="29"/>
  <c r="AC42" i="29"/>
  <c r="AC43" i="29"/>
  <c r="AC44" i="29"/>
  <c r="AC46" i="29"/>
  <c r="AC48" i="29"/>
  <c r="AC49" i="29"/>
  <c r="AC50" i="29"/>
  <c r="AC51" i="29"/>
  <c r="AC53" i="29"/>
  <c r="AC55" i="29"/>
  <c r="AC57" i="29"/>
  <c r="AC58" i="29"/>
  <c r="AC59" i="29"/>
  <c r="AC60" i="29"/>
  <c r="AC61" i="29"/>
  <c r="AC62" i="29"/>
  <c r="AC63" i="29"/>
  <c r="AC64" i="29"/>
  <c r="R25" i="29"/>
  <c r="R26" i="29"/>
  <c r="R28" i="29"/>
  <c r="R31" i="29"/>
  <c r="R32" i="29"/>
  <c r="R34" i="29"/>
  <c r="R35" i="29"/>
  <c r="R36" i="29"/>
  <c r="R37" i="29"/>
  <c r="R38" i="29"/>
  <c r="R39" i="29"/>
  <c r="R40" i="29"/>
  <c r="R41" i="29"/>
  <c r="R42" i="29"/>
  <c r="R43" i="29"/>
  <c r="R44" i="29"/>
  <c r="R46" i="29"/>
  <c r="R47" i="29"/>
  <c r="AC47" i="29" s="1"/>
  <c r="R48" i="29"/>
  <c r="R49" i="29"/>
  <c r="R50" i="29"/>
  <c r="R51" i="29"/>
  <c r="R53" i="29"/>
  <c r="R55" i="29"/>
  <c r="R56" i="29"/>
  <c r="AC56" i="29" s="1"/>
  <c r="R57" i="29"/>
  <c r="R58" i="29"/>
  <c r="R59" i="29"/>
  <c r="R60" i="29"/>
  <c r="R61" i="29"/>
  <c r="R62" i="29"/>
  <c r="R63" i="29"/>
  <c r="R64" i="29"/>
  <c r="R24" i="29"/>
  <c r="AC24" i="29" s="1"/>
  <c r="F25" i="29"/>
  <c r="F26" i="29"/>
  <c r="F27" i="29"/>
  <c r="R27" i="29" s="1"/>
  <c r="AC27" i="29" s="1"/>
  <c r="F28" i="29"/>
  <c r="F29" i="29"/>
  <c r="R29" i="29" s="1"/>
  <c r="AC29" i="29" s="1"/>
  <c r="F30" i="29"/>
  <c r="R30" i="29" s="1"/>
  <c r="AC30" i="29" s="1"/>
  <c r="F31" i="29"/>
  <c r="F32" i="29"/>
  <c r="F33" i="29"/>
  <c r="R33" i="29" s="1"/>
  <c r="AC33" i="29" s="1"/>
  <c r="F34" i="29"/>
  <c r="F35" i="29"/>
  <c r="F36" i="29"/>
  <c r="F37" i="29"/>
  <c r="F38" i="29"/>
  <c r="F39" i="29"/>
  <c r="F40" i="29"/>
  <c r="F41" i="29"/>
  <c r="F42" i="29"/>
  <c r="F43" i="29"/>
  <c r="F44" i="29"/>
  <c r="F45" i="29"/>
  <c r="R45" i="29" s="1"/>
  <c r="AC45" i="29" s="1"/>
  <c r="F46" i="29"/>
  <c r="F47" i="29"/>
  <c r="F48" i="29"/>
  <c r="F49" i="29"/>
  <c r="F50" i="29"/>
  <c r="F51" i="29"/>
  <c r="F53" i="29"/>
  <c r="F55" i="29"/>
  <c r="F56" i="29"/>
  <c r="F57" i="29"/>
  <c r="F58" i="29"/>
  <c r="F59" i="29"/>
  <c r="F60" i="29"/>
  <c r="F61" i="29"/>
  <c r="F62" i="29"/>
  <c r="F63" i="29"/>
  <c r="F64" i="29"/>
  <c r="F24" i="29"/>
  <c r="D54" i="29"/>
  <c r="F54" i="29" s="1"/>
  <c r="R54" i="29" s="1"/>
  <c r="AC54" i="29" s="1"/>
  <c r="D52" i="29"/>
  <c r="F52" i="29" s="1"/>
  <c r="R52" i="29" s="1"/>
  <c r="AC52" i="29" s="1"/>
  <c r="B27" i="26"/>
  <c r="A5" i="32"/>
  <c r="S61" i="32"/>
  <c r="B34"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2" i="32" l="1"/>
  <c r="S62" i="32" s="1"/>
  <c r="B28" i="32"/>
  <c r="I60" i="32" s="1"/>
  <c r="B58" i="32"/>
  <c r="C66" i="32"/>
  <c r="E80" i="32"/>
  <c r="U80" i="32"/>
  <c r="D66" i="32"/>
  <c r="D68" i="32" s="1"/>
  <c r="I80" i="32"/>
  <c r="Y80" i="32"/>
  <c r="AA62" i="32" l="1"/>
  <c r="B80" i="32"/>
  <c r="B66" i="32"/>
  <c r="B68" i="32" s="1"/>
  <c r="B70" i="32" s="1"/>
  <c r="R25" i="14"/>
  <c r="B75" i="32" l="1"/>
  <c r="B71" i="32"/>
  <c r="B72" i="32" s="1"/>
  <c r="B78" i="32" l="1"/>
  <c r="B23" i="26" l="1"/>
  <c r="B25" i="26"/>
  <c r="O25" i="13"/>
  <c r="B79" i="32" l="1"/>
  <c r="B83" i="32" s="1"/>
  <c r="B88" i="32" s="1"/>
  <c r="D76" i="32"/>
  <c r="C76" i="32"/>
  <c r="C68" i="32"/>
  <c r="C79" i="32" l="1"/>
  <c r="D79" i="32" s="1"/>
  <c r="B84" i="32"/>
  <c r="B89" i="32" s="1"/>
  <c r="D70" i="32"/>
  <c r="D71" i="32" s="1"/>
  <c r="D72" i="32" s="1"/>
  <c r="E67" i="32"/>
  <c r="B86" i="32"/>
  <c r="B87" i="32" s="1"/>
  <c r="B90" i="32" s="1"/>
  <c r="C75" i="32"/>
  <c r="C70" i="32"/>
  <c r="C71" i="32" s="1"/>
  <c r="E76" i="32" l="1"/>
  <c r="E59" i="32"/>
  <c r="E66" i="32" s="1"/>
  <c r="E68" i="32" s="1"/>
  <c r="E70" i="32" s="1"/>
  <c r="E71" i="32" s="1"/>
  <c r="F76" i="32"/>
  <c r="D75" i="32"/>
  <c r="C72" i="32"/>
  <c r="C78" i="32"/>
  <c r="D78" i="32" s="1"/>
  <c r="I24" i="29"/>
  <c r="F59" i="32" l="1"/>
  <c r="F66" i="32" s="1"/>
  <c r="F68" i="32" s="1"/>
  <c r="F75" i="32" s="1"/>
  <c r="G67" i="32"/>
  <c r="E75" i="32"/>
  <c r="D83" i="32"/>
  <c r="D86" i="32" s="1"/>
  <c r="E78" i="32"/>
  <c r="C83" i="32"/>
  <c r="E72" i="32"/>
  <c r="G26" i="5"/>
  <c r="D26" i="5"/>
  <c r="H67" i="32" l="1"/>
  <c r="H65" i="32" s="1"/>
  <c r="G65" i="32"/>
  <c r="G76" i="32"/>
  <c r="F70" i="32"/>
  <c r="F71" i="32" s="1"/>
  <c r="F78" i="32" s="1"/>
  <c r="F83" i="32" s="1"/>
  <c r="G59" i="32"/>
  <c r="G66" i="32" s="1"/>
  <c r="G68" i="32" s="1"/>
  <c r="G70" i="32" s="1"/>
  <c r="H59" i="32"/>
  <c r="H66" i="32" s="1"/>
  <c r="H68" i="32" s="1"/>
  <c r="E83" i="32"/>
  <c r="E86" i="32" s="1"/>
  <c r="D84" i="32"/>
  <c r="C88" i="32"/>
  <c r="C84" i="32"/>
  <c r="C89" i="32" s="1"/>
  <c r="D88" i="32"/>
  <c r="C86" i="32"/>
  <c r="D87" i="32" s="1"/>
  <c r="I67" i="32"/>
  <c r="I65" i="32" s="1"/>
  <c r="H76" i="32"/>
  <c r="G79" i="32"/>
  <c r="G75" i="32" l="1"/>
  <c r="E88" i="32"/>
  <c r="E84" i="32"/>
  <c r="E89" i="32" s="1"/>
  <c r="F72" i="32"/>
  <c r="I59" i="32"/>
  <c r="I66" i="32" s="1"/>
  <c r="F88" i="32"/>
  <c r="F84" i="32"/>
  <c r="F89" i="32" s="1"/>
  <c r="C87" i="32"/>
  <c r="C90" i="32" s="1"/>
  <c r="F86" i="32"/>
  <c r="F87" i="32" s="1"/>
  <c r="D89" i="32"/>
  <c r="E87" i="32"/>
  <c r="E90" i="32" s="1"/>
  <c r="H79" i="32"/>
  <c r="I79" i="32" s="1"/>
  <c r="H70" i="32"/>
  <c r="H75" i="32"/>
  <c r="G71" i="32"/>
  <c r="G72" i="32" s="1"/>
  <c r="J67" i="32"/>
  <c r="J65" i="32" s="1"/>
  <c r="I76" i="32"/>
  <c r="I68" i="32"/>
  <c r="J59" i="32" l="1"/>
  <c r="J66" i="32" s="1"/>
  <c r="J68" i="32" s="1"/>
  <c r="D90" i="32"/>
  <c r="F90" i="32"/>
  <c r="H71" i="32"/>
  <c r="H72" i="32" s="1"/>
  <c r="I70" i="32"/>
  <c r="I75" i="32"/>
  <c r="G78" i="32"/>
  <c r="G83" i="32" s="1"/>
  <c r="J76" i="32"/>
  <c r="K67" i="32"/>
  <c r="K65" i="32" s="1"/>
  <c r="J79" i="32"/>
  <c r="K79" i="32" s="1"/>
  <c r="K59" i="32" l="1"/>
  <c r="K66" i="32" s="1"/>
  <c r="K68" i="32" s="1"/>
  <c r="J75" i="32"/>
  <c r="J70" i="32"/>
  <c r="J71" i="32" s="1"/>
  <c r="J72" i="32" s="1"/>
  <c r="L79" i="32"/>
  <c r="M79" i="32" s="1"/>
  <c r="N79" i="32" s="1"/>
  <c r="O79" i="32" s="1"/>
  <c r="K76" i="32"/>
  <c r="L67" i="32"/>
  <c r="L65" i="32" s="1"/>
  <c r="H78" i="32"/>
  <c r="H83" i="32" s="1"/>
  <c r="I71" i="32"/>
  <c r="I72" i="32" s="1"/>
  <c r="G86" i="32"/>
  <c r="G88" i="32"/>
  <c r="G84" i="32"/>
  <c r="G89" i="32" s="1"/>
  <c r="L59" i="32" l="1"/>
  <c r="L66" i="32" s="1"/>
  <c r="L68" i="32" s="1"/>
  <c r="H86" i="32"/>
  <c r="H87" i="32" s="1"/>
  <c r="G87" i="32"/>
  <c r="G90" i="32" s="1"/>
  <c r="L76" i="32"/>
  <c r="M67" i="32"/>
  <c r="M65" i="32" s="1"/>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59" i="32" l="1"/>
  <c r="M66" i="32" s="1"/>
  <c r="M68" i="32" s="1"/>
  <c r="H90" i="32"/>
  <c r="L75" i="32"/>
  <c r="L70" i="32"/>
  <c r="L71" i="32" s="1"/>
  <c r="I86" i="32"/>
  <c r="I88" i="32"/>
  <c r="I84" i="32"/>
  <c r="I89" i="32" s="1"/>
  <c r="K72" i="32"/>
  <c r="N67" i="32"/>
  <c r="M76"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P68" i="32" s="1"/>
  <c r="L88" i="32"/>
  <c r="L87" i="32"/>
  <c r="G29" i="32" s="1"/>
  <c r="L84" i="32"/>
  <c r="L89" i="32" s="1"/>
  <c r="M78" i="32"/>
  <c r="M83" i="32" s="1"/>
  <c r="M86" i="32" s="1"/>
  <c r="M87" i="32" s="1"/>
  <c r="O75" i="32"/>
  <c r="O70" i="32"/>
  <c r="N72" i="32"/>
  <c r="Q67" i="32"/>
  <c r="P76" i="32"/>
  <c r="Q65" i="32" l="1"/>
  <c r="Q59" i="32" s="1"/>
  <c r="Q66" i="32" s="1"/>
  <c r="Q68" i="32" s="1"/>
  <c r="M90" i="32"/>
  <c r="L90" i="32"/>
  <c r="M88" i="32"/>
  <c r="M84" i="32"/>
  <c r="M89" i="32" s="1"/>
  <c r="N78" i="32"/>
  <c r="N83" i="32" s="1"/>
  <c r="N84" i="32" s="1"/>
  <c r="P75" i="32"/>
  <c r="P70" i="32"/>
  <c r="Q76" i="32"/>
  <c r="R67" i="32"/>
  <c r="O71" i="32"/>
  <c r="O72" i="32" s="1"/>
  <c r="R65" i="32" l="1"/>
  <c r="R59" i="32" s="1"/>
  <c r="R66" i="32" s="1"/>
  <c r="R68" i="32" s="1"/>
  <c r="N88" i="32"/>
  <c r="N89" i="32"/>
  <c r="N86" i="32"/>
  <c r="N87" i="32" s="1"/>
  <c r="N90" i="32" s="1"/>
  <c r="O78" i="32"/>
  <c r="O83" i="32" s="1"/>
  <c r="P71" i="32"/>
  <c r="P72" i="32" s="1"/>
  <c r="Q70" i="32"/>
  <c r="Q71" i="32" s="1"/>
  <c r="Q72" i="32" s="1"/>
  <c r="Q75" i="32"/>
  <c r="S67" i="32"/>
  <c r="R76" i="32"/>
  <c r="S65" i="32" l="1"/>
  <c r="S59" i="32" s="1"/>
  <c r="S66" i="32" s="1"/>
  <c r="P78" i="32"/>
  <c r="R70" i="32"/>
  <c r="R75" i="32"/>
  <c r="O86" i="32"/>
  <c r="O88" i="32"/>
  <c r="O84" i="32"/>
  <c r="O89" i="32" s="1"/>
  <c r="S76" i="32"/>
  <c r="S68" i="32"/>
  <c r="T67" i="32"/>
  <c r="T65" i="32" l="1"/>
  <c r="T59" i="32" s="1"/>
  <c r="T66" i="32" s="1"/>
  <c r="T68" i="32" s="1"/>
  <c r="S70" i="32"/>
  <c r="S71" i="32" s="1"/>
  <c r="S72" i="32" s="1"/>
  <c r="S75" i="32"/>
  <c r="R71" i="32"/>
  <c r="R72" i="32" s="1"/>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X68" i="32" s="1"/>
  <c r="T89" i="32"/>
  <c r="W75" i="32"/>
  <c r="W70" i="32"/>
  <c r="U78" i="32"/>
  <c r="U83" i="32" s="1"/>
  <c r="V71" i="32"/>
  <c r="V72" i="32" s="1"/>
  <c r="T86" i="32"/>
  <c r="T88" i="32"/>
  <c r="S87" i="32"/>
  <c r="S90" i="32" s="1"/>
  <c r="X76" i="32"/>
  <c r="Y67" i="32"/>
  <c r="Y65" i="32" l="1"/>
  <c r="Y59" i="32" s="1"/>
  <c r="Y66" i="32" s="1"/>
  <c r="V78" i="32"/>
  <c r="V83" i="32" s="1"/>
  <c r="X70" i="32"/>
  <c r="X75" i="32"/>
  <c r="W71" i="32"/>
  <c r="W72" i="32" s="1"/>
  <c r="Y76" i="32"/>
  <c r="Y68"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B88" i="32"/>
  <c r="AC71" i="32"/>
  <c r="AE68" i="32"/>
  <c r="AE76" i="32"/>
  <c r="AD75" i="32"/>
  <c r="AD70" i="32"/>
  <c r="Y24" i="29"/>
  <c r="U24" i="29"/>
  <c r="Q24" i="29"/>
  <c r="M24" i="29"/>
  <c r="AB87" i="32" l="1"/>
  <c r="AB90" i="32" s="1"/>
  <c r="AB84" i="32"/>
  <c r="AB89" i="32" s="1"/>
  <c r="AC78" i="32"/>
  <c r="AC83" i="32" s="1"/>
  <c r="AC86" i="32" s="1"/>
  <c r="AC87" i="32" s="1"/>
  <c r="AC72" i="32"/>
  <c r="AD71" i="32"/>
  <c r="AE75" i="32"/>
  <c r="AE70"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l="1"/>
  <c r="AE89" i="32" s="1"/>
  <c r="G27" i="32" s="1"/>
  <c r="AE86" i="32"/>
  <c r="AE87" i="32" s="1"/>
  <c r="AE90" i="32" s="1"/>
  <c r="G28"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4" i="6" l="1"/>
  <c r="C23" i="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<sst xmlns="http://schemas.openxmlformats.org/spreadsheetml/2006/main" count="1546" uniqueCount="590">
  <si>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</si>
  <si>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</si>
  <si>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</si>
  <si>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</si>
  <si>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</si>
  <si>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</si>
  <si>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</si>
  <si>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</si>
  <si>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</si>
  <si>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</si>
  <si>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</si>
  <si>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</si>
  <si>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</si>
  <si>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</si>
  <si>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</si>
  <si>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</si>
  <si>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</si>
  <si>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</si>
  <si>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</si>
  <si>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</si>
  <si>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</si>
  <si>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</si>
  <si>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</si>
  <si>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</si>
  <si>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</si>
  <si>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</si>
  <si>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</si>
  <si>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</si>
  <si>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</si>
  <si>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</si>
  <si>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</si>
  <si>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</si>
  <si>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</si>
  <si>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</si>
  <si>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</si>
  <si>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</si>
  <si>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</si>
  <si>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</si>
  <si>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</si>
  <si>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</si>
  <si>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</si>
  <si>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</si>
  <si>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</si>
  <si>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</si>
  <si>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</si>
  <si>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</si>
  <si>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</si>
  <si>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</si>
  <si>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</si>
  <si>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</si>
  <si>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</si>
  <si>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</si>
  <si>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</si>
  <si>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</si>
  <si>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</si>
  <si>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</si>
  <si>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</si>
  <si>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</si>
  <si>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</si>
  <si>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</si>
  <si>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</si>
  <si>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</si>
  <si>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</si>
  <si>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</si>
  <si>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</si>
  <si>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</si>
  <si>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</si>
  <si>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</si>
  <si>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</si>
  <si>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</si>
  <si>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</si>
  <si>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</si>
  <si>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</si>
  <si>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</si>
  <si>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</si>
  <si>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</si>
  <si>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</si>
  <si>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</si>
  <si>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</si>
  <si>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</si>
  <si>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</si>
  <si>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</si>
  <si>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</si>
  <si>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</si>
  <si>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</si>
  <si>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</si>
  <si>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</si>
  <si>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</si>
  <si>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</si>
  <si>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</si>
  <si>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</si>
  <si>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</si>
  <si>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</si>
  <si>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</si>
  <si>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</si>
  <si>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</si>
  <si>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</si>
  <si>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</si>
  <si>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</si>
  <si>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</si>
  <si>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</si>
  <si>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</si>
  <si>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</si>
  <si>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</si>
  <si>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</si>
  <si>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</si>
  <si>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</si>
  <si>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</si>
  <si>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</si>
  <si>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</si>
  <si>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</si>
  <si>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</si>
  <si>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</si>
  <si>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</si>
  <si>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</si>
  <si>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</si>
  <si>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</si>
  <si>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</si>
  <si>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</si>
  <si>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</si>
  <si>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</si>
  <si>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</si>
  <si>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</si>
  <si>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</si>
  <si>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</si>
  <si>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</si>
  <si>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</si>
  <si>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</si>
  <si>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</si>
  <si>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</si>
  <si>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</si>
  <si>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</si>
  <si>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</si>
  <si>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</si>
  <si>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</si>
  <si>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</si>
  <si>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</si>
  <si>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</si>
  <si>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</si>
  <si>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</si>
  <si>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</si>
  <si>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</si>
  <si>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</si>
  <si>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</si>
  <si>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</si>
  <si>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</si>
  <si>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</si>
  <si>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</si>
  <si>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</si>
  <si>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</si>
  <si>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</si>
  <si>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</si>
  <si>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</si>
  <si>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</si>
  <si>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</si>
  <si>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</si>
  <si>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</si>
  <si>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</si>
  <si>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</si>
  <si>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</si>
  <si>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</si>
  <si>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</si>
  <si>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</si>
  <si>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</si>
  <si>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</si>
  <si>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</si>
  <si>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</si>
  <si>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</si>
  <si>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</si>
  <si>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</si>
  <si>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</si>
  <si>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</si>
  <si>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</si>
  <si>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</si>
  <si>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</si>
  <si>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</si>
  <si>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</si>
  <si>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</si>
  <si>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</si>
  <si>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</si>
  <si>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</si>
  <si>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</si>
  <si>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</si>
  <si>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</si>
  <si>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</si>
  <si>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</si>
  <si>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</si>
  <si>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</si>
  <si>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</si>
  <si>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</si>
  <si>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</si>
  <si>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</si>
  <si>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</si>
  <si>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</si>
  <si>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</si>
  <si>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</si>
  <si>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</si>
  <si>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</si>
  <si>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</si>
  <si>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</si>
  <si>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</si>
  <si>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</si>
  <si>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</si>
  <si>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</si>
  <si>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</si>
  <si>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</si>
  <si>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</si>
  <si>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</si>
  <si>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</si>
  <si>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</si>
  <si>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</si>
  <si>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</si>
  <si>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</si>
  <si>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</si>
  <si>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</si>
  <si>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</si>
  <si>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</si>
  <si>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</si>
  <si>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</si>
  <si>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</si>
  <si>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</si>
  <si>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</si>
  <si>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</si>
  <si>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</si>
  <si>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</si>
  <si>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</si>
  <si>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</si>
  <si>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</si>
  <si>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</si>
  <si>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</si>
  <si>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</si>
  <si>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</si>
  <si>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</si>
  <si>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</si>
  <si>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</si>
  <si>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</si>
  <si>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</si>
  <si>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</si>
  <si>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</si>
  <si>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</si>
  <si>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</si>
  <si>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</si>
  <si>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</si>
  <si>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</si>
  <si>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</si>
  <si>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</si>
  <si>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</si>
  <si>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</si>
  <si>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</si>
  <si>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</si>
  <si>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</si>
  <si>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</si>
  <si>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</si>
  <si>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</si>
  <si>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</si>
  <si>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</si>
  <si>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</si>
  <si>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</si>
  <si>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</si>
  <si>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</si>
  <si>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</si>
  <si>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</si>
  <si>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</si>
  <si>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</si>
  <si>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</si>
  <si>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</si>
  <si>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</si>
  <si>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</si>
  <si>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</si>
  <si>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</si>
  <si>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</si>
  <si>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</si>
  <si>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</si>
  <si>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</si>
  <si>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</si>
  <si>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</si>
  <si>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</si>
  <si>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</si>
  <si>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</si>
  <si>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</si>
  <si>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</si>
  <si>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</si>
  <si>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</si>
  <si>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</si>
  <si>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</si>
  <si>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</si>
  <si>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</si>
  <si>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</si>
  <si>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</si>
  <si>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</si>
  <si>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</si>
  <si>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</si>
  <si>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</si>
  <si>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</si>
  <si>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</si>
  <si>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</si>
  <si>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</si>
  <si>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</si>
  <si>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</si>
  <si>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</si>
  <si>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</si>
  <si>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</si>
  <si>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</si>
  <si>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</si>
  <si>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</si>
  <si>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</si>
  <si>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</si>
  <si>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</si>
  <si>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</si>
  <si>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</si>
  <si>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</si>
  <si>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</si>
  <si>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</si>
  <si>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</si>
  <si>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</si>
  <si>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</si>
  <si>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</si>
  <si>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</si>
  <si>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</si>
  <si>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</si>
  <si>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</si>
  <si>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</si>
  <si>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</si>
  <si>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</si>
  <si>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</si>
  <si>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</si>
  <si>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</si>
  <si>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</si>
  <si>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</si>
  <si>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</si>
  <si>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</si>
  <si>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</si>
  <si>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</si>
  <si>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</si>
  <si>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</si>
  <si>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</si>
  <si>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</si>
  <si>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</si>
  <si>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</si>
  <si>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</si>
  <si>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</si>
  <si>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</si>
  <si>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</si>
  <si>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</si>
  <si>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</si>
  <si>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</si>
  <si>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</si>
  <si>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</si>
  <si>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</si>
  <si>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</si>
  <si>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</si>
  <si>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</si>
  <si>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</si>
  <si>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</si>
  <si>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</si>
  <si>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</si>
  <si>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</si>
  <si>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</si>
  <si>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</si>
  <si>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</si>
  <si>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</si>
  <si>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</si>
  <si>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</si>
  <si>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</si>
  <si>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</si>
  <si>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</si>
  <si>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</si>
  <si>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</si>
  <si>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</si>
  <si>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</si>
  <si>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</si>
  <si>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</si>
  <si>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</si>
  <si>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</si>
  <si>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</si>
  <si>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</si>
  <si>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</si>
  <si>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</si>
  <si>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</si>
  <si>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</si>
  <si>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</si>
  <si>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</si>
  <si>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</si>
  <si>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</si>
  <si>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</si>
  <si>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</si>
  <si>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</si>
  <si>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</si>
  <si>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</si>
  <si>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</si>
  <si>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</si>
  <si>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</si>
  <si>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</si>
  <si>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</si>
  <si>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</si>
  <si>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</si>
  <si>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</si>
  <si>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</si>
  <si>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</si>
  <si>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</si>
  <si>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</si>
  <si>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</si>
  <si>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</si>
  <si>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</si>
  <si>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</si>
  <si>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</si>
  <si>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</si>
  <si>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</si>
  <si>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</si>
  <si>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</si>
  <si>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</si>
  <si>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</si>
  <si>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</si>
  <si>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</si>
  <si>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</si>
  <si>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</si>
  <si>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</si>
  <si>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</si>
  <si>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</si>
  <si>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</si>
  <si>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</si>
  <si>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</si>
  <si>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</si>
  <si>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</si>
  <si>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</si>
  <si>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</si>
  <si>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</si>
  <si>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</si>
  <si>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</si>
  <si>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</si>
  <si>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</si>
  <si>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</si>
  <si>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</si>
  <si>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</si>
  <si>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</si>
  <si>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</si>
  <si>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</si>
  <si>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</si>
  <si>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</si>
  <si>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</si>
  <si>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</si>
  <si>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</si>
  <si>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</si>
  <si>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</si>
  <si>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</si>
  <si>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</si>
  <si>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</si>
  <si>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</si>
  <si>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</si>
  <si>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</si>
  <si>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</si>
  <si>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</si>
  <si>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</si>
  <si>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</si>
  <si>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</si>
  <si>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</si>
  <si>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</si>
  <si>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</si>
  <si>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</si>
  <si>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</si>
  <si>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</si>
  <si>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</si>
  <si>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</si>
  <si>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</si>
  <si>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</si>
  <si>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</si>
  <si>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</si>
  <si>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</si>
  <si>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</si>
  <si>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</si>
  <si>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</si>
  <si>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</si>
  <si>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</si>
  <si>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</si>
  <si>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</si>
  <si>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</si>
  <si>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</si>
  <si>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</si>
  <si>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</si>
  <si>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</si>
  <si>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</si>
  <si>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</si>
  <si>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</si>
  <si>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</si>
  <si>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</si>
  <si>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</si>
  <si>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</si>
  <si>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</si>
  <si>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</si>
  <si>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</si>
  <si>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</si>
  <si>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</si>
  <si>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</si>
  <si>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</si>
  <si>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</si>
  <si>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</si>
  <si>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</si>
  <si>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</si>
  <si>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</si>
  <si>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</si>
  <si>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</si>
  <si>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</si>
  <si>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</si>
  <si>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</si>
  <si>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</si>
  <si>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</si>
  <si>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</si>
  <si>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</si>
  <si>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</si>
  <si>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</si>
  <si>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</si>
  <si>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</si>
  <si>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</si>
  <si>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</si>
  <si>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</si>
  <si>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</si>
  <si>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</si>
  <si>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</si>
  <si>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</si>
  <si>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</si>
  <si>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</si>
  <si>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</si>
  <si>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</si>
  <si>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</si>
  <si>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</si>
  <si>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</si>
  <si>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</si>
  <si>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</si>
  <si>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</si>
  <si>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</si>
  <si>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</si>
  <si>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</si>
  <si>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</si>
  <si>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</si>
  <si>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</si>
  <si>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</si>
  <si>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</si>
  <si>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</si>
  <si>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</si>
  <si>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</si>
  <si>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</si>
  <si>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</si>
  <si>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</si>
  <si>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</si>
  <si>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</si>
  <si>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</si>
  <si>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</si>
  <si>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</si>
  <si>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</si>
  <si>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</si>
  <si>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</si>
  <si>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по состоянию на 01.01.года (N-1)</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</si>
  <si>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</si>
  <si>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</si>
  <si>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</si>
  <si>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</si>
  <si>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</si>
  <si>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</si>
  <si>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</si>
  <si>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 xml:space="preserve"> факт 2019</t>
  </si>
  <si>
    <t>Прочие инвестиционные проекты</t>
  </si>
  <si>
    <t>Развитие электрической сети; Повышение качества оказываемых услуг в сфере электроэнергетики</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</si>
  <si>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</si>
  <si>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</si>
  <si>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сетевой комплекс ООО "Татэнерго"</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</si>
  <si>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</si>
  <si>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</si>
  <si>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</si>
  <si>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</si>
  <si>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</si>
  <si>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</si>
  <si>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</si>
  <si>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</si>
  <si>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</si>
  <si>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</si>
  <si>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</si>
  <si>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</si>
  <si>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</si>
  <si>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</si>
  <si>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</si>
  <si>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</si>
  <si>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∆P_тр = 44,94МВА; ∆L=5,739 км</t>
  </si>
  <si>
    <t>З</t>
  </si>
  <si>
    <t xml:space="preserve"> по состоянию на 01.01.2022</t>
  </si>
  <si>
    <t>Год раскрытия информации: 2023 год</t>
  </si>
  <si>
    <t>2,5 МВА</t>
  </si>
  <si>
    <t>M 22-28</t>
  </si>
  <si>
    <t>Приобретение ВЛ-15кВ № 15-298 г. Светлый</t>
  </si>
  <si>
    <t>Светлый</t>
  </si>
  <si>
    <t>договор купли № 25102022 от 25.10.2022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</si>
</sst>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3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3" fontId="72" fillId="0" borderId="33" xfId="67" applyNumberFormat="1" applyFont="1" applyBorder="1" applyAlignment="1">
      <alignment vertical="center"/>
    </xf>
    <xf numFmtId="0" fontId="73" fillId="0" borderId="25" xfId="128" applyFill="1" applyBorder="1" applyAlignment="1">
      <alignment horizontal="justify"/>
    </xf>
    <xf numFmtId="0" fontId="10" fillId="0" borderId="0" xfId="62" applyFont="1" applyAlignment="1">
      <alignment horizontal="center" vertical="center" wrapText="1"/>
    </xf>
    <xf numFmtId="0" fontId="68" fillId="0" borderId="0" xfId="62" applyFont="1" applyAlignment="1">
      <alignment horizontal="center" vertical="center" wrapText="1"/>
    </xf>
    <xf numFmtId="49" fontId="68" fillId="0" borderId="0" xfId="62" applyNumberFormat="1" applyFont="1" applyAlignment="1">
      <alignment horizontal="center" vertical="center" wrapText="1"/>
    </xf>
    <xf numFmtId="0" fontId="10" fillId="26" borderId="0" xfId="2" applyFill="1"/>
    <xf numFmtId="0" fontId="44" fillId="26" borderId="0" xfId="1" applyFont="1" applyFill="1" applyAlignment="1">
      <alignment vertical="center"/>
    </xf>
    <xf numFmtId="0" fontId="11" fillId="26" borderId="0" xfId="1" applyFont="1" applyFill="1" applyAlignment="1">
      <alignment vertical="center"/>
    </xf>
    <xf numFmtId="0" fontId="10" fillId="26" borderId="10" xfId="2"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ill="1" applyBorder="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horizontal="left"/>
    </xf>
    <xf numFmtId="0" fontId="28" fillId="0" borderId="0" xfId="0" applyFont="1"/>
    <xf numFmtId="0" fontId="74" fillId="0" borderId="0" xfId="0" applyFont="1"/>
    <xf numFmtId="0" fontId="41" fillId="0" borderId="0" xfId="0" applyFont="1" applyAlignment="1">
      <alignment horizontal="right" vertical="center"/>
    </xf>
    <xf numFmtId="0" fontId="69"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2"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79"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56" fillId="0" borderId="1" xfId="1" applyFont="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0" fontId="11" fillId="26" borderId="0" xfId="2" applyFont="1" applyFill="1" applyAlignment="1">
      <alignment horizontal="right" vertical="center"/>
    </xf>
    <xf numFmtId="0" fontId="11" fillId="26" borderId="0" xfId="2" applyFont="1" applyFill="1" applyAlignment="1">
      <alignment horizontal="right"/>
    </xf>
    <xf numFmtId="0" fontId="53" fillId="26" borderId="0" xfId="2" applyFont="1" applyFill="1" applyAlignment="1">
      <alignment vertical="center"/>
    </xf>
    <xf numFmtId="0" fontId="11" fillId="26" borderId="0" xfId="2" applyFont="1" applyFill="1"/>
    <xf numFmtId="173" fontId="10" fillId="26" borderId="0" xfId="2" applyNumberFormat="1" applyFill="1"/>
    <xf numFmtId="0" fontId="38" fillId="26" borderId="0" xfId="52" applyFont="1" applyFill="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0" fontId="10" fillId="26" borderId="6" xfId="2"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7" xfId="1" applyNumberFormat="1" applyFont="1" applyBorder="1" applyAlignment="1">
      <alignment horizontal="center" vertical="center"/>
    </xf>
    <xf numFmtId="49" fontId="10"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0" xfId="2" applyFill="1" applyAlignment="1">
      <alignment horizontal="left"/>
    </xf>
    <xf numFmtId="0" fontId="10" fillId="26" borderId="0" xfId="2" applyFill="1" applyAlignment="1">
      <alignment horizontal="left" vertical="center" wrapText="1"/>
    </xf>
    <xf numFmtId="0" fontId="10" fillId="26" borderId="0" xfId="2" applyFill="1" applyAlignment="1">
      <alignment horizontal="left" wrapText="1"/>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52"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 zoomScaleSheetLayoutView="10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8</v>
      </c>
    </row>
    <row r="3" spans="1:22" s="7" customFormat="1" ht="18.75" x14ac:dyDescent="0.3">
      <c r="A3" s="12"/>
      <c r="C3" s="11" t="s">
        <v>65</v>
      </c>
    </row>
    <row r="4" spans="1:22" s="7" customFormat="1" ht="18.75" x14ac:dyDescent="0.3">
      <c r="A4" s="12"/>
      <c r="H4" s="11"/>
    </row>
    <row r="5" spans="1:22" s="7" customFormat="1" ht="15.75" x14ac:dyDescent="0.25">
      <c r="A5" s="310" t="s">
        <v>584</v>
      </c>
      <c r="B5" s="310"/>
      <c r="C5" s="310"/>
      <c r="D5" s="83"/>
      <c r="E5" s="83"/>
      <c r="F5" s="83"/>
      <c r="G5" s="83"/>
      <c r="H5" s="83"/>
      <c r="I5" s="83"/>
      <c r="J5" s="83"/>
    </row>
    <row r="6" spans="1:22" s="7" customFormat="1" ht="18.75" x14ac:dyDescent="0.3">
      <c r="A6" s="12"/>
      <c r="H6" s="11"/>
    </row>
    <row r="7" spans="1:22" s="7" customFormat="1" ht="18.75" x14ac:dyDescent="0.2">
      <c r="A7" s="314" t="s">
        <v>7</v>
      </c>
      <c r="B7" s="314"/>
      <c r="C7" s="31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7" t="s">
        <v>558</v>
      </c>
      <c r="B9" s="317"/>
      <c r="C9" s="317"/>
      <c r="D9" s="6"/>
      <c r="E9" s="6"/>
      <c r="F9" s="6"/>
      <c r="G9" s="6"/>
      <c r="H9" s="6"/>
      <c r="I9" s="9"/>
      <c r="J9" s="9"/>
      <c r="K9" s="9"/>
      <c r="L9" s="9"/>
      <c r="M9" s="9"/>
      <c r="N9" s="9"/>
      <c r="O9" s="9"/>
      <c r="P9" s="9"/>
      <c r="Q9" s="9"/>
      <c r="R9" s="9"/>
      <c r="S9" s="9"/>
      <c r="T9" s="9"/>
      <c r="U9" s="9"/>
      <c r="V9" s="9"/>
    </row>
    <row r="10" spans="1:22" s="7" customFormat="1" ht="18.75" x14ac:dyDescent="0.2">
      <c r="A10" s="311" t="s">
        <v>6</v>
      </c>
      <c r="B10" s="311"/>
      <c r="C10" s="31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586</v>
      </c>
      <c r="B12" s="315"/>
      <c r="C12" s="315"/>
      <c r="D12" s="6"/>
      <c r="E12" s="6"/>
      <c r="F12" s="6"/>
      <c r="G12" s="6"/>
      <c r="H12" s="6"/>
      <c r="I12" s="9"/>
      <c r="J12" s="9"/>
      <c r="K12" s="9"/>
      <c r="L12" s="9"/>
      <c r="M12" s="9"/>
      <c r="N12" s="9"/>
      <c r="O12" s="9"/>
      <c r="P12" s="9"/>
      <c r="Q12" s="9"/>
      <c r="R12" s="9"/>
      <c r="S12" s="9"/>
      <c r="T12" s="9"/>
      <c r="U12" s="9"/>
      <c r="V12" s="9"/>
    </row>
    <row r="13" spans="1:22" s="7" customFormat="1" ht="18.75" x14ac:dyDescent="0.2">
      <c r="A13" s="311" t="s">
        <v>5</v>
      </c>
      <c r="B13" s="311"/>
      <c r="C13" s="311"/>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84.75" customHeight="1" x14ac:dyDescent="0.2">
      <c r="A15" s="316" t="s">
        <v>587</v>
      </c>
      <c r="B15" s="316"/>
      <c r="C15" s="316"/>
      <c r="D15" s="6"/>
      <c r="E15" s="6"/>
      <c r="F15" s="6"/>
      <c r="G15" s="6"/>
      <c r="H15" s="6"/>
      <c r="I15" s="6"/>
      <c r="J15" s="6"/>
      <c r="K15" s="6"/>
      <c r="L15" s="6"/>
      <c r="M15" s="6"/>
      <c r="N15" s="6"/>
      <c r="O15" s="6"/>
      <c r="P15" s="6"/>
      <c r="Q15" s="6"/>
      <c r="R15" s="6"/>
      <c r="S15" s="6"/>
      <c r="T15" s="6"/>
      <c r="U15" s="6"/>
      <c r="V15" s="6"/>
    </row>
    <row r="16" spans="1:22" s="2" customFormat="1" ht="15" customHeight="1" x14ac:dyDescent="0.2">
      <c r="A16" s="311" t="s">
        <v>4</v>
      </c>
      <c r="B16" s="311"/>
      <c r="C16" s="31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2" t="s">
        <v>408</v>
      </c>
      <c r="B18" s="313"/>
      <c r="C18" s="31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5" t="s">
        <v>3</v>
      </c>
      <c r="B20" s="19" t="s">
        <v>64</v>
      </c>
      <c r="C20" s="18" t="s">
        <v>63</v>
      </c>
      <c r="D20" s="4"/>
      <c r="E20" s="4"/>
      <c r="F20" s="4"/>
      <c r="G20" s="4"/>
      <c r="H20" s="4"/>
      <c r="I20" s="3"/>
      <c r="J20" s="3"/>
      <c r="K20" s="3"/>
      <c r="L20" s="3"/>
      <c r="M20" s="3"/>
      <c r="N20" s="3"/>
      <c r="O20" s="3"/>
      <c r="P20" s="3"/>
      <c r="Q20" s="3"/>
      <c r="R20" s="3"/>
      <c r="S20" s="3"/>
    </row>
    <row r="21" spans="1:22" s="2" customFormat="1" ht="16.5" customHeight="1" x14ac:dyDescent="0.2">
      <c r="A21" s="18">
        <v>1</v>
      </c>
      <c r="B21" s="19">
        <v>2</v>
      </c>
      <c r="C21" s="18">
        <v>3</v>
      </c>
      <c r="D21" s="4"/>
      <c r="E21" s="4"/>
      <c r="F21" s="4"/>
      <c r="G21" s="4"/>
      <c r="H21" s="4"/>
      <c r="I21" s="3"/>
      <c r="J21" s="3"/>
      <c r="K21" s="3"/>
      <c r="L21" s="3"/>
      <c r="M21" s="3"/>
      <c r="N21" s="3"/>
      <c r="O21" s="3"/>
      <c r="P21" s="3"/>
      <c r="Q21" s="3"/>
      <c r="R21" s="3"/>
      <c r="S21" s="3"/>
    </row>
    <row r="22" spans="1:22" s="2" customFormat="1" ht="39" customHeight="1" x14ac:dyDescent="0.2">
      <c r="A22" s="14" t="s">
        <v>62</v>
      </c>
      <c r="B22" s="22" t="s">
        <v>290</v>
      </c>
      <c r="C22" s="21" t="s">
        <v>560</v>
      </c>
      <c r="D22" s="4"/>
      <c r="E22" s="4"/>
      <c r="F22" s="4"/>
      <c r="G22" s="4"/>
      <c r="H22" s="4"/>
      <c r="I22" s="3"/>
      <c r="J22" s="3"/>
      <c r="K22" s="3"/>
      <c r="L22" s="3"/>
      <c r="M22" s="3"/>
      <c r="N22" s="3"/>
      <c r="O22" s="3"/>
      <c r="P22" s="3"/>
      <c r="Q22" s="3"/>
      <c r="R22" s="3"/>
      <c r="S22" s="3"/>
    </row>
    <row r="23" spans="1:22" s="2" customFormat="1" ht="31.5" x14ac:dyDescent="0.2">
      <c r="A23" s="14" t="s">
        <v>61</v>
      </c>
      <c r="B23" s="17" t="s">
        <v>536</v>
      </c>
      <c r="C23" s="21" t="s">
        <v>561</v>
      </c>
      <c r="D23" s="4"/>
      <c r="E23" s="4"/>
      <c r="F23" s="4"/>
      <c r="G23" s="4"/>
      <c r="H23" s="4"/>
      <c r="I23" s="3"/>
      <c r="J23" s="3"/>
      <c r="K23" s="3"/>
      <c r="L23" s="3"/>
      <c r="M23" s="3"/>
      <c r="N23" s="3"/>
      <c r="O23" s="3"/>
      <c r="P23" s="3"/>
      <c r="Q23" s="3"/>
      <c r="R23" s="3"/>
      <c r="S23" s="3"/>
    </row>
    <row r="24" spans="1:22" s="2" customFormat="1" ht="22.5" customHeight="1" x14ac:dyDescent="0.2">
      <c r="A24" s="304"/>
      <c r="B24" s="305"/>
      <c r="C24" s="306"/>
      <c r="D24" s="4"/>
      <c r="E24" s="4"/>
      <c r="F24" s="4"/>
      <c r="G24" s="4"/>
      <c r="H24" s="4"/>
      <c r="I24" s="3"/>
      <c r="J24" s="3"/>
      <c r="K24" s="3"/>
      <c r="L24" s="3"/>
      <c r="M24" s="3"/>
      <c r="N24" s="3"/>
      <c r="O24" s="3"/>
      <c r="P24" s="3"/>
      <c r="Q24" s="3"/>
      <c r="R24" s="3"/>
      <c r="S24" s="3"/>
    </row>
    <row r="25" spans="1:22" s="2" customFormat="1" ht="58.5" customHeight="1" x14ac:dyDescent="0.2">
      <c r="A25" s="14" t="s">
        <v>60</v>
      </c>
      <c r="B25" s="21" t="s">
        <v>357</v>
      </c>
      <c r="C25" s="15" t="s">
        <v>540</v>
      </c>
      <c r="D25" s="4"/>
      <c r="E25" s="4"/>
      <c r="F25" s="4"/>
      <c r="G25" s="4"/>
      <c r="H25" s="3"/>
      <c r="I25" s="3"/>
      <c r="J25" s="3"/>
      <c r="K25" s="3"/>
      <c r="L25" s="3"/>
      <c r="M25" s="3"/>
      <c r="N25" s="3"/>
      <c r="O25" s="3"/>
      <c r="P25" s="3"/>
      <c r="Q25" s="3"/>
      <c r="R25" s="3"/>
    </row>
    <row r="26" spans="1:22" s="2" customFormat="1" ht="42.75" customHeight="1" x14ac:dyDescent="0.2">
      <c r="A26" s="14" t="s">
        <v>59</v>
      </c>
      <c r="B26" s="21" t="s">
        <v>72</v>
      </c>
      <c r="C26" s="15" t="s">
        <v>423</v>
      </c>
      <c r="D26" s="4"/>
      <c r="E26" s="4"/>
      <c r="F26" s="4"/>
      <c r="G26" s="4"/>
      <c r="H26" s="3"/>
      <c r="I26" s="3"/>
      <c r="J26" s="3"/>
      <c r="K26" s="3"/>
      <c r="L26" s="3"/>
      <c r="M26" s="3"/>
      <c r="N26" s="3"/>
      <c r="O26" s="3"/>
      <c r="P26" s="3"/>
      <c r="Q26" s="3"/>
      <c r="R26" s="3"/>
    </row>
    <row r="27" spans="1:22" s="2" customFormat="1" ht="51.75" customHeight="1" x14ac:dyDescent="0.2">
      <c r="A27" s="14" t="s">
        <v>57</v>
      </c>
      <c r="B27" s="21" t="s">
        <v>71</v>
      </c>
      <c r="C27" s="15" t="s">
        <v>588</v>
      </c>
      <c r="D27" s="4"/>
      <c r="E27" s="4"/>
      <c r="F27" s="4"/>
      <c r="G27" s="4"/>
      <c r="H27" s="3"/>
      <c r="I27" s="3"/>
      <c r="J27" s="3"/>
      <c r="K27" s="3"/>
      <c r="L27" s="3"/>
      <c r="M27" s="3"/>
      <c r="N27" s="3"/>
      <c r="O27" s="3"/>
      <c r="P27" s="3"/>
      <c r="Q27" s="3"/>
      <c r="R27" s="3"/>
    </row>
    <row r="28" spans="1:22" s="2" customFormat="1" ht="42.75" customHeight="1" x14ac:dyDescent="0.2">
      <c r="A28" s="14" t="s">
        <v>56</v>
      </c>
      <c r="B28" s="21" t="s">
        <v>358</v>
      </c>
      <c r="C28" s="15" t="s">
        <v>436</v>
      </c>
      <c r="D28" s="4"/>
      <c r="E28" s="4"/>
      <c r="F28" s="4"/>
      <c r="G28" s="4"/>
      <c r="H28" s="3"/>
      <c r="I28" s="3"/>
      <c r="J28" s="3"/>
      <c r="K28" s="3"/>
      <c r="L28" s="3"/>
      <c r="M28" s="3"/>
      <c r="N28" s="3"/>
      <c r="O28" s="3"/>
      <c r="P28" s="3"/>
      <c r="Q28" s="3"/>
      <c r="R28" s="3"/>
    </row>
    <row r="29" spans="1:22" s="2" customFormat="1" ht="51.75" customHeight="1" x14ac:dyDescent="0.2">
      <c r="A29" s="14" t="s">
        <v>54</v>
      </c>
      <c r="B29" s="21" t="s">
        <v>359</v>
      </c>
      <c r="C29" s="15" t="s">
        <v>436</v>
      </c>
      <c r="D29" s="4"/>
      <c r="E29" s="4"/>
      <c r="F29" s="4"/>
      <c r="G29" s="4"/>
      <c r="H29" s="3"/>
      <c r="I29" s="3"/>
      <c r="J29" s="3"/>
      <c r="K29" s="3"/>
      <c r="L29" s="3"/>
      <c r="M29" s="3"/>
      <c r="N29" s="3"/>
      <c r="O29" s="3"/>
      <c r="P29" s="3"/>
      <c r="Q29" s="3"/>
      <c r="R29" s="3"/>
    </row>
    <row r="30" spans="1:22" s="2" customFormat="1" ht="51.75" customHeight="1" x14ac:dyDescent="0.2">
      <c r="A30" s="14" t="s">
        <v>52</v>
      </c>
      <c r="B30" s="21" t="s">
        <v>360</v>
      </c>
      <c r="C30" s="15" t="s">
        <v>436</v>
      </c>
      <c r="D30" s="4"/>
      <c r="E30" s="4"/>
      <c r="F30" s="4"/>
      <c r="G30" s="4"/>
      <c r="H30" s="3"/>
      <c r="I30" s="3"/>
      <c r="J30" s="3"/>
      <c r="K30" s="3"/>
      <c r="L30" s="3"/>
      <c r="M30" s="3"/>
      <c r="N30" s="3"/>
      <c r="O30" s="3"/>
      <c r="P30" s="3"/>
      <c r="Q30" s="3"/>
      <c r="R30" s="3"/>
    </row>
    <row r="31" spans="1:22" s="2" customFormat="1" ht="51.75" customHeight="1" x14ac:dyDescent="0.2">
      <c r="A31" s="14" t="s">
        <v>70</v>
      </c>
      <c r="B31" s="21" t="s">
        <v>361</v>
      </c>
      <c r="C31" s="15" t="s">
        <v>437</v>
      </c>
      <c r="D31" s="4"/>
      <c r="E31" s="4"/>
      <c r="F31" s="4"/>
      <c r="G31" s="4"/>
      <c r="H31" s="3"/>
      <c r="I31" s="3"/>
      <c r="J31" s="3"/>
      <c r="K31" s="3"/>
      <c r="L31" s="3"/>
      <c r="M31" s="3"/>
      <c r="N31" s="3"/>
      <c r="O31" s="3"/>
      <c r="P31" s="3"/>
      <c r="Q31" s="3"/>
      <c r="R31" s="3"/>
    </row>
    <row r="32" spans="1:22" s="2" customFormat="1" ht="51.75" customHeight="1" x14ac:dyDescent="0.2">
      <c r="A32" s="14" t="s">
        <v>68</v>
      </c>
      <c r="B32" s="21" t="s">
        <v>362</v>
      </c>
      <c r="C32" s="15" t="s">
        <v>437</v>
      </c>
      <c r="D32" s="4"/>
      <c r="E32" s="4"/>
      <c r="F32" s="4"/>
      <c r="G32" s="4"/>
      <c r="H32" s="3"/>
      <c r="I32" s="3"/>
      <c r="J32" s="3"/>
      <c r="K32" s="3"/>
      <c r="L32" s="3"/>
      <c r="M32" s="3"/>
      <c r="N32" s="3"/>
      <c r="O32" s="3"/>
      <c r="P32" s="3"/>
      <c r="Q32" s="3"/>
      <c r="R32" s="3"/>
    </row>
    <row r="33" spans="1:18" s="2" customFormat="1" ht="101.25" customHeight="1" x14ac:dyDescent="0.2">
      <c r="A33" s="14" t="s">
        <v>67</v>
      </c>
      <c r="B33" s="21" t="s">
        <v>363</v>
      </c>
      <c r="C33" s="21" t="s">
        <v>548</v>
      </c>
      <c r="D33" s="4"/>
      <c r="E33" s="4"/>
      <c r="F33" s="4"/>
      <c r="G33" s="4"/>
      <c r="H33" s="3"/>
      <c r="I33" s="3"/>
      <c r="J33" s="3"/>
      <c r="K33" s="3"/>
      <c r="L33" s="3"/>
      <c r="M33" s="3"/>
      <c r="N33" s="3"/>
      <c r="O33" s="3"/>
      <c r="P33" s="3"/>
      <c r="Q33" s="3"/>
      <c r="R33" s="3"/>
    </row>
    <row r="34" spans="1:18" ht="111" customHeight="1" x14ac:dyDescent="0.25">
      <c r="A34" s="14" t="s">
        <v>377</v>
      </c>
      <c r="B34" s="21" t="s">
        <v>364</v>
      </c>
      <c r="C34" s="15" t="s">
        <v>430</v>
      </c>
    </row>
    <row r="35" spans="1:18" ht="58.5" customHeight="1" x14ac:dyDescent="0.25">
      <c r="A35" s="14" t="s">
        <v>367</v>
      </c>
      <c r="B35" s="21" t="s">
        <v>69</v>
      </c>
      <c r="C35" s="15" t="s">
        <v>436</v>
      </c>
    </row>
    <row r="36" spans="1:18" ht="51.75" customHeight="1" x14ac:dyDescent="0.25">
      <c r="A36" s="14" t="s">
        <v>378</v>
      </c>
      <c r="B36" s="21" t="s">
        <v>365</v>
      </c>
      <c r="C36" s="15" t="s">
        <v>436</v>
      </c>
    </row>
    <row r="37" spans="1:18" ht="43.5" customHeight="1" x14ac:dyDescent="0.25">
      <c r="A37" s="14" t="s">
        <v>368</v>
      </c>
      <c r="B37" s="21" t="s">
        <v>366</v>
      </c>
      <c r="C37" s="15" t="s">
        <v>436</v>
      </c>
    </row>
    <row r="38" spans="1:18" ht="43.5" customHeight="1" x14ac:dyDescent="0.25">
      <c r="A38" s="14" t="s">
        <v>379</v>
      </c>
      <c r="B38" s="21" t="s">
        <v>209</v>
      </c>
      <c r="C38" s="15" t="s">
        <v>436</v>
      </c>
    </row>
    <row r="39" spans="1:18" ht="23.25" customHeight="1" x14ac:dyDescent="0.25">
      <c r="A39" s="304"/>
      <c r="B39" s="305"/>
      <c r="C39" s="306"/>
    </row>
    <row r="40" spans="1:18" ht="63" x14ac:dyDescent="0.25">
      <c r="A40" s="14" t="s">
        <v>369</v>
      </c>
      <c r="B40" s="21" t="s">
        <v>420</v>
      </c>
      <c r="C40" s="280" t="s">
        <v>581</v>
      </c>
    </row>
    <row r="41" spans="1:18" ht="169.5" customHeight="1" x14ac:dyDescent="0.25">
      <c r="A41" s="14" t="s">
        <v>380</v>
      </c>
      <c r="B41" s="21" t="s">
        <v>403</v>
      </c>
      <c r="C41" s="119" t="s">
        <v>297</v>
      </c>
    </row>
    <row r="42" spans="1:18" ht="162.75" customHeight="1" x14ac:dyDescent="0.25">
      <c r="A42" s="14" t="s">
        <v>370</v>
      </c>
      <c r="B42" s="21" t="s">
        <v>417</v>
      </c>
      <c r="C42" s="119" t="str">
        <f>A15</f>
        <v>Приобретение ВЛ-15кВ № 15-298 г. Светлый</v>
      </c>
    </row>
    <row r="43" spans="1:18" ht="186" customHeight="1" x14ac:dyDescent="0.25">
      <c r="A43" s="14" t="s">
        <v>383</v>
      </c>
      <c r="B43" s="21" t="s">
        <v>384</v>
      </c>
      <c r="C43" s="85" t="s">
        <v>544</v>
      </c>
    </row>
    <row r="44" spans="1:18" ht="111" customHeight="1" x14ac:dyDescent="0.25">
      <c r="A44" s="117" t="s">
        <v>371</v>
      </c>
      <c r="B44" s="119" t="s">
        <v>409</v>
      </c>
      <c r="C44" s="284" t="s">
        <v>540</v>
      </c>
    </row>
    <row r="45" spans="1:18" ht="120" customHeight="1" x14ac:dyDescent="0.25">
      <c r="A45" s="117" t="s">
        <v>404</v>
      </c>
      <c r="B45" s="119" t="s">
        <v>410</v>
      </c>
      <c r="C45" s="282">
        <f>11/16</f>
        <v>0.6875</v>
      </c>
    </row>
    <row r="46" spans="1:18" ht="101.25" customHeight="1" x14ac:dyDescent="0.25">
      <c r="A46" s="117" t="s">
        <v>372</v>
      </c>
      <c r="B46" s="119" t="s">
        <v>411</v>
      </c>
      <c r="C46" s="281" t="s">
        <v>439</v>
      </c>
    </row>
    <row r="47" spans="1:18" ht="18.75" customHeight="1" x14ac:dyDescent="0.25">
      <c r="A47" s="307"/>
      <c r="B47" s="308"/>
      <c r="C47" s="309"/>
    </row>
    <row r="48" spans="1:18" ht="75.75" hidden="1" customHeight="1" x14ac:dyDescent="0.25">
      <c r="A48" s="117" t="s">
        <v>405</v>
      </c>
      <c r="B48" s="119" t="s">
        <v>418</v>
      </c>
      <c r="C48" s="283" t="str">
        <f>CONCATENATE(ROUND('6.2. Паспорт фин осв ввод факт'!AB24,2)," млн.руб.")</f>
        <v>294,53 млн.руб.</v>
      </c>
      <c r="D48" s="1" t="s">
        <v>542</v>
      </c>
    </row>
    <row r="49" spans="1:4" ht="71.25" hidden="1" customHeight="1" x14ac:dyDescent="0.25">
      <c r="A49" s="117" t="s">
        <v>373</v>
      </c>
      <c r="B49" s="119" t="s">
        <v>419</v>
      </c>
      <c r="C49" s="283" t="str">
        <f>CONCATENATE(ROUND('6.2. Паспорт фин осв ввод факт'!AB30,2)," млн.руб.")</f>
        <v>249,6 млн.руб.</v>
      </c>
      <c r="D49" s="1" t="s">
        <v>542</v>
      </c>
    </row>
    <row r="50" spans="1:4" ht="75.75" customHeight="1" x14ac:dyDescent="0.25">
      <c r="A50" s="117" t="s">
        <v>405</v>
      </c>
      <c r="B50" s="119" t="s">
        <v>418</v>
      </c>
      <c r="C50" s="283">
        <f>'6.2. Паспорт фин осв ввод'!D24</f>
        <v>1.2</v>
      </c>
      <c r="D50" s="1" t="s">
        <v>543</v>
      </c>
    </row>
    <row r="51" spans="1:4" ht="71.25" customHeight="1" x14ac:dyDescent="0.25">
      <c r="A51" s="14" t="s">
        <v>373</v>
      </c>
      <c r="B51" s="21" t="s">
        <v>419</v>
      </c>
      <c r="C51" s="164">
        <f>'6.2. Паспорт фин осв ввод'!D30</f>
        <v>1</v>
      </c>
      <c r="D51" s="1" t="s">
        <v>543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1" customWidth="1"/>
    <col min="8" max="27" width="9.28515625" style="31" customWidth="1"/>
    <col min="28" max="28" width="13.140625" style="31" customWidth="1"/>
    <col min="29" max="29" width="24.85546875" style="31" customWidth="1"/>
    <col min="30" max="30" width="9.140625" style="31"/>
    <col min="31" max="31" width="10.7109375" style="31" bestFit="1" customWidth="1"/>
    <col min="32" max="32" width="9.5703125" style="31" bestFit="1" customWidth="1"/>
    <col min="33" max="16384" width="9.140625" style="31"/>
  </cols>
  <sheetData>
    <row r="1" spans="1:29" ht="18.75" x14ac:dyDescent="0.25">
      <c r="AC1" s="20" t="s">
        <v>66</v>
      </c>
    </row>
    <row r="2" spans="1:29" ht="18.75" x14ac:dyDescent="0.3">
      <c r="AC2" s="11" t="s">
        <v>8</v>
      </c>
    </row>
    <row r="3" spans="1:29" ht="18.75" x14ac:dyDescent="0.3">
      <c r="AC3" s="11" t="s">
        <v>65</v>
      </c>
    </row>
    <row r="4" spans="1:29" ht="18.75" customHeight="1" x14ac:dyDescent="0.25">
      <c r="A4" s="379" t="str">
        <f>'1. паспорт местоположение'!A5:C5</f>
        <v>Год раскрытия информации: 2023 год</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c r="AC4" s="379"/>
    </row>
    <row r="5" spans="1:29" ht="18.75" x14ac:dyDescent="0.3">
      <c r="AC5" s="11"/>
    </row>
    <row r="6" spans="1:29" ht="18.75" x14ac:dyDescent="0.25">
      <c r="A6" s="314" t="s">
        <v>7</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row>
    <row r="7" spans="1:29" ht="18.75" x14ac:dyDescent="0.25">
      <c r="A7" s="9"/>
      <c r="B7" s="9"/>
      <c r="C7" s="9"/>
      <c r="D7" s="9"/>
      <c r="E7" s="9"/>
      <c r="F7" s="9"/>
      <c r="G7" s="9"/>
      <c r="H7" s="9"/>
      <c r="I7" s="9"/>
      <c r="J7" s="50"/>
      <c r="K7" s="50"/>
      <c r="L7" s="50"/>
      <c r="M7" s="50"/>
      <c r="N7" s="50"/>
      <c r="O7" s="50"/>
      <c r="P7" s="50"/>
      <c r="Q7" s="50"/>
      <c r="R7" s="50"/>
      <c r="S7" s="50"/>
      <c r="T7" s="50"/>
      <c r="U7" s="50"/>
      <c r="V7" s="50"/>
      <c r="W7" s="50"/>
      <c r="X7" s="50"/>
      <c r="Y7" s="50"/>
      <c r="Z7" s="50"/>
      <c r="AA7" s="50"/>
      <c r="AB7" s="50"/>
      <c r="AC7" s="50"/>
    </row>
    <row r="8" spans="1:29" x14ac:dyDescent="0.25">
      <c r="A8" s="380" t="str">
        <f>'1. паспорт местоположение'!A9:C9</f>
        <v xml:space="preserve">Акционерное общество "Западная энергетическая компания" </v>
      </c>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row>
    <row r="9" spans="1:29" ht="18.75" customHeight="1" x14ac:dyDescent="0.25">
      <c r="A9" s="311" t="s">
        <v>6</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row>
    <row r="10" spans="1:29" ht="18.75" x14ac:dyDescent="0.25">
      <c r="A10" s="9"/>
      <c r="B10" s="9"/>
      <c r="C10" s="9"/>
      <c r="D10" s="9"/>
      <c r="E10" s="9"/>
      <c r="F10" s="9"/>
      <c r="G10" s="9"/>
      <c r="H10" s="9"/>
      <c r="I10" s="9"/>
      <c r="J10" s="50"/>
      <c r="K10" s="50"/>
      <c r="L10" s="50"/>
      <c r="M10" s="50"/>
      <c r="N10" s="50"/>
      <c r="O10" s="50"/>
      <c r="P10" s="50"/>
      <c r="Q10" s="50"/>
      <c r="R10" s="50"/>
      <c r="S10" s="50"/>
      <c r="T10" s="50"/>
      <c r="U10" s="50"/>
      <c r="V10" s="50"/>
      <c r="W10" s="50"/>
      <c r="X10" s="50"/>
      <c r="Y10" s="50"/>
      <c r="Z10" s="50"/>
      <c r="AA10" s="50"/>
      <c r="AB10" s="50"/>
      <c r="AC10" s="50"/>
    </row>
    <row r="11" spans="1:29" x14ac:dyDescent="0.25">
      <c r="A11" s="380" t="str">
        <f>'1. паспорт местоположение'!A12:C12</f>
        <v>M 22-28</v>
      </c>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row>
    <row r="12" spans="1:29" x14ac:dyDescent="0.25">
      <c r="A12" s="311" t="s">
        <v>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row>
    <row r="13" spans="1:29" ht="16.5" customHeight="1" x14ac:dyDescent="0.3">
      <c r="A13" s="8"/>
      <c r="B13" s="8"/>
      <c r="C13" s="8"/>
      <c r="D13" s="8"/>
      <c r="E13" s="8"/>
      <c r="F13" s="8"/>
      <c r="G13" s="8"/>
      <c r="H13" s="8"/>
      <c r="I13" s="8"/>
      <c r="J13" s="49"/>
      <c r="K13" s="49"/>
      <c r="L13" s="49"/>
      <c r="M13" s="49"/>
      <c r="N13" s="49"/>
      <c r="O13" s="49"/>
      <c r="P13" s="49"/>
      <c r="Q13" s="49"/>
      <c r="R13" s="49"/>
      <c r="S13" s="49"/>
      <c r="T13" s="49"/>
      <c r="U13" s="49"/>
      <c r="V13" s="49"/>
      <c r="W13" s="49"/>
      <c r="X13" s="49"/>
      <c r="Y13" s="49"/>
      <c r="Z13" s="49"/>
      <c r="AA13" s="49"/>
      <c r="AB13" s="49"/>
      <c r="AC13" s="49"/>
    </row>
    <row r="14" spans="1:29" ht="35.25" customHeight="1" x14ac:dyDescent="0.25">
      <c r="A14" s="381" t="str">
        <f>'1. паспорт местоположение'!A15:C15</f>
        <v>Приобретение ВЛ-15кВ № 15-298 г. Светлый</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11" t="s">
        <v>4</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29"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8" spans="1:32" x14ac:dyDescent="0.25">
      <c r="A18" s="384" t="s">
        <v>393</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73" t="s">
        <v>183</v>
      </c>
      <c r="B20" s="373" t="s">
        <v>182</v>
      </c>
      <c r="C20" s="369" t="s">
        <v>181</v>
      </c>
      <c r="D20" s="369"/>
      <c r="E20" s="383" t="s">
        <v>180</v>
      </c>
      <c r="F20" s="383"/>
      <c r="G20" s="373" t="s">
        <v>424</v>
      </c>
      <c r="H20" s="376" t="s">
        <v>425</v>
      </c>
      <c r="I20" s="377"/>
      <c r="J20" s="377"/>
      <c r="K20" s="377"/>
      <c r="L20" s="376" t="s">
        <v>426</v>
      </c>
      <c r="M20" s="377"/>
      <c r="N20" s="377"/>
      <c r="O20" s="377"/>
      <c r="P20" s="376" t="s">
        <v>427</v>
      </c>
      <c r="Q20" s="377"/>
      <c r="R20" s="377"/>
      <c r="S20" s="377"/>
      <c r="T20" s="376" t="s">
        <v>441</v>
      </c>
      <c r="U20" s="377"/>
      <c r="V20" s="377"/>
      <c r="W20" s="377"/>
      <c r="X20" s="376" t="s">
        <v>442</v>
      </c>
      <c r="Y20" s="377"/>
      <c r="Z20" s="377"/>
      <c r="AA20" s="377"/>
      <c r="AB20" s="385" t="s">
        <v>179</v>
      </c>
      <c r="AC20" s="385"/>
      <c r="AD20" s="48"/>
      <c r="AE20" s="48"/>
      <c r="AF20" s="48"/>
    </row>
    <row r="21" spans="1:32" ht="99.75" customHeight="1" x14ac:dyDescent="0.25">
      <c r="A21" s="374"/>
      <c r="B21" s="374"/>
      <c r="C21" s="369"/>
      <c r="D21" s="369"/>
      <c r="E21" s="383"/>
      <c r="F21" s="383"/>
      <c r="G21" s="374"/>
      <c r="H21" s="369" t="s">
        <v>2</v>
      </c>
      <c r="I21" s="369"/>
      <c r="J21" s="369" t="s">
        <v>9</v>
      </c>
      <c r="K21" s="369"/>
      <c r="L21" s="369" t="s">
        <v>2</v>
      </c>
      <c r="M21" s="369"/>
      <c r="N21" s="369" t="s">
        <v>9</v>
      </c>
      <c r="O21" s="369"/>
      <c r="P21" s="369" t="s">
        <v>2</v>
      </c>
      <c r="Q21" s="369"/>
      <c r="R21" s="369" t="s">
        <v>178</v>
      </c>
      <c r="S21" s="369"/>
      <c r="T21" s="369" t="s">
        <v>2</v>
      </c>
      <c r="U21" s="369"/>
      <c r="V21" s="369" t="s">
        <v>178</v>
      </c>
      <c r="W21" s="369"/>
      <c r="X21" s="369" t="s">
        <v>2</v>
      </c>
      <c r="Y21" s="369"/>
      <c r="Z21" s="369" t="s">
        <v>178</v>
      </c>
      <c r="AA21" s="369"/>
      <c r="AB21" s="385"/>
      <c r="AC21" s="385"/>
    </row>
    <row r="22" spans="1:32" ht="89.25" customHeight="1" x14ac:dyDescent="0.25">
      <c r="A22" s="375"/>
      <c r="B22" s="375"/>
      <c r="C22" s="45" t="s">
        <v>2</v>
      </c>
      <c r="D22" s="45" t="s">
        <v>178</v>
      </c>
      <c r="E22" s="47" t="s">
        <v>440</v>
      </c>
      <c r="F22" s="47" t="s">
        <v>485</v>
      </c>
      <c r="G22" s="375"/>
      <c r="H22" s="46" t="s">
        <v>374</v>
      </c>
      <c r="I22" s="46" t="s">
        <v>375</v>
      </c>
      <c r="J22" s="46" t="s">
        <v>374</v>
      </c>
      <c r="K22" s="46" t="s">
        <v>375</v>
      </c>
      <c r="L22" s="46" t="s">
        <v>374</v>
      </c>
      <c r="M22" s="46" t="s">
        <v>375</v>
      </c>
      <c r="N22" s="46" t="s">
        <v>374</v>
      </c>
      <c r="O22" s="46" t="s">
        <v>375</v>
      </c>
      <c r="P22" s="46" t="s">
        <v>374</v>
      </c>
      <c r="Q22" s="46" t="s">
        <v>375</v>
      </c>
      <c r="R22" s="46" t="s">
        <v>374</v>
      </c>
      <c r="S22" s="46" t="s">
        <v>375</v>
      </c>
      <c r="T22" s="46" t="s">
        <v>374</v>
      </c>
      <c r="U22" s="46" t="s">
        <v>375</v>
      </c>
      <c r="V22" s="46" t="s">
        <v>374</v>
      </c>
      <c r="W22" s="46" t="s">
        <v>375</v>
      </c>
      <c r="X22" s="46" t="s">
        <v>374</v>
      </c>
      <c r="Y22" s="46" t="s">
        <v>375</v>
      </c>
      <c r="Z22" s="46" t="s">
        <v>374</v>
      </c>
      <c r="AA22" s="46" t="s">
        <v>375</v>
      </c>
      <c r="AB22" s="45" t="s">
        <v>2</v>
      </c>
      <c r="AC22" s="45" t="s">
        <v>9</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12</v>
      </c>
      <c r="U23" s="38">
        <v>13</v>
      </c>
      <c r="V23" s="38">
        <v>14</v>
      </c>
      <c r="W23" s="38">
        <v>15</v>
      </c>
      <c r="X23" s="38">
        <v>16</v>
      </c>
      <c r="Y23" s="38">
        <v>17</v>
      </c>
      <c r="Z23" s="38">
        <v>18</v>
      </c>
      <c r="AA23" s="38">
        <v>19</v>
      </c>
      <c r="AB23" s="38">
        <v>20</v>
      </c>
      <c r="AC23" s="38">
        <f t="shared" ref="AC23" si="0">AB23+1</f>
        <v>21</v>
      </c>
    </row>
    <row r="24" spans="1:32" ht="47.25" customHeight="1" x14ac:dyDescent="0.25">
      <c r="A24" s="43">
        <v>1</v>
      </c>
      <c r="B24" s="42" t="s">
        <v>177</v>
      </c>
      <c r="C24" s="91">
        <f>SUM(C25:C29)</f>
        <v>294.53059319620257</v>
      </c>
      <c r="D24" s="91">
        <v>0</v>
      </c>
      <c r="E24" s="91">
        <f>SUM(E25:E29)</f>
        <v>294.53059319620257</v>
      </c>
      <c r="F24" s="91">
        <f>SUM(F25:F29)</f>
        <v>293.97652119620255</v>
      </c>
      <c r="G24" s="91">
        <f t="shared" ref="G24" si="1">SUM(G25:G29)</f>
        <v>0</v>
      </c>
      <c r="H24" s="91">
        <f t="shared" ref="H24:M24" si="2">SUM(H25:H29)</f>
        <v>0.55407200000000001</v>
      </c>
      <c r="I24" s="91">
        <f t="shared" si="2"/>
        <v>0</v>
      </c>
      <c r="J24" s="91">
        <f t="shared" si="2"/>
        <v>0.55407200000000001</v>
      </c>
      <c r="K24" s="91">
        <f t="shared" si="2"/>
        <v>0</v>
      </c>
      <c r="L24" s="91">
        <f t="shared" si="2"/>
        <v>160.58748429999991</v>
      </c>
      <c r="M24" s="91">
        <f t="shared" si="2"/>
        <v>128.46998823999991</v>
      </c>
      <c r="N24" s="91">
        <f t="shared" ref="N24" si="3">SUM(N25:N29)</f>
        <v>134.10904273</v>
      </c>
      <c r="O24" s="91">
        <f t="shared" ref="O24:AA24" si="4">SUM(O25:O29)</f>
        <v>101.99154667000002</v>
      </c>
      <c r="P24" s="91">
        <f t="shared" si="4"/>
        <v>133.38903689620324</v>
      </c>
      <c r="Q24" s="91">
        <f t="shared" si="4"/>
        <v>0</v>
      </c>
      <c r="R24" s="91">
        <f t="shared" si="4"/>
        <v>0</v>
      </c>
      <c r="S24" s="91">
        <f t="shared" si="4"/>
        <v>0</v>
      </c>
      <c r="T24" s="91">
        <f t="shared" si="4"/>
        <v>0</v>
      </c>
      <c r="U24" s="91">
        <f t="shared" si="4"/>
        <v>0</v>
      </c>
      <c r="V24" s="91">
        <f t="shared" si="4"/>
        <v>0</v>
      </c>
      <c r="W24" s="91">
        <f t="shared" si="4"/>
        <v>0</v>
      </c>
      <c r="X24" s="91">
        <f t="shared" si="4"/>
        <v>0</v>
      </c>
      <c r="Y24" s="91">
        <f t="shared" si="4"/>
        <v>0</v>
      </c>
      <c r="Z24" s="91">
        <f t="shared" si="4"/>
        <v>0</v>
      </c>
      <c r="AA24" s="91">
        <f t="shared" si="4"/>
        <v>0</v>
      </c>
      <c r="AB24" s="95">
        <f t="shared" ref="AB24:AB64" si="5">SUM(H24,L24,P24,T24,X24)</f>
        <v>294.53059319620314</v>
      </c>
      <c r="AC24" s="95">
        <f>J24+N24+R24+V24+Z24</f>
        <v>134.66311472999999</v>
      </c>
    </row>
    <row r="25" spans="1:32" ht="24" customHeight="1" x14ac:dyDescent="0.25">
      <c r="A25" s="40" t="s">
        <v>176</v>
      </c>
      <c r="B25" s="24" t="s">
        <v>175</v>
      </c>
      <c r="C25" s="91">
        <v>0</v>
      </c>
      <c r="D25" s="91">
        <v>0</v>
      </c>
      <c r="E25" s="91">
        <f>C25</f>
        <v>0</v>
      </c>
      <c r="F25" s="91">
        <f>E25-G25-H25</f>
        <v>0</v>
      </c>
      <c r="G25" s="93">
        <v>0</v>
      </c>
      <c r="H25" s="93">
        <v>0</v>
      </c>
      <c r="I25" s="93">
        <v>0</v>
      </c>
      <c r="J25" s="93">
        <v>0</v>
      </c>
      <c r="K25" s="93">
        <v>0</v>
      </c>
      <c r="L25" s="93">
        <f>F25</f>
        <v>0</v>
      </c>
      <c r="M25" s="93">
        <v>0</v>
      </c>
      <c r="N25" s="93">
        <f t="shared" ref="N25:N27" si="6">F25</f>
        <v>0</v>
      </c>
      <c r="O25" s="93">
        <v>0</v>
      </c>
      <c r="P25" s="93">
        <v>0</v>
      </c>
      <c r="Q25" s="93">
        <v>0</v>
      </c>
      <c r="R25" s="93">
        <v>0</v>
      </c>
      <c r="S25" s="93">
        <v>0</v>
      </c>
      <c r="T25" s="93">
        <v>0</v>
      </c>
      <c r="U25" s="93">
        <v>0</v>
      </c>
      <c r="V25" s="93">
        <v>0</v>
      </c>
      <c r="W25" s="93">
        <v>0</v>
      </c>
      <c r="X25" s="93">
        <v>0</v>
      </c>
      <c r="Y25" s="93">
        <v>0</v>
      </c>
      <c r="Z25" s="93">
        <v>0</v>
      </c>
      <c r="AA25" s="93">
        <v>0</v>
      </c>
      <c r="AB25" s="95">
        <f t="shared" si="5"/>
        <v>0</v>
      </c>
      <c r="AC25" s="95">
        <f t="shared" ref="AC25:AC64" si="7">J25+N25+R25+V25+Z25</f>
        <v>0</v>
      </c>
    </row>
    <row r="26" spans="1:32" x14ac:dyDescent="0.25">
      <c r="A26" s="40" t="s">
        <v>174</v>
      </c>
      <c r="B26" s="24" t="s">
        <v>173</v>
      </c>
      <c r="C26" s="91">
        <v>0</v>
      </c>
      <c r="D26" s="91">
        <v>0</v>
      </c>
      <c r="E26" s="91">
        <f>C26</f>
        <v>0</v>
      </c>
      <c r="F26" s="91">
        <f>E26-G26-H26</f>
        <v>0</v>
      </c>
      <c r="G26" s="93">
        <v>0</v>
      </c>
      <c r="H26" s="93">
        <v>0</v>
      </c>
      <c r="I26" s="93">
        <v>0</v>
      </c>
      <c r="J26" s="93">
        <v>0</v>
      </c>
      <c r="K26" s="93">
        <v>0</v>
      </c>
      <c r="L26" s="93">
        <f>F26</f>
        <v>0</v>
      </c>
      <c r="M26" s="93">
        <v>0</v>
      </c>
      <c r="N26" s="93">
        <f t="shared" si="6"/>
        <v>0</v>
      </c>
      <c r="O26" s="93">
        <v>0</v>
      </c>
      <c r="P26" s="93">
        <v>0</v>
      </c>
      <c r="Q26" s="93">
        <v>0</v>
      </c>
      <c r="R26" s="93">
        <v>0</v>
      </c>
      <c r="S26" s="93">
        <v>0</v>
      </c>
      <c r="T26" s="93">
        <v>0</v>
      </c>
      <c r="U26" s="93">
        <v>0</v>
      </c>
      <c r="V26" s="93">
        <v>0</v>
      </c>
      <c r="W26" s="93">
        <v>0</v>
      </c>
      <c r="X26" s="93">
        <v>0</v>
      </c>
      <c r="Y26" s="93">
        <v>0</v>
      </c>
      <c r="Z26" s="93">
        <v>0</v>
      </c>
      <c r="AA26" s="93">
        <v>0</v>
      </c>
      <c r="AB26" s="95">
        <f t="shared" si="5"/>
        <v>0</v>
      </c>
      <c r="AC26" s="95">
        <f t="shared" si="7"/>
        <v>0</v>
      </c>
    </row>
    <row r="27" spans="1:32" ht="31.5" x14ac:dyDescent="0.25">
      <c r="A27" s="40" t="s">
        <v>172</v>
      </c>
      <c r="B27" s="24" t="s">
        <v>356</v>
      </c>
      <c r="C27" s="91">
        <v>0</v>
      </c>
      <c r="D27" s="91">
        <v>0</v>
      </c>
      <c r="E27" s="91">
        <f>C27</f>
        <v>0</v>
      </c>
      <c r="F27" s="91">
        <f>E27-G27-H27</f>
        <v>0</v>
      </c>
      <c r="G27" s="93">
        <v>0</v>
      </c>
      <c r="H27" s="93">
        <v>0</v>
      </c>
      <c r="I27" s="93">
        <v>0</v>
      </c>
      <c r="J27" s="93">
        <v>0</v>
      </c>
      <c r="K27" s="93">
        <v>0</v>
      </c>
      <c r="L27" s="93">
        <f>F27</f>
        <v>0</v>
      </c>
      <c r="M27" s="93">
        <v>0</v>
      </c>
      <c r="N27" s="93">
        <f t="shared" si="6"/>
        <v>0</v>
      </c>
      <c r="O27" s="93">
        <v>0</v>
      </c>
      <c r="P27" s="93">
        <v>0</v>
      </c>
      <c r="Q27" s="93">
        <v>0</v>
      </c>
      <c r="R27" s="93">
        <v>0</v>
      </c>
      <c r="S27" s="93">
        <v>0</v>
      </c>
      <c r="T27" s="93">
        <v>0</v>
      </c>
      <c r="U27" s="93">
        <v>0</v>
      </c>
      <c r="V27" s="93">
        <v>0</v>
      </c>
      <c r="W27" s="93">
        <v>0</v>
      </c>
      <c r="X27" s="93">
        <v>0</v>
      </c>
      <c r="Y27" s="93">
        <v>0</v>
      </c>
      <c r="Z27" s="93">
        <v>0</v>
      </c>
      <c r="AA27" s="93">
        <v>0</v>
      </c>
      <c r="AB27" s="95">
        <f t="shared" si="5"/>
        <v>0</v>
      </c>
      <c r="AC27" s="95">
        <f t="shared" si="7"/>
        <v>0</v>
      </c>
      <c r="AF27" s="92"/>
    </row>
    <row r="28" spans="1:32" x14ac:dyDescent="0.25">
      <c r="A28" s="40" t="s">
        <v>171</v>
      </c>
      <c r="B28" s="24" t="s">
        <v>170</v>
      </c>
      <c r="C28" s="91">
        <f>C30*1.18</f>
        <v>294.53059319620257</v>
      </c>
      <c r="D28" s="91">
        <v>0</v>
      </c>
      <c r="E28" s="91">
        <f>C28</f>
        <v>294.53059319620257</v>
      </c>
      <c r="F28" s="91">
        <f>E28-G28-H28</f>
        <v>293.97652119620255</v>
      </c>
      <c r="G28" s="93">
        <v>0</v>
      </c>
      <c r="H28" s="93">
        <v>0.55407200000000001</v>
      </c>
      <c r="I28" s="93">
        <v>0</v>
      </c>
      <c r="J28" s="93">
        <v>0.55407200000000001</v>
      </c>
      <c r="K28" s="93">
        <v>0</v>
      </c>
      <c r="L28" s="93">
        <v>160.58748429999991</v>
      </c>
      <c r="M28" s="93">
        <v>128.46998823999991</v>
      </c>
      <c r="N28" s="93">
        <v>134.10904273</v>
      </c>
      <c r="O28" s="93">
        <v>101.99154667000002</v>
      </c>
      <c r="P28" s="93">
        <v>133.38903689620324</v>
      </c>
      <c r="Q28" s="93">
        <v>0</v>
      </c>
      <c r="R28" s="93">
        <v>0</v>
      </c>
      <c r="S28" s="93">
        <v>0</v>
      </c>
      <c r="T28" s="93">
        <v>0</v>
      </c>
      <c r="U28" s="93">
        <v>0</v>
      </c>
      <c r="V28" s="93">
        <v>0</v>
      </c>
      <c r="W28" s="93">
        <v>0</v>
      </c>
      <c r="X28" s="93">
        <v>0</v>
      </c>
      <c r="Y28" s="93">
        <v>0</v>
      </c>
      <c r="Z28" s="93">
        <v>0</v>
      </c>
      <c r="AA28" s="93">
        <v>0</v>
      </c>
      <c r="AB28" s="95">
        <f t="shared" si="5"/>
        <v>294.53059319620314</v>
      </c>
      <c r="AC28" s="95">
        <f t="shared" si="7"/>
        <v>134.66311472999999</v>
      </c>
    </row>
    <row r="29" spans="1:32" x14ac:dyDescent="0.25">
      <c r="A29" s="40" t="s">
        <v>169</v>
      </c>
      <c r="B29" s="44" t="s">
        <v>168</v>
      </c>
      <c r="C29" s="91">
        <v>0</v>
      </c>
      <c r="D29" s="91">
        <v>0</v>
      </c>
      <c r="E29" s="91">
        <f>C29</f>
        <v>0</v>
      </c>
      <c r="F29" s="91">
        <f>E29-G29-H29</f>
        <v>0</v>
      </c>
      <c r="G29" s="93">
        <v>0</v>
      </c>
      <c r="H29" s="93">
        <v>0</v>
      </c>
      <c r="I29" s="93">
        <v>0</v>
      </c>
      <c r="J29" s="93">
        <v>0</v>
      </c>
      <c r="K29" s="93">
        <v>0</v>
      </c>
      <c r="L29" s="93">
        <f>F29</f>
        <v>0</v>
      </c>
      <c r="M29" s="93">
        <v>0</v>
      </c>
      <c r="N29" s="93">
        <v>0</v>
      </c>
      <c r="O29" s="93">
        <v>0</v>
      </c>
      <c r="P29" s="93">
        <v>0</v>
      </c>
      <c r="Q29" s="93">
        <v>0</v>
      </c>
      <c r="R29" s="93">
        <v>0</v>
      </c>
      <c r="S29" s="93">
        <v>0</v>
      </c>
      <c r="T29" s="93">
        <v>0</v>
      </c>
      <c r="U29" s="93">
        <v>0</v>
      </c>
      <c r="V29" s="93">
        <v>0</v>
      </c>
      <c r="W29" s="93">
        <v>0</v>
      </c>
      <c r="X29" s="93">
        <v>0</v>
      </c>
      <c r="Y29" s="93">
        <v>0</v>
      </c>
      <c r="Z29" s="93">
        <v>0</v>
      </c>
      <c r="AA29" s="93">
        <v>0</v>
      </c>
      <c r="AB29" s="95">
        <f t="shared" si="5"/>
        <v>0</v>
      </c>
      <c r="AC29" s="95">
        <f t="shared" si="7"/>
        <v>0</v>
      </c>
      <c r="AF29" s="92"/>
    </row>
    <row r="30" spans="1:32" ht="47.25" x14ac:dyDescent="0.25">
      <c r="A30" s="43" t="s">
        <v>61</v>
      </c>
      <c r="B30" s="42" t="s">
        <v>167</v>
      </c>
      <c r="C30" s="91">
        <f>SUM(C31:C34)</f>
        <v>249.60219762390051</v>
      </c>
      <c r="D30" s="91">
        <v>0</v>
      </c>
      <c r="E30" s="91">
        <f>SUM(E31:E34)</f>
        <v>249.60219762390051</v>
      </c>
      <c r="F30" s="91">
        <f>SUM(F31:F34)</f>
        <v>249.13264508152764</v>
      </c>
      <c r="G30" s="91">
        <f t="shared" ref="G30" si="8">SUM(G31:G34)</f>
        <v>0</v>
      </c>
      <c r="H30" s="91">
        <f>SUM(H31:H34)</f>
        <v>0.46955254237288102</v>
      </c>
      <c r="I30" s="91">
        <f>SUM(I31:I34)</f>
        <v>0</v>
      </c>
      <c r="J30" s="91">
        <f>SUM(J31:J34)</f>
        <v>0.46955254237288102</v>
      </c>
      <c r="K30" s="91">
        <f>SUM(K31:K34)</f>
        <v>0</v>
      </c>
      <c r="L30" s="91">
        <f>145.62859444541</f>
        <v>145.62859444540999</v>
      </c>
      <c r="M30" s="91">
        <v>145.6285944454101</v>
      </c>
      <c r="N30" s="91">
        <v>94.271501650000005</v>
      </c>
      <c r="O30" s="91">
        <v>94.27150164999999</v>
      </c>
      <c r="P30" s="91">
        <v>103.504050636118</v>
      </c>
      <c r="Q30" s="91">
        <f t="shared" ref="Q30:AA30" si="9">SUM(Q31:Q34)</f>
        <v>0</v>
      </c>
      <c r="R30" s="91">
        <f t="shared" si="9"/>
        <v>0</v>
      </c>
      <c r="S30" s="91">
        <f t="shared" si="9"/>
        <v>0</v>
      </c>
      <c r="T30" s="91">
        <f t="shared" si="9"/>
        <v>0</v>
      </c>
      <c r="U30" s="91">
        <f t="shared" si="9"/>
        <v>0</v>
      </c>
      <c r="V30" s="91">
        <f t="shared" si="9"/>
        <v>0</v>
      </c>
      <c r="W30" s="91">
        <f t="shared" si="9"/>
        <v>0</v>
      </c>
      <c r="X30" s="91">
        <f t="shared" si="9"/>
        <v>0</v>
      </c>
      <c r="Y30" s="91">
        <f t="shared" si="9"/>
        <v>0</v>
      </c>
      <c r="Z30" s="91">
        <f t="shared" si="9"/>
        <v>0</v>
      </c>
      <c r="AA30" s="91">
        <f t="shared" si="9"/>
        <v>0</v>
      </c>
      <c r="AB30" s="95">
        <f t="shared" si="5"/>
        <v>249.60219762390085</v>
      </c>
      <c r="AC30" s="95">
        <f t="shared" si="7"/>
        <v>94.741054192372886</v>
      </c>
      <c r="AE30" s="92"/>
    </row>
    <row r="31" spans="1:32" x14ac:dyDescent="0.25">
      <c r="A31" s="43" t="s">
        <v>166</v>
      </c>
      <c r="B31" s="24" t="s">
        <v>165</v>
      </c>
      <c r="C31" s="91">
        <f>4.7144209*1.41456447846*0.7</f>
        <v>4.6681966391545968</v>
      </c>
      <c r="D31" s="91">
        <v>0</v>
      </c>
      <c r="E31" s="91">
        <f>C31</f>
        <v>4.6681966391545968</v>
      </c>
      <c r="F31" s="91">
        <f>E31-G31-H31</f>
        <v>4.6681966391545968</v>
      </c>
      <c r="G31" s="93">
        <v>0</v>
      </c>
      <c r="H31" s="93">
        <v>0</v>
      </c>
      <c r="I31" s="93">
        <v>0</v>
      </c>
      <c r="J31" s="93">
        <v>0</v>
      </c>
      <c r="K31" s="93">
        <v>0</v>
      </c>
      <c r="L31" s="93">
        <f>F31</f>
        <v>4.6681966391545968</v>
      </c>
      <c r="M31" s="93">
        <v>4.6681966391545968</v>
      </c>
      <c r="N31" s="93">
        <v>0</v>
      </c>
      <c r="O31" s="93">
        <v>0</v>
      </c>
      <c r="P31" s="93">
        <v>0</v>
      </c>
      <c r="Q31" s="93">
        <v>0</v>
      </c>
      <c r="R31" s="93">
        <v>0</v>
      </c>
      <c r="S31" s="93">
        <v>0</v>
      </c>
      <c r="T31" s="93">
        <v>0</v>
      </c>
      <c r="U31" s="93">
        <v>0</v>
      </c>
      <c r="V31" s="93">
        <v>0</v>
      </c>
      <c r="W31" s="93">
        <v>0</v>
      </c>
      <c r="X31" s="93">
        <v>0</v>
      </c>
      <c r="Y31" s="93">
        <v>0</v>
      </c>
      <c r="Z31" s="93">
        <v>0</v>
      </c>
      <c r="AA31" s="93">
        <v>0</v>
      </c>
      <c r="AB31" s="95">
        <f t="shared" si="5"/>
        <v>4.6681966391545968</v>
      </c>
      <c r="AC31" s="95">
        <f t="shared" si="7"/>
        <v>0</v>
      </c>
    </row>
    <row r="32" spans="1:32" ht="31.5" x14ac:dyDescent="0.25">
      <c r="A32" s="43" t="s">
        <v>164</v>
      </c>
      <c r="B32" s="24" t="s">
        <v>163</v>
      </c>
      <c r="C32" s="91">
        <f>22.591709*1.41456447846*0.7</f>
        <v>22.370200341373565</v>
      </c>
      <c r="D32" s="91">
        <v>0</v>
      </c>
      <c r="E32" s="91">
        <f>C32</f>
        <v>22.370200341373565</v>
      </c>
      <c r="F32" s="91">
        <f>E32-G32-H32</f>
        <v>22.370200341373565</v>
      </c>
      <c r="G32" s="93">
        <v>0</v>
      </c>
      <c r="H32" s="93">
        <v>0</v>
      </c>
      <c r="I32" s="93">
        <v>0</v>
      </c>
      <c r="J32" s="93">
        <v>0</v>
      </c>
      <c r="K32" s="93">
        <v>0</v>
      </c>
      <c r="L32" s="93">
        <f>F32-P32</f>
        <v>13.076330611391265</v>
      </c>
      <c r="M32" s="93">
        <v>13.076330611391265</v>
      </c>
      <c r="N32" s="93">
        <v>1.979398</v>
      </c>
      <c r="O32" s="93">
        <v>1.979398</v>
      </c>
      <c r="P32" s="93">
        <f>F32*(P30/F30)</f>
        <v>9.2938697299822994</v>
      </c>
      <c r="Q32" s="93">
        <v>0</v>
      </c>
      <c r="R32" s="93">
        <v>0</v>
      </c>
      <c r="S32" s="93">
        <v>0</v>
      </c>
      <c r="T32" s="93">
        <v>0</v>
      </c>
      <c r="U32" s="93">
        <v>0</v>
      </c>
      <c r="V32" s="93">
        <v>0</v>
      </c>
      <c r="W32" s="93">
        <v>0</v>
      </c>
      <c r="X32" s="93">
        <v>0</v>
      </c>
      <c r="Y32" s="93">
        <v>0</v>
      </c>
      <c r="Z32" s="93">
        <v>0</v>
      </c>
      <c r="AA32" s="93">
        <v>0</v>
      </c>
      <c r="AB32" s="95">
        <f t="shared" si="5"/>
        <v>22.370200341373565</v>
      </c>
      <c r="AC32" s="95">
        <f t="shared" si="7"/>
        <v>1.979398</v>
      </c>
    </row>
    <row r="33" spans="1:29" x14ac:dyDescent="0.25">
      <c r="A33" s="43" t="s">
        <v>162</v>
      </c>
      <c r="B33" s="24" t="s">
        <v>161</v>
      </c>
      <c r="C33" s="94">
        <f>210.6058062*1.41456447846*0.7</f>
        <v>208.54084468556556</v>
      </c>
      <c r="D33" s="94">
        <v>0</v>
      </c>
      <c r="E33" s="91">
        <f>C33</f>
        <v>208.54084468556556</v>
      </c>
      <c r="F33" s="91">
        <f>E33-G33-H33</f>
        <v>208.54084468556556</v>
      </c>
      <c r="G33" s="93">
        <v>0</v>
      </c>
      <c r="H33" s="93">
        <v>0</v>
      </c>
      <c r="I33" s="93">
        <v>0</v>
      </c>
      <c r="J33" s="93">
        <v>0</v>
      </c>
      <c r="K33" s="93">
        <v>0</v>
      </c>
      <c r="L33" s="93">
        <f>F33-P33</f>
        <v>121.90096599375441</v>
      </c>
      <c r="M33" s="93">
        <v>121.90096599375441</v>
      </c>
      <c r="N33" s="93">
        <v>91.699434690000004</v>
      </c>
      <c r="O33" s="93">
        <v>91.699434690000004</v>
      </c>
      <c r="P33" s="93">
        <f>F33*(P30/F30)</f>
        <v>86.639878691811148</v>
      </c>
      <c r="Q33" s="93">
        <v>0</v>
      </c>
      <c r="R33" s="93">
        <v>0</v>
      </c>
      <c r="S33" s="93">
        <v>0</v>
      </c>
      <c r="T33" s="93">
        <v>0</v>
      </c>
      <c r="U33" s="93">
        <v>0</v>
      </c>
      <c r="V33" s="93">
        <v>0</v>
      </c>
      <c r="W33" s="93">
        <v>0</v>
      </c>
      <c r="X33" s="93">
        <v>0</v>
      </c>
      <c r="Y33" s="93">
        <v>0</v>
      </c>
      <c r="Z33" s="93">
        <v>0</v>
      </c>
      <c r="AA33" s="93">
        <v>0</v>
      </c>
      <c r="AB33" s="95">
        <f t="shared" si="5"/>
        <v>208.54084468556556</v>
      </c>
      <c r="AC33" s="95">
        <f t="shared" si="7"/>
        <v>91.699434690000004</v>
      </c>
    </row>
    <row r="34" spans="1:29" x14ac:dyDescent="0.25">
      <c r="A34" s="43" t="s">
        <v>160</v>
      </c>
      <c r="B34" s="24" t="s">
        <v>159</v>
      </c>
      <c r="C34" s="91">
        <f>14.1618106*1.41456447846*0.7</f>
        <v>14.022955957806809</v>
      </c>
      <c r="D34" s="91">
        <v>0</v>
      </c>
      <c r="E34" s="91">
        <f>C34</f>
        <v>14.022955957806809</v>
      </c>
      <c r="F34" s="91">
        <f>E34-G34-H34</f>
        <v>13.553403415433928</v>
      </c>
      <c r="G34" s="93">
        <v>0</v>
      </c>
      <c r="H34" s="93">
        <v>0.46955254237288102</v>
      </c>
      <c r="I34" s="93">
        <v>0</v>
      </c>
      <c r="J34" s="93">
        <v>0.46955254237288102</v>
      </c>
      <c r="K34" s="93">
        <v>0</v>
      </c>
      <c r="L34" s="93">
        <f>L30-L31-L32-L33</f>
        <v>5.9831012011097187</v>
      </c>
      <c r="M34" s="93">
        <v>5.9831012011097187</v>
      </c>
      <c r="N34" s="93">
        <v>0.59266895999999991</v>
      </c>
      <c r="O34" s="93">
        <v>0.59266895999999991</v>
      </c>
      <c r="P34" s="93">
        <f>P30-P31-P32-P33</f>
        <v>7.570302214324542</v>
      </c>
      <c r="Q34" s="93">
        <v>0</v>
      </c>
      <c r="R34" s="93">
        <v>0</v>
      </c>
      <c r="S34" s="93">
        <v>0</v>
      </c>
      <c r="T34" s="93">
        <v>0</v>
      </c>
      <c r="U34" s="93">
        <v>0</v>
      </c>
      <c r="V34" s="93">
        <v>0</v>
      </c>
      <c r="W34" s="93">
        <v>0</v>
      </c>
      <c r="X34" s="93">
        <v>0</v>
      </c>
      <c r="Y34" s="93">
        <v>0</v>
      </c>
      <c r="Z34" s="93">
        <v>0</v>
      </c>
      <c r="AA34" s="93">
        <v>0</v>
      </c>
      <c r="AB34" s="95">
        <f t="shared" si="5"/>
        <v>14.022955957807142</v>
      </c>
      <c r="AC34" s="95">
        <f t="shared" si="7"/>
        <v>1.0622215023728809</v>
      </c>
    </row>
    <row r="35" spans="1:29" ht="31.5" x14ac:dyDescent="0.25">
      <c r="A35" s="43" t="s">
        <v>60</v>
      </c>
      <c r="B35" s="42" t="s">
        <v>158</v>
      </c>
      <c r="C35" s="91">
        <v>0</v>
      </c>
      <c r="D35" s="91">
        <v>0</v>
      </c>
      <c r="E35" s="91">
        <v>0</v>
      </c>
      <c r="F35" s="91">
        <v>0</v>
      </c>
      <c r="G35" s="91">
        <v>0</v>
      </c>
      <c r="H35" s="91">
        <v>0</v>
      </c>
      <c r="I35" s="91">
        <v>0</v>
      </c>
      <c r="J35" s="91">
        <v>0</v>
      </c>
      <c r="K35" s="91">
        <v>0</v>
      </c>
      <c r="L35" s="91">
        <v>0</v>
      </c>
      <c r="M35" s="91">
        <v>0</v>
      </c>
      <c r="N35" s="91">
        <v>0</v>
      </c>
      <c r="O35" s="91">
        <v>0</v>
      </c>
      <c r="P35" s="91">
        <v>0</v>
      </c>
      <c r="Q35" s="91">
        <v>0</v>
      </c>
      <c r="R35" s="91">
        <v>0</v>
      </c>
      <c r="S35" s="91">
        <v>0</v>
      </c>
      <c r="T35" s="91">
        <v>0</v>
      </c>
      <c r="U35" s="91">
        <v>0</v>
      </c>
      <c r="V35" s="91">
        <v>0</v>
      </c>
      <c r="W35" s="91">
        <v>0</v>
      </c>
      <c r="X35" s="91">
        <v>0</v>
      </c>
      <c r="Y35" s="91">
        <v>0</v>
      </c>
      <c r="Z35" s="91">
        <v>0</v>
      </c>
      <c r="AA35" s="91">
        <v>0</v>
      </c>
      <c r="AB35" s="95">
        <f t="shared" si="5"/>
        <v>0</v>
      </c>
      <c r="AC35" s="95">
        <f t="shared" si="7"/>
        <v>0</v>
      </c>
    </row>
    <row r="36" spans="1:29" ht="31.5" x14ac:dyDescent="0.25">
      <c r="A36" s="40" t="s">
        <v>157</v>
      </c>
      <c r="B36" s="39" t="s">
        <v>156</v>
      </c>
      <c r="C36" s="91">
        <v>0</v>
      </c>
      <c r="D36" s="91">
        <v>0</v>
      </c>
      <c r="E36" s="91">
        <v>0</v>
      </c>
      <c r="F36" s="91">
        <v>0</v>
      </c>
      <c r="G36" s="93">
        <v>0</v>
      </c>
      <c r="H36" s="93">
        <v>0</v>
      </c>
      <c r="I36" s="93">
        <v>0</v>
      </c>
      <c r="J36" s="93">
        <v>0</v>
      </c>
      <c r="K36" s="93">
        <v>0</v>
      </c>
      <c r="L36" s="93">
        <v>0</v>
      </c>
      <c r="M36" s="93">
        <v>0</v>
      </c>
      <c r="N36" s="93">
        <v>0</v>
      </c>
      <c r="O36" s="93">
        <v>0</v>
      </c>
      <c r="P36" s="93">
        <v>0</v>
      </c>
      <c r="Q36" s="93">
        <v>0</v>
      </c>
      <c r="R36" s="93">
        <v>0</v>
      </c>
      <c r="S36" s="93">
        <v>0</v>
      </c>
      <c r="T36" s="93">
        <v>0</v>
      </c>
      <c r="U36" s="93">
        <v>0</v>
      </c>
      <c r="V36" s="93">
        <v>0</v>
      </c>
      <c r="W36" s="93">
        <v>0</v>
      </c>
      <c r="X36" s="93">
        <v>0</v>
      </c>
      <c r="Y36" s="93">
        <v>0</v>
      </c>
      <c r="Z36" s="93">
        <v>0</v>
      </c>
      <c r="AA36" s="93">
        <v>0</v>
      </c>
      <c r="AB36" s="95">
        <f t="shared" si="5"/>
        <v>0</v>
      </c>
      <c r="AC36" s="95">
        <f t="shared" si="7"/>
        <v>0</v>
      </c>
    </row>
    <row r="37" spans="1:29" x14ac:dyDescent="0.25">
      <c r="A37" s="40" t="s">
        <v>155</v>
      </c>
      <c r="B37" s="39" t="s">
        <v>145</v>
      </c>
      <c r="C37" s="91">
        <v>80</v>
      </c>
      <c r="D37" s="91">
        <v>0</v>
      </c>
      <c r="E37" s="91">
        <f>C37</f>
        <v>80</v>
      </c>
      <c r="F37" s="91">
        <f>E37-G37-H37</f>
        <v>80</v>
      </c>
      <c r="G37" s="93">
        <v>0</v>
      </c>
      <c r="H37" s="93">
        <v>0</v>
      </c>
      <c r="I37" s="93">
        <v>0</v>
      </c>
      <c r="J37" s="93">
        <v>0</v>
      </c>
      <c r="K37" s="93">
        <v>0</v>
      </c>
      <c r="L37" s="93">
        <v>0</v>
      </c>
      <c r="M37" s="93">
        <v>0</v>
      </c>
      <c r="N37" s="93">
        <v>0</v>
      </c>
      <c r="O37" s="93">
        <v>0</v>
      </c>
      <c r="P37" s="93">
        <f t="shared" ref="P37:P42" si="10">F37</f>
        <v>80</v>
      </c>
      <c r="Q37" s="93">
        <v>0</v>
      </c>
      <c r="R37" s="93">
        <v>0</v>
      </c>
      <c r="S37" s="93">
        <v>0</v>
      </c>
      <c r="T37" s="93">
        <v>0</v>
      </c>
      <c r="U37" s="93">
        <v>0</v>
      </c>
      <c r="V37" s="93">
        <v>0</v>
      </c>
      <c r="W37" s="93">
        <v>0</v>
      </c>
      <c r="X37" s="93">
        <v>0</v>
      </c>
      <c r="Y37" s="93">
        <v>0</v>
      </c>
      <c r="Z37" s="93">
        <v>0</v>
      </c>
      <c r="AA37" s="93">
        <v>0</v>
      </c>
      <c r="AB37" s="95">
        <f t="shared" si="5"/>
        <v>80</v>
      </c>
      <c r="AC37" s="95">
        <f t="shared" si="7"/>
        <v>0</v>
      </c>
    </row>
    <row r="38" spans="1:29" x14ac:dyDescent="0.25">
      <c r="A38" s="40" t="s">
        <v>154</v>
      </c>
      <c r="B38" s="39" t="s">
        <v>143</v>
      </c>
      <c r="C38" s="91">
        <v>0</v>
      </c>
      <c r="D38" s="91">
        <v>0</v>
      </c>
      <c r="E38" s="91">
        <v>0</v>
      </c>
      <c r="F38" s="91">
        <v>0</v>
      </c>
      <c r="G38" s="93">
        <v>0</v>
      </c>
      <c r="H38" s="93">
        <v>0</v>
      </c>
      <c r="I38" s="93">
        <v>0</v>
      </c>
      <c r="J38" s="93">
        <v>0</v>
      </c>
      <c r="K38" s="93">
        <v>0</v>
      </c>
      <c r="L38" s="93">
        <v>0</v>
      </c>
      <c r="M38" s="93">
        <v>0</v>
      </c>
      <c r="N38" s="93">
        <v>0</v>
      </c>
      <c r="O38" s="93">
        <v>0</v>
      </c>
      <c r="P38" s="93">
        <f t="shared" si="10"/>
        <v>0</v>
      </c>
      <c r="Q38" s="93">
        <v>0</v>
      </c>
      <c r="R38" s="93">
        <v>0</v>
      </c>
      <c r="S38" s="93">
        <v>0</v>
      </c>
      <c r="T38" s="93">
        <v>0</v>
      </c>
      <c r="U38" s="93">
        <v>0</v>
      </c>
      <c r="V38" s="93">
        <v>0</v>
      </c>
      <c r="W38" s="93">
        <v>0</v>
      </c>
      <c r="X38" s="93">
        <v>0</v>
      </c>
      <c r="Y38" s="93">
        <v>0</v>
      </c>
      <c r="Z38" s="93">
        <v>0</v>
      </c>
      <c r="AA38" s="93">
        <v>0</v>
      </c>
      <c r="AB38" s="95">
        <f t="shared" si="5"/>
        <v>0</v>
      </c>
      <c r="AC38" s="95">
        <f t="shared" si="7"/>
        <v>0</v>
      </c>
    </row>
    <row r="39" spans="1:29" ht="31.5" x14ac:dyDescent="0.25">
      <c r="A39" s="40" t="s">
        <v>153</v>
      </c>
      <c r="B39" s="24" t="s">
        <v>141</v>
      </c>
      <c r="C39" s="91">
        <v>0</v>
      </c>
      <c r="D39" s="91">
        <v>0</v>
      </c>
      <c r="E39" s="91">
        <v>0</v>
      </c>
      <c r="F39" s="91">
        <v>0</v>
      </c>
      <c r="G39" s="93">
        <v>0</v>
      </c>
      <c r="H39" s="93">
        <v>0</v>
      </c>
      <c r="I39" s="93">
        <v>0</v>
      </c>
      <c r="J39" s="93">
        <v>0</v>
      </c>
      <c r="K39" s="93">
        <v>0</v>
      </c>
      <c r="L39" s="93">
        <v>0</v>
      </c>
      <c r="M39" s="93">
        <v>0</v>
      </c>
      <c r="N39" s="93">
        <v>0</v>
      </c>
      <c r="O39" s="93">
        <v>0</v>
      </c>
      <c r="P39" s="93">
        <f t="shared" si="10"/>
        <v>0</v>
      </c>
      <c r="Q39" s="93">
        <v>0</v>
      </c>
      <c r="R39" s="93">
        <v>0</v>
      </c>
      <c r="S39" s="93">
        <v>0</v>
      </c>
      <c r="T39" s="93">
        <v>0</v>
      </c>
      <c r="U39" s="93">
        <v>0</v>
      </c>
      <c r="V39" s="93">
        <v>0</v>
      </c>
      <c r="W39" s="93">
        <v>0</v>
      </c>
      <c r="X39" s="93">
        <v>0</v>
      </c>
      <c r="Y39" s="93">
        <v>0</v>
      </c>
      <c r="Z39" s="93">
        <v>0</v>
      </c>
      <c r="AA39" s="93">
        <v>0</v>
      </c>
      <c r="AB39" s="95">
        <f t="shared" si="5"/>
        <v>0</v>
      </c>
      <c r="AC39" s="95">
        <f t="shared" si="7"/>
        <v>0</v>
      </c>
    </row>
    <row r="40" spans="1:29" ht="31.5" x14ac:dyDescent="0.25">
      <c r="A40" s="40" t="s">
        <v>152</v>
      </c>
      <c r="B40" s="24" t="s">
        <v>139</v>
      </c>
      <c r="C40" s="91">
        <v>0</v>
      </c>
      <c r="D40" s="91">
        <v>0</v>
      </c>
      <c r="E40" s="91">
        <v>0</v>
      </c>
      <c r="F40" s="91">
        <v>0</v>
      </c>
      <c r="G40" s="93">
        <v>0</v>
      </c>
      <c r="H40" s="93">
        <v>0</v>
      </c>
      <c r="I40" s="93">
        <v>0</v>
      </c>
      <c r="J40" s="93">
        <v>0</v>
      </c>
      <c r="K40" s="93">
        <v>0</v>
      </c>
      <c r="L40" s="93">
        <v>0</v>
      </c>
      <c r="M40" s="93">
        <v>0</v>
      </c>
      <c r="N40" s="93">
        <v>0</v>
      </c>
      <c r="O40" s="93">
        <v>0</v>
      </c>
      <c r="P40" s="93">
        <f t="shared" si="10"/>
        <v>0</v>
      </c>
      <c r="Q40" s="93">
        <v>0</v>
      </c>
      <c r="R40" s="93">
        <v>0</v>
      </c>
      <c r="S40" s="93">
        <v>0</v>
      </c>
      <c r="T40" s="93">
        <v>0</v>
      </c>
      <c r="U40" s="93">
        <v>0</v>
      </c>
      <c r="V40" s="93">
        <v>0</v>
      </c>
      <c r="W40" s="93">
        <v>0</v>
      </c>
      <c r="X40" s="93">
        <v>0</v>
      </c>
      <c r="Y40" s="93">
        <v>0</v>
      </c>
      <c r="Z40" s="93">
        <v>0</v>
      </c>
      <c r="AA40" s="93">
        <v>0</v>
      </c>
      <c r="AB40" s="95">
        <f t="shared" si="5"/>
        <v>0</v>
      </c>
      <c r="AC40" s="95">
        <f t="shared" si="7"/>
        <v>0</v>
      </c>
    </row>
    <row r="41" spans="1:29" x14ac:dyDescent="0.25">
      <c r="A41" s="40" t="s">
        <v>151</v>
      </c>
      <c r="B41" s="24" t="s">
        <v>137</v>
      </c>
      <c r="C41" s="91">
        <v>0</v>
      </c>
      <c r="D41" s="91">
        <v>0</v>
      </c>
      <c r="E41" s="91">
        <v>0</v>
      </c>
      <c r="F41" s="91">
        <v>0</v>
      </c>
      <c r="G41" s="93">
        <v>0</v>
      </c>
      <c r="H41" s="93">
        <v>0</v>
      </c>
      <c r="I41" s="93">
        <v>0</v>
      </c>
      <c r="J41" s="93">
        <v>0</v>
      </c>
      <c r="K41" s="93">
        <v>0</v>
      </c>
      <c r="L41" s="93">
        <v>0</v>
      </c>
      <c r="M41" s="93">
        <v>0</v>
      </c>
      <c r="N41" s="93">
        <v>0</v>
      </c>
      <c r="O41" s="93">
        <v>0</v>
      </c>
      <c r="P41" s="93">
        <f t="shared" si="10"/>
        <v>0</v>
      </c>
      <c r="Q41" s="93">
        <v>0</v>
      </c>
      <c r="R41" s="93">
        <v>0</v>
      </c>
      <c r="S41" s="93">
        <v>0</v>
      </c>
      <c r="T41" s="93">
        <v>0</v>
      </c>
      <c r="U41" s="93">
        <v>0</v>
      </c>
      <c r="V41" s="93">
        <v>0</v>
      </c>
      <c r="W41" s="93">
        <v>0</v>
      </c>
      <c r="X41" s="93">
        <v>0</v>
      </c>
      <c r="Y41" s="93">
        <v>0</v>
      </c>
      <c r="Z41" s="93">
        <v>0</v>
      </c>
      <c r="AA41" s="93">
        <v>0</v>
      </c>
      <c r="AB41" s="95">
        <f t="shared" si="5"/>
        <v>0</v>
      </c>
      <c r="AC41" s="95">
        <f t="shared" si="7"/>
        <v>0</v>
      </c>
    </row>
    <row r="42" spans="1:29" ht="18.75" x14ac:dyDescent="0.25">
      <c r="A42" s="40" t="s">
        <v>150</v>
      </c>
      <c r="B42" s="39" t="s">
        <v>532</v>
      </c>
      <c r="C42" s="91">
        <v>34</v>
      </c>
      <c r="D42" s="91">
        <v>0</v>
      </c>
      <c r="E42" s="91">
        <v>34</v>
      </c>
      <c r="F42" s="91">
        <v>34</v>
      </c>
      <c r="G42" s="93">
        <v>0</v>
      </c>
      <c r="H42" s="93">
        <v>0</v>
      </c>
      <c r="I42" s="93">
        <v>0</v>
      </c>
      <c r="J42" s="93">
        <v>0</v>
      </c>
      <c r="K42" s="93">
        <v>0</v>
      </c>
      <c r="L42" s="93">
        <v>0</v>
      </c>
      <c r="M42" s="93">
        <v>0</v>
      </c>
      <c r="N42" s="93">
        <v>0</v>
      </c>
      <c r="O42" s="93">
        <v>0</v>
      </c>
      <c r="P42" s="93">
        <f t="shared" si="10"/>
        <v>34</v>
      </c>
      <c r="Q42" s="93">
        <v>0</v>
      </c>
      <c r="R42" s="93">
        <v>0</v>
      </c>
      <c r="S42" s="93">
        <v>0</v>
      </c>
      <c r="T42" s="93">
        <v>0</v>
      </c>
      <c r="U42" s="93">
        <v>0</v>
      </c>
      <c r="V42" s="93">
        <v>0</v>
      </c>
      <c r="W42" s="93">
        <v>0</v>
      </c>
      <c r="X42" s="93">
        <v>0</v>
      </c>
      <c r="Y42" s="93">
        <v>0</v>
      </c>
      <c r="Z42" s="93">
        <v>0</v>
      </c>
      <c r="AA42" s="93">
        <v>0</v>
      </c>
      <c r="AB42" s="95">
        <f t="shared" si="5"/>
        <v>34</v>
      </c>
      <c r="AC42" s="95">
        <f t="shared" si="7"/>
        <v>0</v>
      </c>
    </row>
    <row r="43" spans="1:29" x14ac:dyDescent="0.25">
      <c r="A43" s="43" t="s">
        <v>59</v>
      </c>
      <c r="B43" s="42" t="s">
        <v>149</v>
      </c>
      <c r="C43" s="91">
        <v>0</v>
      </c>
      <c r="D43" s="91">
        <v>0</v>
      </c>
      <c r="E43" s="91">
        <v>0</v>
      </c>
      <c r="F43" s="91">
        <v>0</v>
      </c>
      <c r="G43" s="91">
        <v>0</v>
      </c>
      <c r="H43" s="91">
        <v>0</v>
      </c>
      <c r="I43" s="91">
        <v>0</v>
      </c>
      <c r="J43" s="91">
        <v>0</v>
      </c>
      <c r="K43" s="91">
        <v>0</v>
      </c>
      <c r="L43" s="91">
        <v>0</v>
      </c>
      <c r="M43" s="91">
        <v>0</v>
      </c>
      <c r="N43" s="91">
        <v>0</v>
      </c>
      <c r="O43" s="91">
        <v>0</v>
      </c>
      <c r="P43" s="91">
        <v>0</v>
      </c>
      <c r="Q43" s="91">
        <v>0</v>
      </c>
      <c r="R43" s="91">
        <v>0</v>
      </c>
      <c r="S43" s="91">
        <v>0</v>
      </c>
      <c r="T43" s="91">
        <v>0</v>
      </c>
      <c r="U43" s="91">
        <v>0</v>
      </c>
      <c r="V43" s="91">
        <v>0</v>
      </c>
      <c r="W43" s="91">
        <v>0</v>
      </c>
      <c r="X43" s="91">
        <v>0</v>
      </c>
      <c r="Y43" s="91">
        <v>0</v>
      </c>
      <c r="Z43" s="91">
        <v>0</v>
      </c>
      <c r="AA43" s="91">
        <v>0</v>
      </c>
      <c r="AB43" s="95">
        <f t="shared" si="5"/>
        <v>0</v>
      </c>
      <c r="AC43" s="95">
        <f t="shared" si="7"/>
        <v>0</v>
      </c>
    </row>
    <row r="44" spans="1:29" x14ac:dyDescent="0.25">
      <c r="A44" s="40" t="s">
        <v>148</v>
      </c>
      <c r="B44" s="24" t="s">
        <v>147</v>
      </c>
      <c r="C44" s="91">
        <v>0</v>
      </c>
      <c r="D44" s="91">
        <v>0</v>
      </c>
      <c r="E44" s="91">
        <v>0</v>
      </c>
      <c r="F44" s="91">
        <v>0</v>
      </c>
      <c r="G44" s="93">
        <v>0</v>
      </c>
      <c r="H44" s="93">
        <v>0</v>
      </c>
      <c r="I44" s="93">
        <v>0</v>
      </c>
      <c r="J44" s="93">
        <v>0</v>
      </c>
      <c r="K44" s="93">
        <v>0</v>
      </c>
      <c r="L44" s="93">
        <v>0</v>
      </c>
      <c r="M44" s="93">
        <v>0</v>
      </c>
      <c r="N44" s="93">
        <v>0</v>
      </c>
      <c r="O44" s="93">
        <v>0</v>
      </c>
      <c r="P44" s="93">
        <f t="shared" ref="P44:P50" si="11">F44</f>
        <v>0</v>
      </c>
      <c r="Q44" s="93">
        <v>0</v>
      </c>
      <c r="R44" s="93">
        <v>0</v>
      </c>
      <c r="S44" s="93">
        <v>0</v>
      </c>
      <c r="T44" s="93">
        <v>0</v>
      </c>
      <c r="U44" s="93">
        <v>0</v>
      </c>
      <c r="V44" s="93">
        <v>0</v>
      </c>
      <c r="W44" s="93">
        <v>0</v>
      </c>
      <c r="X44" s="93">
        <v>0</v>
      </c>
      <c r="Y44" s="93">
        <v>0</v>
      </c>
      <c r="Z44" s="93">
        <v>0</v>
      </c>
      <c r="AA44" s="93">
        <v>0</v>
      </c>
      <c r="AB44" s="95">
        <f t="shared" si="5"/>
        <v>0</v>
      </c>
      <c r="AC44" s="95">
        <f t="shared" si="7"/>
        <v>0</v>
      </c>
    </row>
    <row r="45" spans="1:29" x14ac:dyDescent="0.25">
      <c r="A45" s="40" t="s">
        <v>146</v>
      </c>
      <c r="B45" s="24" t="s">
        <v>145</v>
      </c>
      <c r="C45" s="91">
        <f>C37</f>
        <v>80</v>
      </c>
      <c r="D45" s="91">
        <v>0</v>
      </c>
      <c r="E45" s="91">
        <f>C45</f>
        <v>80</v>
      </c>
      <c r="F45" s="91">
        <f>E45-G45-H45</f>
        <v>80</v>
      </c>
      <c r="G45" s="93">
        <v>0</v>
      </c>
      <c r="H45" s="93">
        <v>0</v>
      </c>
      <c r="I45" s="93">
        <v>0</v>
      </c>
      <c r="J45" s="93">
        <v>0</v>
      </c>
      <c r="K45" s="93">
        <v>0</v>
      </c>
      <c r="L45" s="93">
        <v>0</v>
      </c>
      <c r="M45" s="93">
        <v>0</v>
      </c>
      <c r="N45" s="93">
        <v>0</v>
      </c>
      <c r="O45" s="93">
        <v>0</v>
      </c>
      <c r="P45" s="93">
        <f t="shared" si="11"/>
        <v>80</v>
      </c>
      <c r="Q45" s="93">
        <v>0</v>
      </c>
      <c r="R45" s="93">
        <v>0</v>
      </c>
      <c r="S45" s="93">
        <v>0</v>
      </c>
      <c r="T45" s="93">
        <v>0</v>
      </c>
      <c r="U45" s="93">
        <v>0</v>
      </c>
      <c r="V45" s="93">
        <v>0</v>
      </c>
      <c r="W45" s="93">
        <v>0</v>
      </c>
      <c r="X45" s="93">
        <v>0</v>
      </c>
      <c r="Y45" s="93">
        <v>0</v>
      </c>
      <c r="Z45" s="93">
        <v>0</v>
      </c>
      <c r="AA45" s="93">
        <v>0</v>
      </c>
      <c r="AB45" s="95">
        <f t="shared" si="5"/>
        <v>80</v>
      </c>
      <c r="AC45" s="95">
        <f t="shared" si="7"/>
        <v>0</v>
      </c>
    </row>
    <row r="46" spans="1:29" x14ac:dyDescent="0.25">
      <c r="A46" s="40" t="s">
        <v>144</v>
      </c>
      <c r="B46" s="24" t="s">
        <v>143</v>
      </c>
      <c r="C46" s="91">
        <v>0</v>
      </c>
      <c r="D46" s="91">
        <v>0</v>
      </c>
      <c r="E46" s="91">
        <v>0</v>
      </c>
      <c r="F46" s="91">
        <v>0</v>
      </c>
      <c r="G46" s="93">
        <v>0</v>
      </c>
      <c r="H46" s="93">
        <v>0</v>
      </c>
      <c r="I46" s="93">
        <v>0</v>
      </c>
      <c r="J46" s="93">
        <v>0</v>
      </c>
      <c r="K46" s="93">
        <v>0</v>
      </c>
      <c r="L46" s="93">
        <v>0</v>
      </c>
      <c r="M46" s="93">
        <v>0</v>
      </c>
      <c r="N46" s="93">
        <v>0</v>
      </c>
      <c r="O46" s="93">
        <v>0</v>
      </c>
      <c r="P46" s="93">
        <f t="shared" si="11"/>
        <v>0</v>
      </c>
      <c r="Q46" s="93">
        <v>0</v>
      </c>
      <c r="R46" s="93">
        <v>0</v>
      </c>
      <c r="S46" s="93">
        <v>0</v>
      </c>
      <c r="T46" s="93">
        <v>0</v>
      </c>
      <c r="U46" s="93">
        <v>0</v>
      </c>
      <c r="V46" s="93">
        <v>0</v>
      </c>
      <c r="W46" s="93">
        <v>0</v>
      </c>
      <c r="X46" s="93">
        <v>0</v>
      </c>
      <c r="Y46" s="93">
        <v>0</v>
      </c>
      <c r="Z46" s="93">
        <v>0</v>
      </c>
      <c r="AA46" s="93">
        <v>0</v>
      </c>
      <c r="AB46" s="95">
        <f t="shared" si="5"/>
        <v>0</v>
      </c>
      <c r="AC46" s="95">
        <f t="shared" si="7"/>
        <v>0</v>
      </c>
    </row>
    <row r="47" spans="1:29" ht="31.5" x14ac:dyDescent="0.25">
      <c r="A47" s="40" t="s">
        <v>142</v>
      </c>
      <c r="B47" s="24" t="s">
        <v>141</v>
      </c>
      <c r="C47" s="91">
        <v>0</v>
      </c>
      <c r="D47" s="91">
        <v>0</v>
      </c>
      <c r="E47" s="91">
        <v>0</v>
      </c>
      <c r="F47" s="91">
        <v>0</v>
      </c>
      <c r="G47" s="93">
        <v>0</v>
      </c>
      <c r="H47" s="93">
        <v>0</v>
      </c>
      <c r="I47" s="93">
        <v>0</v>
      </c>
      <c r="J47" s="93">
        <v>0</v>
      </c>
      <c r="K47" s="93">
        <v>0</v>
      </c>
      <c r="L47" s="93">
        <v>0</v>
      </c>
      <c r="M47" s="93">
        <v>0</v>
      </c>
      <c r="N47" s="93">
        <v>0</v>
      </c>
      <c r="O47" s="93">
        <v>0</v>
      </c>
      <c r="P47" s="93">
        <f t="shared" si="11"/>
        <v>0</v>
      </c>
      <c r="Q47" s="93">
        <v>0</v>
      </c>
      <c r="R47" s="93">
        <v>0</v>
      </c>
      <c r="S47" s="93">
        <v>0</v>
      </c>
      <c r="T47" s="93">
        <v>0</v>
      </c>
      <c r="U47" s="93">
        <v>0</v>
      </c>
      <c r="V47" s="93">
        <v>0</v>
      </c>
      <c r="W47" s="93">
        <v>0</v>
      </c>
      <c r="X47" s="93">
        <v>0</v>
      </c>
      <c r="Y47" s="93">
        <v>0</v>
      </c>
      <c r="Z47" s="93">
        <v>0</v>
      </c>
      <c r="AA47" s="93">
        <v>0</v>
      </c>
      <c r="AB47" s="95">
        <f t="shared" si="5"/>
        <v>0</v>
      </c>
      <c r="AC47" s="95">
        <f t="shared" si="7"/>
        <v>0</v>
      </c>
    </row>
    <row r="48" spans="1:29" ht="31.5" x14ac:dyDescent="0.25">
      <c r="A48" s="40" t="s">
        <v>140</v>
      </c>
      <c r="B48" s="24" t="s">
        <v>139</v>
      </c>
      <c r="C48" s="91">
        <v>0</v>
      </c>
      <c r="D48" s="91">
        <v>0</v>
      </c>
      <c r="E48" s="91">
        <v>0</v>
      </c>
      <c r="F48" s="91">
        <v>0</v>
      </c>
      <c r="G48" s="93">
        <v>0</v>
      </c>
      <c r="H48" s="93">
        <v>0</v>
      </c>
      <c r="I48" s="93">
        <v>0</v>
      </c>
      <c r="J48" s="93">
        <v>0</v>
      </c>
      <c r="K48" s="93">
        <v>0</v>
      </c>
      <c r="L48" s="93">
        <v>0</v>
      </c>
      <c r="M48" s="93">
        <v>0</v>
      </c>
      <c r="N48" s="93">
        <v>0</v>
      </c>
      <c r="O48" s="93">
        <v>0</v>
      </c>
      <c r="P48" s="93">
        <f t="shared" si="11"/>
        <v>0</v>
      </c>
      <c r="Q48" s="93">
        <v>0</v>
      </c>
      <c r="R48" s="93">
        <v>0</v>
      </c>
      <c r="S48" s="93">
        <v>0</v>
      </c>
      <c r="T48" s="93">
        <v>0</v>
      </c>
      <c r="U48" s="93">
        <v>0</v>
      </c>
      <c r="V48" s="93">
        <v>0</v>
      </c>
      <c r="W48" s="93">
        <v>0</v>
      </c>
      <c r="X48" s="93">
        <v>0</v>
      </c>
      <c r="Y48" s="93">
        <v>0</v>
      </c>
      <c r="Z48" s="93">
        <v>0</v>
      </c>
      <c r="AA48" s="93">
        <v>0</v>
      </c>
      <c r="AB48" s="95">
        <f t="shared" si="5"/>
        <v>0</v>
      </c>
      <c r="AC48" s="95">
        <f t="shared" si="7"/>
        <v>0</v>
      </c>
    </row>
    <row r="49" spans="1:29" x14ac:dyDescent="0.25">
      <c r="A49" s="40" t="s">
        <v>138</v>
      </c>
      <c r="B49" s="24" t="s">
        <v>137</v>
      </c>
      <c r="C49" s="91">
        <v>0</v>
      </c>
      <c r="D49" s="91">
        <v>0</v>
      </c>
      <c r="E49" s="91">
        <v>0</v>
      </c>
      <c r="F49" s="91">
        <v>0</v>
      </c>
      <c r="G49" s="93">
        <v>0</v>
      </c>
      <c r="H49" s="93">
        <v>0</v>
      </c>
      <c r="I49" s="93">
        <v>0</v>
      </c>
      <c r="J49" s="93">
        <v>0</v>
      </c>
      <c r="K49" s="93">
        <v>0</v>
      </c>
      <c r="L49" s="93">
        <v>0</v>
      </c>
      <c r="M49" s="93">
        <v>0</v>
      </c>
      <c r="N49" s="93">
        <v>0</v>
      </c>
      <c r="O49" s="93">
        <v>0</v>
      </c>
      <c r="P49" s="93">
        <f t="shared" si="11"/>
        <v>0</v>
      </c>
      <c r="Q49" s="93">
        <v>0</v>
      </c>
      <c r="R49" s="93">
        <v>0</v>
      </c>
      <c r="S49" s="93">
        <v>0</v>
      </c>
      <c r="T49" s="93">
        <v>0</v>
      </c>
      <c r="U49" s="93">
        <v>0</v>
      </c>
      <c r="V49" s="93">
        <v>0</v>
      </c>
      <c r="W49" s="93">
        <v>0</v>
      </c>
      <c r="X49" s="93">
        <v>0</v>
      </c>
      <c r="Y49" s="93">
        <v>0</v>
      </c>
      <c r="Z49" s="93">
        <v>0</v>
      </c>
      <c r="AA49" s="93">
        <v>0</v>
      </c>
      <c r="AB49" s="95">
        <f t="shared" si="5"/>
        <v>0</v>
      </c>
      <c r="AC49" s="95">
        <f t="shared" si="7"/>
        <v>0</v>
      </c>
    </row>
    <row r="50" spans="1:29" ht="18.75" x14ac:dyDescent="0.25">
      <c r="A50" s="40" t="s">
        <v>136</v>
      </c>
      <c r="B50" s="39" t="s">
        <v>532</v>
      </c>
      <c r="C50" s="91">
        <v>34</v>
      </c>
      <c r="D50" s="91">
        <v>0</v>
      </c>
      <c r="E50" s="91">
        <v>34</v>
      </c>
      <c r="F50" s="91">
        <v>34</v>
      </c>
      <c r="G50" s="93">
        <v>0</v>
      </c>
      <c r="H50" s="93">
        <v>0</v>
      </c>
      <c r="I50" s="93">
        <v>0</v>
      </c>
      <c r="J50" s="93">
        <v>0</v>
      </c>
      <c r="K50" s="93">
        <v>0</v>
      </c>
      <c r="L50" s="93">
        <v>0</v>
      </c>
      <c r="M50" s="93">
        <v>0</v>
      </c>
      <c r="N50" s="93">
        <v>0</v>
      </c>
      <c r="O50" s="93">
        <v>0</v>
      </c>
      <c r="P50" s="93">
        <f t="shared" si="11"/>
        <v>34</v>
      </c>
      <c r="Q50" s="93">
        <v>0</v>
      </c>
      <c r="R50" s="93">
        <v>0</v>
      </c>
      <c r="S50" s="93">
        <v>0</v>
      </c>
      <c r="T50" s="93">
        <v>0</v>
      </c>
      <c r="U50" s="93">
        <v>0</v>
      </c>
      <c r="V50" s="93">
        <v>0</v>
      </c>
      <c r="W50" s="93">
        <v>0</v>
      </c>
      <c r="X50" s="93">
        <v>0</v>
      </c>
      <c r="Y50" s="93">
        <v>0</v>
      </c>
      <c r="Z50" s="93">
        <v>0</v>
      </c>
      <c r="AA50" s="93">
        <v>0</v>
      </c>
      <c r="AB50" s="95">
        <f t="shared" si="5"/>
        <v>34</v>
      </c>
      <c r="AC50" s="95">
        <f t="shared" si="7"/>
        <v>0</v>
      </c>
    </row>
    <row r="51" spans="1:29" ht="35.25" customHeight="1" x14ac:dyDescent="0.25">
      <c r="A51" s="43" t="s">
        <v>57</v>
      </c>
      <c r="B51" s="42" t="s">
        <v>135</v>
      </c>
      <c r="C51" s="91">
        <v>0</v>
      </c>
      <c r="D51" s="91">
        <v>0</v>
      </c>
      <c r="E51" s="91">
        <v>0</v>
      </c>
      <c r="F51" s="91">
        <v>0</v>
      </c>
      <c r="G51" s="91">
        <v>0</v>
      </c>
      <c r="H51" s="91">
        <v>0</v>
      </c>
      <c r="I51" s="91">
        <v>0</v>
      </c>
      <c r="J51" s="91">
        <v>0</v>
      </c>
      <c r="K51" s="91">
        <v>0</v>
      </c>
      <c r="L51" s="91">
        <v>0</v>
      </c>
      <c r="M51" s="91">
        <v>0</v>
      </c>
      <c r="N51" s="91">
        <v>0</v>
      </c>
      <c r="O51" s="91">
        <v>0</v>
      </c>
      <c r="P51" s="91">
        <v>0</v>
      </c>
      <c r="Q51" s="91">
        <v>0</v>
      </c>
      <c r="R51" s="91">
        <v>0</v>
      </c>
      <c r="S51" s="91">
        <v>0</v>
      </c>
      <c r="T51" s="91">
        <v>0</v>
      </c>
      <c r="U51" s="91">
        <v>0</v>
      </c>
      <c r="V51" s="91">
        <v>0</v>
      </c>
      <c r="W51" s="91">
        <v>0</v>
      </c>
      <c r="X51" s="91">
        <v>0</v>
      </c>
      <c r="Y51" s="91">
        <v>0</v>
      </c>
      <c r="Z51" s="91">
        <v>0</v>
      </c>
      <c r="AA51" s="91">
        <v>0</v>
      </c>
      <c r="AB51" s="95">
        <f t="shared" si="5"/>
        <v>0</v>
      </c>
      <c r="AC51" s="95">
        <f t="shared" si="7"/>
        <v>0</v>
      </c>
    </row>
    <row r="52" spans="1:29" x14ac:dyDescent="0.25">
      <c r="A52" s="40" t="s">
        <v>134</v>
      </c>
      <c r="B52" s="24" t="s">
        <v>133</v>
      </c>
      <c r="C52" s="91">
        <f>C30</f>
        <v>249.60219762390051</v>
      </c>
      <c r="D52" s="91">
        <v>0</v>
      </c>
      <c r="E52" s="91">
        <f>C52</f>
        <v>249.60219762390051</v>
      </c>
      <c r="F52" s="91">
        <f>E52-G52-H52</f>
        <v>249.60219762390051</v>
      </c>
      <c r="G52" s="93">
        <v>0</v>
      </c>
      <c r="H52" s="93">
        <v>0</v>
      </c>
      <c r="I52" s="93">
        <v>0</v>
      </c>
      <c r="J52" s="93">
        <v>0</v>
      </c>
      <c r="K52" s="93">
        <v>0</v>
      </c>
      <c r="L52" s="93">
        <v>0</v>
      </c>
      <c r="M52" s="93">
        <v>0</v>
      </c>
      <c r="N52" s="93">
        <v>0</v>
      </c>
      <c r="O52" s="93">
        <v>0</v>
      </c>
      <c r="P52" s="93">
        <f t="shared" ref="P52:P57" si="12">F52</f>
        <v>249.60219762390051</v>
      </c>
      <c r="Q52" s="93">
        <v>0</v>
      </c>
      <c r="R52" s="93">
        <v>0</v>
      </c>
      <c r="S52" s="93">
        <v>0</v>
      </c>
      <c r="T52" s="93">
        <v>0</v>
      </c>
      <c r="U52" s="93">
        <v>0</v>
      </c>
      <c r="V52" s="93">
        <v>0</v>
      </c>
      <c r="W52" s="93">
        <v>0</v>
      </c>
      <c r="X52" s="93">
        <v>0</v>
      </c>
      <c r="Y52" s="93">
        <v>0</v>
      </c>
      <c r="Z52" s="93">
        <v>0</v>
      </c>
      <c r="AA52" s="93">
        <v>0</v>
      </c>
      <c r="AB52" s="95">
        <f t="shared" si="5"/>
        <v>249.60219762390051</v>
      </c>
      <c r="AC52" s="95">
        <f t="shared" si="7"/>
        <v>0</v>
      </c>
    </row>
    <row r="53" spans="1:29" x14ac:dyDescent="0.25">
      <c r="A53" s="40" t="s">
        <v>132</v>
      </c>
      <c r="B53" s="24" t="s">
        <v>126</v>
      </c>
      <c r="C53" s="91">
        <v>0</v>
      </c>
      <c r="D53" s="91">
        <v>0</v>
      </c>
      <c r="E53" s="91">
        <f>C53</f>
        <v>0</v>
      </c>
      <c r="F53" s="91">
        <f>E53-G53-H53</f>
        <v>0</v>
      </c>
      <c r="G53" s="93">
        <v>0</v>
      </c>
      <c r="H53" s="93">
        <v>0</v>
      </c>
      <c r="I53" s="93">
        <v>0</v>
      </c>
      <c r="J53" s="93">
        <v>0</v>
      </c>
      <c r="K53" s="93">
        <v>0</v>
      </c>
      <c r="L53" s="93">
        <v>0</v>
      </c>
      <c r="M53" s="93">
        <v>0</v>
      </c>
      <c r="N53" s="93">
        <v>0</v>
      </c>
      <c r="O53" s="93">
        <v>0</v>
      </c>
      <c r="P53" s="93">
        <f t="shared" si="12"/>
        <v>0</v>
      </c>
      <c r="Q53" s="93">
        <v>0</v>
      </c>
      <c r="R53" s="93">
        <v>0</v>
      </c>
      <c r="S53" s="93">
        <v>0</v>
      </c>
      <c r="T53" s="93">
        <v>0</v>
      </c>
      <c r="U53" s="93">
        <v>0</v>
      </c>
      <c r="V53" s="93">
        <v>0</v>
      </c>
      <c r="W53" s="93">
        <v>0</v>
      </c>
      <c r="X53" s="93">
        <v>0</v>
      </c>
      <c r="Y53" s="93">
        <v>0</v>
      </c>
      <c r="Z53" s="93">
        <v>0</v>
      </c>
      <c r="AA53" s="93">
        <v>0</v>
      </c>
      <c r="AB53" s="95">
        <f t="shared" si="5"/>
        <v>0</v>
      </c>
      <c r="AC53" s="95">
        <f t="shared" si="7"/>
        <v>0</v>
      </c>
    </row>
    <row r="54" spans="1:29" x14ac:dyDescent="0.25">
      <c r="A54" s="40" t="s">
        <v>131</v>
      </c>
      <c r="B54" s="39" t="s">
        <v>125</v>
      </c>
      <c r="C54" s="91">
        <f>C45</f>
        <v>80</v>
      </c>
      <c r="D54" s="91">
        <v>0</v>
      </c>
      <c r="E54" s="91">
        <f>C54</f>
        <v>80</v>
      </c>
      <c r="F54" s="91">
        <f>E54-G54-H54</f>
        <v>80</v>
      </c>
      <c r="G54" s="93">
        <v>0</v>
      </c>
      <c r="H54" s="93">
        <v>0</v>
      </c>
      <c r="I54" s="93">
        <v>0</v>
      </c>
      <c r="J54" s="93">
        <v>0</v>
      </c>
      <c r="K54" s="93">
        <v>0</v>
      </c>
      <c r="L54" s="93">
        <v>0</v>
      </c>
      <c r="M54" s="93">
        <v>0</v>
      </c>
      <c r="N54" s="93">
        <v>0</v>
      </c>
      <c r="O54" s="93">
        <v>0</v>
      </c>
      <c r="P54" s="93">
        <f t="shared" si="12"/>
        <v>80</v>
      </c>
      <c r="Q54" s="93">
        <v>0</v>
      </c>
      <c r="R54" s="93">
        <v>0</v>
      </c>
      <c r="S54" s="93">
        <v>0</v>
      </c>
      <c r="T54" s="93">
        <v>0</v>
      </c>
      <c r="U54" s="93">
        <v>0</v>
      </c>
      <c r="V54" s="93">
        <v>0</v>
      </c>
      <c r="W54" s="93">
        <v>0</v>
      </c>
      <c r="X54" s="93">
        <v>0</v>
      </c>
      <c r="Y54" s="93">
        <v>0</v>
      </c>
      <c r="Z54" s="93">
        <v>0</v>
      </c>
      <c r="AA54" s="93">
        <v>0</v>
      </c>
      <c r="AB54" s="95">
        <f t="shared" si="5"/>
        <v>80</v>
      </c>
      <c r="AC54" s="95">
        <f t="shared" si="7"/>
        <v>0</v>
      </c>
    </row>
    <row r="55" spans="1:29" x14ac:dyDescent="0.25">
      <c r="A55" s="40" t="s">
        <v>130</v>
      </c>
      <c r="B55" s="39" t="s">
        <v>124</v>
      </c>
      <c r="C55" s="91">
        <v>0</v>
      </c>
      <c r="D55" s="91">
        <v>0</v>
      </c>
      <c r="E55" s="91">
        <v>0</v>
      </c>
      <c r="F55" s="91">
        <v>0</v>
      </c>
      <c r="G55" s="93">
        <v>0</v>
      </c>
      <c r="H55" s="93">
        <v>0</v>
      </c>
      <c r="I55" s="93">
        <v>0</v>
      </c>
      <c r="J55" s="93">
        <v>0</v>
      </c>
      <c r="K55" s="93">
        <v>0</v>
      </c>
      <c r="L55" s="93">
        <v>0</v>
      </c>
      <c r="M55" s="93">
        <v>0</v>
      </c>
      <c r="N55" s="93">
        <v>0</v>
      </c>
      <c r="O55" s="93">
        <v>0</v>
      </c>
      <c r="P55" s="93">
        <f t="shared" si="12"/>
        <v>0</v>
      </c>
      <c r="Q55" s="93">
        <v>0</v>
      </c>
      <c r="R55" s="93">
        <v>0</v>
      </c>
      <c r="S55" s="93">
        <v>0</v>
      </c>
      <c r="T55" s="93">
        <v>0</v>
      </c>
      <c r="U55" s="93">
        <v>0</v>
      </c>
      <c r="V55" s="93">
        <v>0</v>
      </c>
      <c r="W55" s="93">
        <v>0</v>
      </c>
      <c r="X55" s="93">
        <v>0</v>
      </c>
      <c r="Y55" s="93">
        <v>0</v>
      </c>
      <c r="Z55" s="93">
        <v>0</v>
      </c>
      <c r="AA55" s="93">
        <v>0</v>
      </c>
      <c r="AB55" s="95">
        <f t="shared" si="5"/>
        <v>0</v>
      </c>
      <c r="AC55" s="95">
        <f t="shared" si="7"/>
        <v>0</v>
      </c>
    </row>
    <row r="56" spans="1:29" x14ac:dyDescent="0.25">
      <c r="A56" s="40" t="s">
        <v>129</v>
      </c>
      <c r="B56" s="39" t="s">
        <v>123</v>
      </c>
      <c r="C56" s="91">
        <v>0</v>
      </c>
      <c r="D56" s="91">
        <v>0</v>
      </c>
      <c r="E56" s="91">
        <v>0</v>
      </c>
      <c r="F56" s="91">
        <v>0</v>
      </c>
      <c r="G56" s="93">
        <v>0</v>
      </c>
      <c r="H56" s="93">
        <v>0</v>
      </c>
      <c r="I56" s="93">
        <v>0</v>
      </c>
      <c r="J56" s="93">
        <v>0</v>
      </c>
      <c r="K56" s="93">
        <v>0</v>
      </c>
      <c r="L56" s="93">
        <v>0</v>
      </c>
      <c r="M56" s="93">
        <v>0</v>
      </c>
      <c r="N56" s="93">
        <v>0</v>
      </c>
      <c r="O56" s="93">
        <v>0</v>
      </c>
      <c r="P56" s="93">
        <f t="shared" si="12"/>
        <v>0</v>
      </c>
      <c r="Q56" s="93">
        <v>0</v>
      </c>
      <c r="R56" s="93">
        <v>0</v>
      </c>
      <c r="S56" s="93">
        <v>0</v>
      </c>
      <c r="T56" s="93">
        <v>0</v>
      </c>
      <c r="U56" s="93">
        <v>0</v>
      </c>
      <c r="V56" s="93">
        <v>0</v>
      </c>
      <c r="W56" s="93">
        <v>0</v>
      </c>
      <c r="X56" s="93">
        <v>0</v>
      </c>
      <c r="Y56" s="93">
        <v>0</v>
      </c>
      <c r="Z56" s="93">
        <v>0</v>
      </c>
      <c r="AA56" s="93">
        <v>0</v>
      </c>
      <c r="AB56" s="95">
        <f t="shared" si="5"/>
        <v>0</v>
      </c>
      <c r="AC56" s="95">
        <f t="shared" si="7"/>
        <v>0</v>
      </c>
    </row>
    <row r="57" spans="1:29" ht="18.75" x14ac:dyDescent="0.25">
      <c r="A57" s="40" t="s">
        <v>128</v>
      </c>
      <c r="B57" s="39" t="s">
        <v>532</v>
      </c>
      <c r="C57" s="91">
        <v>34</v>
      </c>
      <c r="D57" s="91">
        <v>0</v>
      </c>
      <c r="E57" s="91">
        <v>34</v>
      </c>
      <c r="F57" s="91">
        <v>34</v>
      </c>
      <c r="G57" s="93">
        <v>0</v>
      </c>
      <c r="H57" s="93">
        <v>0</v>
      </c>
      <c r="I57" s="93">
        <v>0</v>
      </c>
      <c r="J57" s="93">
        <v>0</v>
      </c>
      <c r="K57" s="93">
        <v>0</v>
      </c>
      <c r="L57" s="93">
        <v>0</v>
      </c>
      <c r="M57" s="93">
        <v>0</v>
      </c>
      <c r="N57" s="93">
        <v>0</v>
      </c>
      <c r="O57" s="93">
        <v>0</v>
      </c>
      <c r="P57" s="93">
        <f t="shared" si="12"/>
        <v>34</v>
      </c>
      <c r="Q57" s="93">
        <v>0</v>
      </c>
      <c r="R57" s="93">
        <v>0</v>
      </c>
      <c r="S57" s="93">
        <v>0</v>
      </c>
      <c r="T57" s="93">
        <v>0</v>
      </c>
      <c r="U57" s="93">
        <v>0</v>
      </c>
      <c r="V57" s="93">
        <v>0</v>
      </c>
      <c r="W57" s="93">
        <v>0</v>
      </c>
      <c r="X57" s="93">
        <v>0</v>
      </c>
      <c r="Y57" s="93">
        <v>0</v>
      </c>
      <c r="Z57" s="93">
        <v>0</v>
      </c>
      <c r="AA57" s="93">
        <v>0</v>
      </c>
      <c r="AB57" s="95">
        <f t="shared" si="5"/>
        <v>34</v>
      </c>
      <c r="AC57" s="95">
        <f t="shared" si="7"/>
        <v>0</v>
      </c>
    </row>
    <row r="58" spans="1:29" ht="36.75" customHeight="1" x14ac:dyDescent="0.25">
      <c r="A58" s="43" t="s">
        <v>56</v>
      </c>
      <c r="B58" s="52" t="s">
        <v>207</v>
      </c>
      <c r="C58" s="91">
        <v>0</v>
      </c>
      <c r="D58" s="91">
        <v>0</v>
      </c>
      <c r="E58" s="91">
        <v>0</v>
      </c>
      <c r="F58" s="91">
        <v>0</v>
      </c>
      <c r="G58" s="91">
        <v>0</v>
      </c>
      <c r="H58" s="91">
        <v>0</v>
      </c>
      <c r="I58" s="91">
        <v>0</v>
      </c>
      <c r="J58" s="91">
        <v>0</v>
      </c>
      <c r="K58" s="91">
        <v>0</v>
      </c>
      <c r="L58" s="91">
        <v>0</v>
      </c>
      <c r="M58" s="91">
        <v>0</v>
      </c>
      <c r="N58" s="91">
        <v>0</v>
      </c>
      <c r="O58" s="91">
        <v>0</v>
      </c>
      <c r="P58" s="91">
        <v>0</v>
      </c>
      <c r="Q58" s="91">
        <v>0</v>
      </c>
      <c r="R58" s="91">
        <v>0</v>
      </c>
      <c r="S58" s="91">
        <v>0</v>
      </c>
      <c r="T58" s="91">
        <v>0</v>
      </c>
      <c r="U58" s="91">
        <v>0</v>
      </c>
      <c r="V58" s="91">
        <v>0</v>
      </c>
      <c r="W58" s="91">
        <v>0</v>
      </c>
      <c r="X58" s="91">
        <v>0</v>
      </c>
      <c r="Y58" s="91">
        <v>0</v>
      </c>
      <c r="Z58" s="91">
        <v>0</v>
      </c>
      <c r="AA58" s="91">
        <v>0</v>
      </c>
      <c r="AB58" s="95">
        <f t="shared" si="5"/>
        <v>0</v>
      </c>
      <c r="AC58" s="95">
        <f t="shared" si="7"/>
        <v>0</v>
      </c>
    </row>
    <row r="59" spans="1:29" x14ac:dyDescent="0.25">
      <c r="A59" s="43" t="s">
        <v>54</v>
      </c>
      <c r="B59" s="42" t="s">
        <v>127</v>
      </c>
      <c r="C59" s="91">
        <v>0</v>
      </c>
      <c r="D59" s="91">
        <v>0</v>
      </c>
      <c r="E59" s="91">
        <v>0</v>
      </c>
      <c r="F59" s="91">
        <v>0</v>
      </c>
      <c r="G59" s="91">
        <v>0</v>
      </c>
      <c r="H59" s="91">
        <v>0</v>
      </c>
      <c r="I59" s="91">
        <v>0</v>
      </c>
      <c r="J59" s="91">
        <v>0</v>
      </c>
      <c r="K59" s="91">
        <v>0</v>
      </c>
      <c r="L59" s="91">
        <v>0</v>
      </c>
      <c r="M59" s="91">
        <v>0</v>
      </c>
      <c r="N59" s="91">
        <v>0</v>
      </c>
      <c r="O59" s="91">
        <v>0</v>
      </c>
      <c r="P59" s="91">
        <v>0</v>
      </c>
      <c r="Q59" s="91">
        <v>0</v>
      </c>
      <c r="R59" s="91">
        <v>0</v>
      </c>
      <c r="S59" s="91">
        <v>0</v>
      </c>
      <c r="T59" s="91">
        <v>0</v>
      </c>
      <c r="U59" s="91">
        <v>0</v>
      </c>
      <c r="V59" s="91">
        <v>0</v>
      </c>
      <c r="W59" s="91">
        <v>0</v>
      </c>
      <c r="X59" s="91">
        <v>0</v>
      </c>
      <c r="Y59" s="91">
        <v>0</v>
      </c>
      <c r="Z59" s="91">
        <v>0</v>
      </c>
      <c r="AA59" s="91">
        <v>0</v>
      </c>
      <c r="AB59" s="95">
        <f t="shared" si="5"/>
        <v>0</v>
      </c>
      <c r="AC59" s="95">
        <f t="shared" si="7"/>
        <v>0</v>
      </c>
    </row>
    <row r="60" spans="1:29" x14ac:dyDescent="0.25">
      <c r="A60" s="40" t="s">
        <v>201</v>
      </c>
      <c r="B60" s="41" t="s">
        <v>147</v>
      </c>
      <c r="C60" s="91">
        <v>0</v>
      </c>
      <c r="D60" s="91">
        <v>0</v>
      </c>
      <c r="E60" s="91">
        <v>0</v>
      </c>
      <c r="F60" s="91">
        <v>0</v>
      </c>
      <c r="G60" s="93">
        <v>0</v>
      </c>
      <c r="H60" s="93">
        <v>0</v>
      </c>
      <c r="I60" s="93">
        <v>0</v>
      </c>
      <c r="J60" s="93">
        <v>0</v>
      </c>
      <c r="K60" s="93">
        <v>0</v>
      </c>
      <c r="L60" s="93">
        <v>0</v>
      </c>
      <c r="M60" s="93">
        <v>0</v>
      </c>
      <c r="N60" s="93">
        <v>0</v>
      </c>
      <c r="O60" s="93">
        <v>0</v>
      </c>
      <c r="P60" s="93">
        <v>0</v>
      </c>
      <c r="Q60" s="93">
        <v>0</v>
      </c>
      <c r="R60" s="93">
        <v>0</v>
      </c>
      <c r="S60" s="93">
        <v>0</v>
      </c>
      <c r="T60" s="93">
        <v>0</v>
      </c>
      <c r="U60" s="93">
        <v>0</v>
      </c>
      <c r="V60" s="93">
        <v>0</v>
      </c>
      <c r="W60" s="93">
        <v>0</v>
      </c>
      <c r="X60" s="93">
        <v>0</v>
      </c>
      <c r="Y60" s="93">
        <v>0</v>
      </c>
      <c r="Z60" s="93">
        <v>0</v>
      </c>
      <c r="AA60" s="93">
        <v>0</v>
      </c>
      <c r="AB60" s="95">
        <f t="shared" si="5"/>
        <v>0</v>
      </c>
      <c r="AC60" s="95">
        <f t="shared" si="7"/>
        <v>0</v>
      </c>
    </row>
    <row r="61" spans="1:29" x14ac:dyDescent="0.25">
      <c r="A61" s="40" t="s">
        <v>202</v>
      </c>
      <c r="B61" s="41" t="s">
        <v>145</v>
      </c>
      <c r="C61" s="91">
        <v>0</v>
      </c>
      <c r="D61" s="91">
        <v>0</v>
      </c>
      <c r="E61" s="91">
        <v>0</v>
      </c>
      <c r="F61" s="91">
        <v>0</v>
      </c>
      <c r="G61" s="93">
        <v>0</v>
      </c>
      <c r="H61" s="93">
        <v>0</v>
      </c>
      <c r="I61" s="93">
        <v>0</v>
      </c>
      <c r="J61" s="93">
        <v>0</v>
      </c>
      <c r="K61" s="93">
        <v>0</v>
      </c>
      <c r="L61" s="93">
        <v>0</v>
      </c>
      <c r="M61" s="93">
        <v>0</v>
      </c>
      <c r="N61" s="93">
        <v>0</v>
      </c>
      <c r="O61" s="93">
        <v>0</v>
      </c>
      <c r="P61" s="93">
        <v>0</v>
      </c>
      <c r="Q61" s="93">
        <v>0</v>
      </c>
      <c r="R61" s="93">
        <v>0</v>
      </c>
      <c r="S61" s="93">
        <v>0</v>
      </c>
      <c r="T61" s="93">
        <v>0</v>
      </c>
      <c r="U61" s="93">
        <v>0</v>
      </c>
      <c r="V61" s="93">
        <v>0</v>
      </c>
      <c r="W61" s="93">
        <v>0</v>
      </c>
      <c r="X61" s="93">
        <v>0</v>
      </c>
      <c r="Y61" s="93">
        <v>0</v>
      </c>
      <c r="Z61" s="93">
        <v>0</v>
      </c>
      <c r="AA61" s="93">
        <v>0</v>
      </c>
      <c r="AB61" s="95">
        <f t="shared" si="5"/>
        <v>0</v>
      </c>
      <c r="AC61" s="95">
        <f t="shared" si="7"/>
        <v>0</v>
      </c>
    </row>
    <row r="62" spans="1:29" x14ac:dyDescent="0.25">
      <c r="A62" s="40" t="s">
        <v>203</v>
      </c>
      <c r="B62" s="41" t="s">
        <v>143</v>
      </c>
      <c r="C62" s="91">
        <v>0</v>
      </c>
      <c r="D62" s="91">
        <v>0</v>
      </c>
      <c r="E62" s="91">
        <v>0</v>
      </c>
      <c r="F62" s="91">
        <v>0</v>
      </c>
      <c r="G62" s="93">
        <v>0</v>
      </c>
      <c r="H62" s="93">
        <v>0</v>
      </c>
      <c r="I62" s="93">
        <v>0</v>
      </c>
      <c r="J62" s="93">
        <v>0</v>
      </c>
      <c r="K62" s="93">
        <v>0</v>
      </c>
      <c r="L62" s="93">
        <v>0</v>
      </c>
      <c r="M62" s="93">
        <v>0</v>
      </c>
      <c r="N62" s="93">
        <v>0</v>
      </c>
      <c r="O62" s="93">
        <v>0</v>
      </c>
      <c r="P62" s="93">
        <v>0</v>
      </c>
      <c r="Q62" s="93">
        <v>0</v>
      </c>
      <c r="R62" s="93">
        <v>0</v>
      </c>
      <c r="S62" s="93">
        <v>0</v>
      </c>
      <c r="T62" s="93">
        <v>0</v>
      </c>
      <c r="U62" s="93">
        <v>0</v>
      </c>
      <c r="V62" s="93">
        <v>0</v>
      </c>
      <c r="W62" s="93">
        <v>0</v>
      </c>
      <c r="X62" s="93">
        <v>0</v>
      </c>
      <c r="Y62" s="93">
        <v>0</v>
      </c>
      <c r="Z62" s="93">
        <v>0</v>
      </c>
      <c r="AA62" s="93">
        <v>0</v>
      </c>
      <c r="AB62" s="95">
        <f t="shared" si="5"/>
        <v>0</v>
      </c>
      <c r="AC62" s="95">
        <f t="shared" si="7"/>
        <v>0</v>
      </c>
    </row>
    <row r="63" spans="1:29" x14ac:dyDescent="0.25">
      <c r="A63" s="40" t="s">
        <v>204</v>
      </c>
      <c r="B63" s="41" t="s">
        <v>206</v>
      </c>
      <c r="C63" s="91">
        <v>0</v>
      </c>
      <c r="D63" s="91">
        <v>0</v>
      </c>
      <c r="E63" s="91">
        <v>0</v>
      </c>
      <c r="F63" s="91">
        <v>0</v>
      </c>
      <c r="G63" s="93">
        <v>0</v>
      </c>
      <c r="H63" s="93">
        <v>0</v>
      </c>
      <c r="I63" s="93">
        <v>0</v>
      </c>
      <c r="J63" s="93">
        <v>0</v>
      </c>
      <c r="K63" s="93">
        <v>0</v>
      </c>
      <c r="L63" s="93">
        <v>0</v>
      </c>
      <c r="M63" s="93">
        <v>0</v>
      </c>
      <c r="N63" s="93">
        <v>0</v>
      </c>
      <c r="O63" s="93">
        <v>0</v>
      </c>
      <c r="P63" s="93">
        <v>0</v>
      </c>
      <c r="Q63" s="93">
        <v>0</v>
      </c>
      <c r="R63" s="93">
        <v>0</v>
      </c>
      <c r="S63" s="93">
        <v>0</v>
      </c>
      <c r="T63" s="93">
        <v>0</v>
      </c>
      <c r="U63" s="93">
        <v>0</v>
      </c>
      <c r="V63" s="93">
        <v>0</v>
      </c>
      <c r="W63" s="93">
        <v>0</v>
      </c>
      <c r="X63" s="93">
        <v>0</v>
      </c>
      <c r="Y63" s="93">
        <v>0</v>
      </c>
      <c r="Z63" s="93">
        <v>0</v>
      </c>
      <c r="AA63" s="93">
        <v>0</v>
      </c>
      <c r="AB63" s="95">
        <f t="shared" si="5"/>
        <v>0</v>
      </c>
      <c r="AC63" s="95">
        <f t="shared" si="7"/>
        <v>0</v>
      </c>
    </row>
    <row r="64" spans="1:29" ht="18.75" x14ac:dyDescent="0.25">
      <c r="A64" s="40" t="s">
        <v>205</v>
      </c>
      <c r="B64" s="39" t="s">
        <v>122</v>
      </c>
      <c r="C64" s="91">
        <v>0</v>
      </c>
      <c r="D64" s="91">
        <v>0</v>
      </c>
      <c r="E64" s="91">
        <v>0</v>
      </c>
      <c r="F64" s="91">
        <v>0</v>
      </c>
      <c r="G64" s="93">
        <v>0</v>
      </c>
      <c r="H64" s="93">
        <v>0</v>
      </c>
      <c r="I64" s="93">
        <v>0</v>
      </c>
      <c r="J64" s="93">
        <v>0</v>
      </c>
      <c r="K64" s="93">
        <v>0</v>
      </c>
      <c r="L64" s="93">
        <v>0</v>
      </c>
      <c r="M64" s="93">
        <v>0</v>
      </c>
      <c r="N64" s="93">
        <v>0</v>
      </c>
      <c r="O64" s="93">
        <v>0</v>
      </c>
      <c r="P64" s="93">
        <v>0</v>
      </c>
      <c r="Q64" s="93">
        <v>0</v>
      </c>
      <c r="R64" s="93">
        <v>0</v>
      </c>
      <c r="S64" s="93">
        <v>0</v>
      </c>
      <c r="T64" s="93">
        <v>0</v>
      </c>
      <c r="U64" s="93">
        <v>0</v>
      </c>
      <c r="V64" s="93">
        <v>0</v>
      </c>
      <c r="W64" s="93">
        <v>0</v>
      </c>
      <c r="X64" s="93">
        <v>0</v>
      </c>
      <c r="Y64" s="93">
        <v>0</v>
      </c>
      <c r="Z64" s="93">
        <v>0</v>
      </c>
      <c r="AA64" s="93">
        <v>0</v>
      </c>
      <c r="AB64" s="95">
        <f t="shared" si="5"/>
        <v>0</v>
      </c>
      <c r="AC64" s="95">
        <f t="shared" si="7"/>
        <v>0</v>
      </c>
    </row>
    <row r="65" spans="1:28" x14ac:dyDescent="0.25">
      <c r="A65" s="37"/>
      <c r="B65" s="32"/>
      <c r="C65" s="32"/>
      <c r="D65" s="32"/>
      <c r="E65" s="32"/>
      <c r="F65" s="32"/>
      <c r="G65" s="32"/>
      <c r="H65" s="32"/>
      <c r="I65" s="32"/>
      <c r="J65" s="32"/>
      <c r="K65" s="32"/>
      <c r="L65" s="37"/>
      <c r="M65" s="37"/>
      <c r="T65" s="37"/>
      <c r="U65" s="37"/>
    </row>
    <row r="66" spans="1:28" ht="54" customHeight="1" x14ac:dyDescent="0.25">
      <c r="B66" s="372"/>
      <c r="C66" s="372"/>
      <c r="D66" s="372"/>
      <c r="E66" s="372"/>
      <c r="F66" s="372"/>
      <c r="G66" s="372"/>
      <c r="H66" s="372"/>
      <c r="I66" s="372"/>
      <c r="J66" s="34"/>
      <c r="K66" s="34"/>
      <c r="L66" s="36"/>
      <c r="M66" s="36"/>
      <c r="N66" s="36"/>
      <c r="O66" s="36"/>
      <c r="P66" s="36"/>
      <c r="Q66" s="36"/>
      <c r="R66" s="36"/>
      <c r="S66" s="36"/>
      <c r="T66" s="36"/>
      <c r="U66" s="36"/>
      <c r="V66" s="36"/>
      <c r="W66" s="36"/>
      <c r="X66" s="36"/>
      <c r="Y66" s="36"/>
      <c r="Z66" s="36"/>
      <c r="AA66" s="36"/>
      <c r="AB66" s="36"/>
    </row>
    <row r="68" spans="1:28" ht="50.25" customHeight="1" x14ac:dyDescent="0.25">
      <c r="B68" s="372"/>
      <c r="C68" s="372"/>
      <c r="D68" s="372"/>
      <c r="E68" s="372"/>
      <c r="F68" s="372"/>
      <c r="G68" s="372"/>
      <c r="H68" s="372"/>
      <c r="I68" s="372"/>
      <c r="J68" s="34"/>
      <c r="K68" s="34"/>
    </row>
    <row r="70" spans="1:28" ht="36.75" customHeight="1" x14ac:dyDescent="0.25">
      <c r="B70" s="372"/>
      <c r="C70" s="372"/>
      <c r="D70" s="372"/>
      <c r="E70" s="372"/>
      <c r="F70" s="372"/>
      <c r="G70" s="372"/>
      <c r="H70" s="372"/>
      <c r="I70" s="372"/>
      <c r="J70" s="34"/>
      <c r="K70" s="34"/>
    </row>
    <row r="71" spans="1:28" x14ac:dyDescent="0.25">
      <c r="N71" s="35"/>
      <c r="V71" s="35"/>
    </row>
    <row r="72" spans="1:28" ht="51" customHeight="1" x14ac:dyDescent="0.25">
      <c r="B72" s="372"/>
      <c r="C72" s="372"/>
      <c r="D72" s="372"/>
      <c r="E72" s="372"/>
      <c r="F72" s="372"/>
      <c r="G72" s="372"/>
      <c r="H72" s="372"/>
      <c r="I72" s="372"/>
      <c r="J72" s="34"/>
      <c r="K72" s="34"/>
      <c r="N72" s="35"/>
      <c r="V72" s="35"/>
    </row>
    <row r="73" spans="1:28" ht="32.25" customHeight="1" x14ac:dyDescent="0.25">
      <c r="B73" s="372"/>
      <c r="C73" s="372"/>
      <c r="D73" s="372"/>
      <c r="E73" s="372"/>
      <c r="F73" s="372"/>
      <c r="G73" s="372"/>
      <c r="H73" s="372"/>
      <c r="I73" s="372"/>
      <c r="J73" s="34"/>
      <c r="K73" s="34"/>
    </row>
    <row r="74" spans="1:28" ht="51.75" customHeight="1" x14ac:dyDescent="0.25">
      <c r="B74" s="372"/>
      <c r="C74" s="372"/>
      <c r="D74" s="372"/>
      <c r="E74" s="372"/>
      <c r="F74" s="372"/>
      <c r="G74" s="372"/>
      <c r="H74" s="372"/>
      <c r="I74" s="372"/>
      <c r="J74" s="34"/>
      <c r="K74" s="34"/>
    </row>
    <row r="75" spans="1:28" ht="21.75" customHeight="1" x14ac:dyDescent="0.25">
      <c r="B75" s="378"/>
      <c r="C75" s="378"/>
      <c r="D75" s="378"/>
      <c r="E75" s="378"/>
      <c r="F75" s="378"/>
      <c r="G75" s="378"/>
      <c r="H75" s="378"/>
      <c r="I75" s="378"/>
      <c r="J75" s="33"/>
      <c r="K75" s="33"/>
    </row>
    <row r="76" spans="1:28" ht="23.25" customHeight="1" x14ac:dyDescent="0.25"/>
    <row r="77" spans="1:28" ht="18.75" customHeight="1" x14ac:dyDescent="0.25">
      <c r="B77" s="371"/>
      <c r="C77" s="371"/>
      <c r="D77" s="371"/>
      <c r="E77" s="371"/>
      <c r="F77" s="371"/>
      <c r="G77" s="371"/>
      <c r="H77" s="371"/>
      <c r="I77" s="371"/>
      <c r="J77" s="32"/>
      <c r="K77" s="32"/>
    </row>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8" zoomScale="70" zoomScaleNormal="70" zoomScaleSheetLayoutView="70" workbookViewId="0">
      <selection activeCell="R35" sqref="R35"/>
    </sheetView>
  </sheetViews>
  <sheetFormatPr defaultColWidth="9.140625" defaultRowHeight="15.75" x14ac:dyDescent="0.25"/>
  <cols>
    <col min="1" max="1" width="9.140625" style="183"/>
    <col min="2" max="2" width="57.85546875" style="183" customWidth="1"/>
    <col min="3" max="3" width="13" style="183" customWidth="1"/>
    <col min="4" max="4" width="15.140625" style="183" customWidth="1"/>
    <col min="5" max="5" width="15.7109375" style="183" customWidth="1"/>
    <col min="6" max="6" width="17.7109375" style="183" customWidth="1"/>
    <col min="7" max="7" width="15.85546875" style="183" customWidth="1"/>
    <col min="8" max="15" width="9.28515625" style="183" customWidth="1"/>
    <col min="16" max="17" width="8" style="183" customWidth="1"/>
    <col min="18" max="19" width="8.5703125" style="183" customWidth="1"/>
    <col min="20" max="21" width="8" style="183" customWidth="1"/>
    <col min="22" max="23" width="8.5703125" style="183" customWidth="1"/>
    <col min="24" max="25" width="8" style="183" customWidth="1"/>
    <col min="26" max="27" width="8.5703125" style="183" customWidth="1"/>
    <col min="28" max="28" width="15.42578125" style="183" customWidth="1"/>
    <col min="29" max="29" width="18.7109375" style="183" customWidth="1"/>
    <col min="30" max="16384" width="9.140625" style="183"/>
  </cols>
  <sheetData>
    <row r="1" spans="1:29" ht="18.75" x14ac:dyDescent="0.25">
      <c r="AC1" s="286" t="s">
        <v>66</v>
      </c>
    </row>
    <row r="2" spans="1:29" ht="18.75" x14ac:dyDescent="0.3">
      <c r="AC2" s="287" t="s">
        <v>8</v>
      </c>
    </row>
    <row r="3" spans="1:29" ht="18.75" x14ac:dyDescent="0.3">
      <c r="AC3" s="287" t="s">
        <v>65</v>
      </c>
    </row>
    <row r="4" spans="1:29" ht="18.75" customHeight="1" x14ac:dyDescent="0.25">
      <c r="A4" s="402" t="str">
        <f>'6.1. Паспорт сетевой график'!A5:K5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row>
    <row r="5" spans="1:29" ht="18.75" x14ac:dyDescent="0.3">
      <c r="AC5" s="287"/>
    </row>
    <row r="6" spans="1:29" ht="18.75" x14ac:dyDescent="0.25">
      <c r="A6" s="403" t="s">
        <v>7</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184"/>
      <c r="B7" s="184"/>
      <c r="C7" s="184"/>
      <c r="D7" s="184"/>
      <c r="E7" s="184"/>
      <c r="F7" s="184"/>
      <c r="G7" s="184"/>
      <c r="H7" s="288"/>
      <c r="I7" s="288"/>
      <c r="J7" s="288"/>
      <c r="K7" s="288"/>
      <c r="L7" s="288"/>
      <c r="M7" s="288"/>
      <c r="N7" s="288"/>
      <c r="O7" s="288"/>
      <c r="P7" s="288"/>
      <c r="Q7" s="288"/>
      <c r="R7" s="288"/>
      <c r="S7" s="288"/>
      <c r="T7" s="288"/>
      <c r="U7" s="288"/>
      <c r="V7" s="288"/>
      <c r="W7" s="288"/>
      <c r="X7" s="288"/>
      <c r="Y7" s="288"/>
      <c r="Z7" s="288"/>
      <c r="AA7" s="288"/>
      <c r="AB7" s="288"/>
      <c r="AC7" s="288"/>
    </row>
    <row r="8" spans="1:29" x14ac:dyDescent="0.25">
      <c r="A8" s="404" t="str">
        <f>'6.1. Паспорт сетевой график'!A9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395" t="s">
        <v>6</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184"/>
      <c r="B10" s="184"/>
      <c r="C10" s="184"/>
      <c r="D10" s="184"/>
      <c r="E10" s="184"/>
      <c r="F10" s="184"/>
      <c r="G10" s="184"/>
      <c r="H10" s="288"/>
      <c r="I10" s="288"/>
      <c r="J10" s="288"/>
      <c r="K10" s="288"/>
      <c r="L10" s="288"/>
      <c r="M10" s="288"/>
      <c r="N10" s="288"/>
      <c r="O10" s="288"/>
      <c r="P10" s="288"/>
      <c r="Q10" s="288"/>
      <c r="R10" s="288"/>
      <c r="S10" s="288"/>
      <c r="T10" s="288"/>
      <c r="U10" s="288"/>
      <c r="V10" s="288"/>
      <c r="W10" s="288"/>
      <c r="X10" s="288"/>
      <c r="Y10" s="288"/>
      <c r="Z10" s="288"/>
      <c r="AA10" s="288"/>
      <c r="AB10" s="288"/>
      <c r="AC10" s="288"/>
    </row>
    <row r="11" spans="1:29" x14ac:dyDescent="0.25">
      <c r="A11" s="404" t="str">
        <f>'6.1. Паспорт сетевой график'!A12</f>
        <v>M 22-28</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185"/>
      <c r="B13" s="185"/>
      <c r="C13" s="185"/>
      <c r="D13" s="185"/>
      <c r="E13" s="185"/>
      <c r="F13" s="185"/>
      <c r="G13" s="185"/>
      <c r="H13" s="289"/>
      <c r="I13" s="289"/>
      <c r="J13" s="289"/>
      <c r="K13" s="289"/>
      <c r="L13" s="289"/>
      <c r="M13" s="289"/>
      <c r="N13" s="289"/>
      <c r="O13" s="289"/>
      <c r="P13" s="289"/>
      <c r="Q13" s="289"/>
      <c r="R13" s="289"/>
      <c r="S13" s="289"/>
      <c r="T13" s="289"/>
      <c r="U13" s="289"/>
      <c r="V13" s="289"/>
      <c r="W13" s="289"/>
      <c r="X13" s="289"/>
      <c r="Y13" s="289"/>
      <c r="Z13" s="289"/>
      <c r="AA13" s="289"/>
      <c r="AB13" s="289"/>
      <c r="AC13" s="289"/>
    </row>
    <row r="14" spans="1:29" ht="36" customHeight="1" x14ac:dyDescent="0.25">
      <c r="A14" s="394" t="str">
        <f>'6.1. Паспорт сетевой график'!A15</f>
        <v>Приобретение ВЛ-15кВ № 15-298 г. Светлый</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7" spans="1:32" x14ac:dyDescent="0.25">
      <c r="I17" s="290"/>
    </row>
    <row r="18" spans="1:32" ht="30" customHeight="1" x14ac:dyDescent="0.25">
      <c r="A18" s="397" t="s">
        <v>393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19" spans="1:32" ht="49.5" hidden="1" customHeight="1" x14ac:dyDescent="0.25">
      <c r="E19" s="186" t="s">
        <v>551</v>
      </c>
      <c r="F19" s="186" t="s">
        <v>552</v>
      </c>
      <c r="G19" s="186" t="s">
        <v>553</v>
      </c>
      <c r="H19" s="183" t="s">
        <v>554</v>
      </c>
      <c r="L19" s="183" t="s">
        <v>555</v>
      </c>
      <c r="P19" s="183" t="s">
        <v>556</v>
      </c>
    </row>
    <row r="20" spans="1:32" ht="33" customHeight="1" x14ac:dyDescent="0.25">
      <c r="A20" s="398" t="s">
        <v>183</v>
      </c>
      <c r="B20" s="398" t="s">
        <v>182</v>
      </c>
      <c r="C20" s="390" t="s">
        <v>181</v>
      </c>
      <c r="D20" s="390"/>
      <c r="E20" s="401" t="s">
        <v>180</v>
      </c>
      <c r="F20" s="401"/>
      <c r="G20" s="398" t="s">
        <v>559</v>
      </c>
      <c r="H20" s="391">
        <v>2020</v>
      </c>
      <c r="I20" s="392"/>
      <c r="J20" s="392"/>
      <c r="K20" s="393"/>
      <c r="L20" s="391">
        <v>2021</v>
      </c>
      <c r="M20" s="392"/>
      <c r="N20" s="392"/>
      <c r="O20" s="393"/>
      <c r="P20" s="391">
        <v>2022</v>
      </c>
      <c r="Q20" s="392"/>
      <c r="R20" s="392"/>
      <c r="S20" s="393"/>
      <c r="T20" s="391">
        <v>2023</v>
      </c>
      <c r="U20" s="392"/>
      <c r="V20" s="392"/>
      <c r="W20" s="393"/>
      <c r="X20" s="391">
        <v>2024</v>
      </c>
      <c r="Y20" s="392"/>
      <c r="Z20" s="392"/>
      <c r="AA20" s="392"/>
      <c r="AB20" s="389" t="s">
        <v>179</v>
      </c>
      <c r="AC20" s="389"/>
      <c r="AD20" s="291"/>
      <c r="AE20" s="291"/>
      <c r="AF20" s="291"/>
    </row>
    <row r="21" spans="1:32" ht="99.75" customHeight="1" x14ac:dyDescent="0.25">
      <c r="A21" s="399"/>
      <c r="B21" s="399"/>
      <c r="C21" s="390"/>
      <c r="D21" s="390"/>
      <c r="E21" s="401"/>
      <c r="F21" s="401"/>
      <c r="G21" s="399"/>
      <c r="H21" s="390" t="s">
        <v>2</v>
      </c>
      <c r="I21" s="390"/>
      <c r="J21" s="390" t="s">
        <v>9</v>
      </c>
      <c r="K21" s="390"/>
      <c r="L21" s="390" t="s">
        <v>2</v>
      </c>
      <c r="M21" s="390"/>
      <c r="N21" s="390" t="s">
        <v>9</v>
      </c>
      <c r="O21" s="390"/>
      <c r="P21" s="390" t="s">
        <v>2</v>
      </c>
      <c r="Q21" s="390"/>
      <c r="R21" s="390" t="s">
        <v>9</v>
      </c>
      <c r="S21" s="390"/>
      <c r="T21" s="390" t="s">
        <v>2</v>
      </c>
      <c r="U21" s="390"/>
      <c r="V21" s="390" t="s">
        <v>178</v>
      </c>
      <c r="W21" s="390"/>
      <c r="X21" s="390" t="s">
        <v>2</v>
      </c>
      <c r="Y21" s="390"/>
      <c r="Z21" s="390" t="s">
        <v>178</v>
      </c>
      <c r="AA21" s="390"/>
      <c r="AB21" s="389"/>
      <c r="AC21" s="389"/>
    </row>
    <row r="22" spans="1:32" ht="89.25" customHeight="1" x14ac:dyDescent="0.25">
      <c r="A22" s="400"/>
      <c r="B22" s="400"/>
      <c r="C22" s="285" t="s">
        <v>2</v>
      </c>
      <c r="D22" s="285" t="s">
        <v>178</v>
      </c>
      <c r="E22" s="186" t="s">
        <v>550</v>
      </c>
      <c r="F22" s="186" t="s">
        <v>583</v>
      </c>
      <c r="G22" s="400"/>
      <c r="H22" s="292" t="s">
        <v>374</v>
      </c>
      <c r="I22" s="292" t="s">
        <v>375</v>
      </c>
      <c r="J22" s="292" t="s">
        <v>374</v>
      </c>
      <c r="K22" s="292" t="s">
        <v>375</v>
      </c>
      <c r="L22" s="292" t="s">
        <v>374</v>
      </c>
      <c r="M22" s="292" t="s">
        <v>375</v>
      </c>
      <c r="N22" s="292" t="s">
        <v>374</v>
      </c>
      <c r="O22" s="292" t="s">
        <v>375</v>
      </c>
      <c r="P22" s="292" t="s">
        <v>374</v>
      </c>
      <c r="Q22" s="292" t="s">
        <v>375</v>
      </c>
      <c r="R22" s="292" t="s">
        <v>374</v>
      </c>
      <c r="S22" s="292" t="s">
        <v>375</v>
      </c>
      <c r="T22" s="292" t="s">
        <v>374</v>
      </c>
      <c r="U22" s="292" t="s">
        <v>375</v>
      </c>
      <c r="V22" s="292" t="s">
        <v>374</v>
      </c>
      <c r="W22" s="292" t="s">
        <v>375</v>
      </c>
      <c r="X22" s="292" t="s">
        <v>374</v>
      </c>
      <c r="Y22" s="292" t="s">
        <v>375</v>
      </c>
      <c r="Z22" s="292" t="s">
        <v>374</v>
      </c>
      <c r="AA22" s="292" t="s">
        <v>375</v>
      </c>
      <c r="AB22" s="285" t="s">
        <v>557</v>
      </c>
      <c r="AC22" s="285" t="s">
        <v>539</v>
      </c>
    </row>
    <row r="23" spans="1:32" ht="19.5" customHeight="1" x14ac:dyDescent="0.25">
      <c r="A23" s="187">
        <v>1</v>
      </c>
      <c r="B23" s="187">
        <v>2</v>
      </c>
      <c r="C23" s="187">
        <v>3</v>
      </c>
      <c r="D23" s="187">
        <v>4</v>
      </c>
      <c r="E23" s="187">
        <v>5</v>
      </c>
      <c r="F23" s="187">
        <v>6</v>
      </c>
      <c r="G23" s="187">
        <v>7</v>
      </c>
      <c r="H23" s="187">
        <v>8</v>
      </c>
      <c r="I23" s="187">
        <v>9</v>
      </c>
      <c r="J23" s="187">
        <v>10</v>
      </c>
      <c r="K23" s="187">
        <v>11</v>
      </c>
      <c r="L23" s="187">
        <v>12</v>
      </c>
      <c r="M23" s="187">
        <v>13</v>
      </c>
      <c r="N23" s="187">
        <v>14</v>
      </c>
      <c r="O23" s="187">
        <v>15</v>
      </c>
      <c r="P23" s="187">
        <v>16</v>
      </c>
      <c r="Q23" s="187">
        <v>17</v>
      </c>
      <c r="R23" s="187">
        <v>18</v>
      </c>
      <c r="S23" s="187">
        <v>19</v>
      </c>
      <c r="T23" s="187">
        <v>20</v>
      </c>
      <c r="U23" s="187">
        <v>21</v>
      </c>
      <c r="V23" s="187">
        <v>22</v>
      </c>
      <c r="W23" s="187">
        <v>23</v>
      </c>
      <c r="X23" s="187">
        <v>24</v>
      </c>
      <c r="Y23" s="187">
        <v>25</v>
      </c>
      <c r="Z23" s="187">
        <v>26</v>
      </c>
      <c r="AA23" s="187">
        <v>27</v>
      </c>
      <c r="AB23" s="187">
        <v>28</v>
      </c>
      <c r="AC23" s="187">
        <v>29</v>
      </c>
    </row>
    <row r="24" spans="1:32" ht="47.25" customHeight="1" x14ac:dyDescent="0.25">
      <c r="A24" s="293">
        <v>1</v>
      </c>
      <c r="B24" s="294" t="s">
        <v>177</v>
      </c>
      <c r="C24" s="189" t="s">
        <v>540</v>
      </c>
      <c r="D24" s="188">
        <f>SUM(D25:D29)</f>
        <v>1.2</v>
      </c>
      <c r="E24" s="188" t="s">
        <v>540</v>
      </c>
      <c r="F24" s="189">
        <f>D24</f>
        <v>1.2</v>
      </c>
      <c r="G24" s="188" t="s">
        <v>540</v>
      </c>
      <c r="H24" s="188" t="s">
        <v>540</v>
      </c>
      <c r="I24" s="188">
        <f>SUM(I25:I29)</f>
        <v>0</v>
      </c>
      <c r="J24" s="189">
        <v>0</v>
      </c>
      <c r="K24" s="188">
        <v>0</v>
      </c>
      <c r="L24" s="188" t="s">
        <v>540</v>
      </c>
      <c r="M24" s="188">
        <f t="shared" ref="M24:Y24" si="0">SUM(M25:M29)</f>
        <v>0</v>
      </c>
      <c r="N24" s="189">
        <v>0</v>
      </c>
      <c r="O24" s="188">
        <v>0</v>
      </c>
      <c r="P24" s="188" t="s">
        <v>540</v>
      </c>
      <c r="Q24" s="188">
        <f t="shared" si="0"/>
        <v>0</v>
      </c>
      <c r="R24" s="189">
        <f>F24</f>
        <v>1.2</v>
      </c>
      <c r="S24" s="188">
        <v>2</v>
      </c>
      <c r="T24" s="189" t="s">
        <v>540</v>
      </c>
      <c r="U24" s="188">
        <f t="shared" si="0"/>
        <v>0</v>
      </c>
      <c r="V24" s="188">
        <v>0</v>
      </c>
      <c r="W24" s="188">
        <v>0</v>
      </c>
      <c r="X24" s="189" t="s">
        <v>540</v>
      </c>
      <c r="Y24" s="188">
        <f t="shared" si="0"/>
        <v>0</v>
      </c>
      <c r="Z24" s="188">
        <v>0</v>
      </c>
      <c r="AA24" s="188">
        <v>0</v>
      </c>
      <c r="AB24" s="189" t="s">
        <v>540</v>
      </c>
      <c r="AC24" s="188">
        <f>Z24+V24+R24+N24+J24</f>
        <v>1.2</v>
      </c>
      <c r="AD24" s="290"/>
    </row>
    <row r="25" spans="1:32" ht="24" customHeight="1" x14ac:dyDescent="0.25">
      <c r="A25" s="295" t="s">
        <v>176</v>
      </c>
      <c r="B25" s="296" t="s">
        <v>175</v>
      </c>
      <c r="C25" s="189" t="s">
        <v>540</v>
      </c>
      <c r="D25" s="188">
        <v>0</v>
      </c>
      <c r="E25" s="188" t="s">
        <v>540</v>
      </c>
      <c r="F25" s="189">
        <f t="shared" ref="F25:F64" si="1">D25</f>
        <v>0</v>
      </c>
      <c r="G25" s="189" t="s">
        <v>540</v>
      </c>
      <c r="H25" s="189" t="s">
        <v>540</v>
      </c>
      <c r="I25" s="189">
        <v>0</v>
      </c>
      <c r="J25" s="189">
        <v>0</v>
      </c>
      <c r="K25" s="188">
        <v>0</v>
      </c>
      <c r="L25" s="188" t="s">
        <v>540</v>
      </c>
      <c r="M25" s="189">
        <v>0</v>
      </c>
      <c r="N25" s="189">
        <v>0</v>
      </c>
      <c r="O25" s="188">
        <v>0</v>
      </c>
      <c r="P25" s="189" t="s">
        <v>540</v>
      </c>
      <c r="Q25" s="189">
        <v>0</v>
      </c>
      <c r="R25" s="189">
        <f t="shared" ref="R25:R64" si="2">F25</f>
        <v>0</v>
      </c>
      <c r="S25" s="188">
        <v>0</v>
      </c>
      <c r="T25" s="189" t="s">
        <v>540</v>
      </c>
      <c r="U25" s="189">
        <v>0</v>
      </c>
      <c r="V25" s="188">
        <v>0</v>
      </c>
      <c r="W25" s="188">
        <v>0</v>
      </c>
      <c r="X25" s="189" t="s">
        <v>540</v>
      </c>
      <c r="Y25" s="189">
        <v>0</v>
      </c>
      <c r="Z25" s="188">
        <v>0</v>
      </c>
      <c r="AA25" s="188">
        <v>0</v>
      </c>
      <c r="AB25" s="189" t="s">
        <v>540</v>
      </c>
      <c r="AC25" s="188">
        <f t="shared" ref="AC25:AC64" si="3">Z25+V25+R25+N25+J25</f>
        <v>0</v>
      </c>
    </row>
    <row r="26" spans="1:32" x14ac:dyDescent="0.25">
      <c r="A26" s="295" t="s">
        <v>174</v>
      </c>
      <c r="B26" s="296" t="s">
        <v>173</v>
      </c>
      <c r="C26" s="189" t="s">
        <v>540</v>
      </c>
      <c r="D26" s="188">
        <v>0</v>
      </c>
      <c r="E26" s="188" t="s">
        <v>540</v>
      </c>
      <c r="F26" s="189">
        <f t="shared" si="1"/>
        <v>0</v>
      </c>
      <c r="G26" s="189" t="s">
        <v>540</v>
      </c>
      <c r="H26" s="189" t="s">
        <v>540</v>
      </c>
      <c r="I26" s="189">
        <v>0</v>
      </c>
      <c r="J26" s="189">
        <v>0</v>
      </c>
      <c r="K26" s="188">
        <v>0</v>
      </c>
      <c r="L26" s="188" t="s">
        <v>540</v>
      </c>
      <c r="M26" s="189">
        <v>0</v>
      </c>
      <c r="N26" s="189">
        <v>0</v>
      </c>
      <c r="O26" s="188">
        <v>0</v>
      </c>
      <c r="P26" s="189" t="s">
        <v>540</v>
      </c>
      <c r="Q26" s="189">
        <v>0</v>
      </c>
      <c r="R26" s="189">
        <f t="shared" si="2"/>
        <v>0</v>
      </c>
      <c r="S26" s="188">
        <v>0</v>
      </c>
      <c r="T26" s="189" t="s">
        <v>540</v>
      </c>
      <c r="U26" s="189">
        <v>0</v>
      </c>
      <c r="V26" s="188">
        <v>0</v>
      </c>
      <c r="W26" s="188">
        <v>0</v>
      </c>
      <c r="X26" s="189" t="s">
        <v>540</v>
      </c>
      <c r="Y26" s="189">
        <v>0</v>
      </c>
      <c r="Z26" s="188">
        <v>0</v>
      </c>
      <c r="AA26" s="188">
        <v>0</v>
      </c>
      <c r="AB26" s="189" t="s">
        <v>540</v>
      </c>
      <c r="AC26" s="188">
        <f t="shared" si="3"/>
        <v>0</v>
      </c>
    </row>
    <row r="27" spans="1:32" ht="31.5" x14ac:dyDescent="0.25">
      <c r="A27" s="295" t="s">
        <v>172</v>
      </c>
      <c r="B27" s="296" t="s">
        <v>356</v>
      </c>
      <c r="C27" s="189" t="s">
        <v>540</v>
      </c>
      <c r="D27" s="188">
        <v>1</v>
      </c>
      <c r="E27" s="188" t="s">
        <v>540</v>
      </c>
      <c r="F27" s="189">
        <f t="shared" si="1"/>
        <v>1</v>
      </c>
      <c r="G27" s="189" t="s">
        <v>540</v>
      </c>
      <c r="H27" s="189" t="s">
        <v>540</v>
      </c>
      <c r="I27" s="189">
        <v>0</v>
      </c>
      <c r="J27" s="189">
        <v>0</v>
      </c>
      <c r="K27" s="188">
        <v>0</v>
      </c>
      <c r="L27" s="188" t="s">
        <v>540</v>
      </c>
      <c r="M27" s="189">
        <v>0</v>
      </c>
      <c r="N27" s="189">
        <v>0</v>
      </c>
      <c r="O27" s="188">
        <v>0</v>
      </c>
      <c r="P27" s="189" t="s">
        <v>540</v>
      </c>
      <c r="Q27" s="189">
        <v>0</v>
      </c>
      <c r="R27" s="189">
        <f t="shared" si="2"/>
        <v>1</v>
      </c>
      <c r="S27" s="188">
        <v>0</v>
      </c>
      <c r="T27" s="189" t="s">
        <v>540</v>
      </c>
      <c r="U27" s="189">
        <v>0</v>
      </c>
      <c r="V27" s="188">
        <v>0</v>
      </c>
      <c r="W27" s="188">
        <v>0</v>
      </c>
      <c r="X27" s="189" t="s">
        <v>540</v>
      </c>
      <c r="Y27" s="189">
        <v>0</v>
      </c>
      <c r="Z27" s="188">
        <v>0</v>
      </c>
      <c r="AA27" s="188">
        <v>0</v>
      </c>
      <c r="AB27" s="189" t="s">
        <v>540</v>
      </c>
      <c r="AC27" s="188">
        <f t="shared" si="3"/>
        <v>1</v>
      </c>
    </row>
    <row r="28" spans="1:32" x14ac:dyDescent="0.25">
      <c r="A28" s="295" t="s">
        <v>171</v>
      </c>
      <c r="B28" s="296" t="s">
        <v>541</v>
      </c>
      <c r="C28" s="189" t="s">
        <v>540</v>
      </c>
      <c r="D28" s="188">
        <v>0</v>
      </c>
      <c r="E28" s="188" t="s">
        <v>540</v>
      </c>
      <c r="F28" s="189">
        <f t="shared" si="1"/>
        <v>0</v>
      </c>
      <c r="G28" s="189" t="s">
        <v>540</v>
      </c>
      <c r="H28" s="189" t="s">
        <v>540</v>
      </c>
      <c r="I28" s="189">
        <v>0</v>
      </c>
      <c r="J28" s="189">
        <v>0</v>
      </c>
      <c r="K28" s="188">
        <v>0</v>
      </c>
      <c r="L28" s="188" t="s">
        <v>540</v>
      </c>
      <c r="M28" s="189">
        <v>0</v>
      </c>
      <c r="N28" s="189">
        <v>0</v>
      </c>
      <c r="O28" s="188">
        <v>0</v>
      </c>
      <c r="P28" s="189" t="s">
        <v>540</v>
      </c>
      <c r="Q28" s="189">
        <v>0</v>
      </c>
      <c r="R28" s="189">
        <f t="shared" si="2"/>
        <v>0</v>
      </c>
      <c r="S28" s="188">
        <v>0</v>
      </c>
      <c r="T28" s="189" t="s">
        <v>540</v>
      </c>
      <c r="U28" s="189">
        <v>0</v>
      </c>
      <c r="V28" s="188">
        <v>0</v>
      </c>
      <c r="W28" s="188">
        <v>0</v>
      </c>
      <c r="X28" s="189" t="s">
        <v>540</v>
      </c>
      <c r="Y28" s="189">
        <v>0</v>
      </c>
      <c r="Z28" s="188">
        <v>0</v>
      </c>
      <c r="AA28" s="188">
        <v>0</v>
      </c>
      <c r="AB28" s="189" t="s">
        <v>540</v>
      </c>
      <c r="AC28" s="188">
        <f t="shared" si="3"/>
        <v>0</v>
      </c>
    </row>
    <row r="29" spans="1:32" x14ac:dyDescent="0.25">
      <c r="A29" s="295" t="s">
        <v>169</v>
      </c>
      <c r="B29" s="297" t="s">
        <v>168</v>
      </c>
      <c r="C29" s="189" t="s">
        <v>540</v>
      </c>
      <c r="D29" s="189">
        <f>D27*0.2</f>
        <v>0.2</v>
      </c>
      <c r="E29" s="188" t="s">
        <v>540</v>
      </c>
      <c r="F29" s="189">
        <f t="shared" si="1"/>
        <v>0.2</v>
      </c>
      <c r="G29" s="189" t="s">
        <v>540</v>
      </c>
      <c r="H29" s="189" t="s">
        <v>540</v>
      </c>
      <c r="I29" s="189">
        <v>0</v>
      </c>
      <c r="J29" s="189">
        <v>0</v>
      </c>
      <c r="K29" s="188">
        <v>0</v>
      </c>
      <c r="L29" s="188" t="s">
        <v>540</v>
      </c>
      <c r="M29" s="189">
        <v>0</v>
      </c>
      <c r="N29" s="189">
        <v>0</v>
      </c>
      <c r="O29" s="188">
        <v>0</v>
      </c>
      <c r="P29" s="189" t="s">
        <v>540</v>
      </c>
      <c r="Q29" s="189">
        <v>0</v>
      </c>
      <c r="R29" s="189">
        <f t="shared" si="2"/>
        <v>0.2</v>
      </c>
      <c r="S29" s="188">
        <v>0</v>
      </c>
      <c r="T29" s="189" t="s">
        <v>540</v>
      </c>
      <c r="U29" s="189">
        <v>0</v>
      </c>
      <c r="V29" s="188">
        <v>0</v>
      </c>
      <c r="W29" s="188">
        <v>0</v>
      </c>
      <c r="X29" s="189" t="s">
        <v>540</v>
      </c>
      <c r="Y29" s="189">
        <v>0</v>
      </c>
      <c r="Z29" s="188">
        <v>0</v>
      </c>
      <c r="AA29" s="188">
        <v>0</v>
      </c>
      <c r="AB29" s="189" t="s">
        <v>540</v>
      </c>
      <c r="AC29" s="188">
        <f t="shared" si="3"/>
        <v>0.2</v>
      </c>
    </row>
    <row r="30" spans="1:32" s="298" customFormat="1" ht="47.25" x14ac:dyDescent="0.25">
      <c r="A30" s="293" t="s">
        <v>61</v>
      </c>
      <c r="B30" s="294" t="s">
        <v>167</v>
      </c>
      <c r="C30" s="189" t="s">
        <v>540</v>
      </c>
      <c r="D30" s="188">
        <f>SUM(D31:D34)</f>
        <v>1</v>
      </c>
      <c r="E30" s="188" t="s">
        <v>540</v>
      </c>
      <c r="F30" s="189">
        <f t="shared" si="1"/>
        <v>1</v>
      </c>
      <c r="G30" s="188" t="s">
        <v>540</v>
      </c>
      <c r="H30" s="188" t="s">
        <v>540</v>
      </c>
      <c r="I30" s="188">
        <v>0</v>
      </c>
      <c r="J30" s="189">
        <v>0</v>
      </c>
      <c r="K30" s="188">
        <v>0</v>
      </c>
      <c r="L30" s="188" t="s">
        <v>540</v>
      </c>
      <c r="M30" s="188">
        <v>0</v>
      </c>
      <c r="N30" s="189">
        <v>0</v>
      </c>
      <c r="O30" s="188">
        <v>0</v>
      </c>
      <c r="P30" s="188" t="s">
        <v>540</v>
      </c>
      <c r="Q30" s="188">
        <v>0</v>
      </c>
      <c r="R30" s="189">
        <f t="shared" si="2"/>
        <v>1</v>
      </c>
      <c r="S30" s="188">
        <v>0</v>
      </c>
      <c r="T30" s="189" t="s">
        <v>540</v>
      </c>
      <c r="U30" s="188">
        <v>0</v>
      </c>
      <c r="V30" s="188">
        <v>0</v>
      </c>
      <c r="W30" s="188">
        <v>0</v>
      </c>
      <c r="X30" s="189" t="s">
        <v>540</v>
      </c>
      <c r="Y30" s="188">
        <v>0</v>
      </c>
      <c r="Z30" s="188">
        <v>0</v>
      </c>
      <c r="AA30" s="188">
        <v>0</v>
      </c>
      <c r="AB30" s="189" t="s">
        <v>540</v>
      </c>
      <c r="AC30" s="188">
        <f t="shared" si="3"/>
        <v>1</v>
      </c>
    </row>
    <row r="31" spans="1:32" x14ac:dyDescent="0.25">
      <c r="A31" s="293" t="s">
        <v>166</v>
      </c>
      <c r="B31" s="296" t="s">
        <v>165</v>
      </c>
      <c r="C31" s="189" t="s">
        <v>540</v>
      </c>
      <c r="D31" s="188">
        <v>0</v>
      </c>
      <c r="E31" s="188" t="s">
        <v>540</v>
      </c>
      <c r="F31" s="189">
        <f t="shared" si="1"/>
        <v>0</v>
      </c>
      <c r="G31" s="189" t="s">
        <v>540</v>
      </c>
      <c r="H31" s="189" t="s">
        <v>540</v>
      </c>
      <c r="I31" s="189">
        <v>0</v>
      </c>
      <c r="J31" s="189">
        <v>0</v>
      </c>
      <c r="K31" s="188">
        <v>0</v>
      </c>
      <c r="L31" s="188" t="s">
        <v>540</v>
      </c>
      <c r="M31" s="189">
        <v>0</v>
      </c>
      <c r="N31" s="189">
        <v>0</v>
      </c>
      <c r="O31" s="188">
        <v>0</v>
      </c>
      <c r="P31" s="189" t="s">
        <v>540</v>
      </c>
      <c r="Q31" s="189">
        <v>0</v>
      </c>
      <c r="R31" s="189">
        <f t="shared" si="2"/>
        <v>0</v>
      </c>
      <c r="S31" s="188">
        <v>0</v>
      </c>
      <c r="T31" s="189" t="s">
        <v>540</v>
      </c>
      <c r="U31" s="189">
        <v>0</v>
      </c>
      <c r="V31" s="188">
        <v>0</v>
      </c>
      <c r="W31" s="188">
        <v>0</v>
      </c>
      <c r="X31" s="189" t="s">
        <v>540</v>
      </c>
      <c r="Y31" s="189">
        <v>0</v>
      </c>
      <c r="Z31" s="188">
        <v>0</v>
      </c>
      <c r="AA31" s="188">
        <v>0</v>
      </c>
      <c r="AB31" s="189" t="s">
        <v>540</v>
      </c>
      <c r="AC31" s="188">
        <f t="shared" si="3"/>
        <v>0</v>
      </c>
    </row>
    <row r="32" spans="1:32" ht="31.5" x14ac:dyDescent="0.25">
      <c r="A32" s="293" t="s">
        <v>164</v>
      </c>
      <c r="B32" s="296" t="s">
        <v>163</v>
      </c>
      <c r="C32" s="189" t="s">
        <v>540</v>
      </c>
      <c r="D32" s="188">
        <v>0</v>
      </c>
      <c r="E32" s="188" t="s">
        <v>540</v>
      </c>
      <c r="F32" s="189">
        <f t="shared" si="1"/>
        <v>0</v>
      </c>
      <c r="G32" s="189" t="s">
        <v>540</v>
      </c>
      <c r="H32" s="189" t="s">
        <v>540</v>
      </c>
      <c r="I32" s="189">
        <v>0</v>
      </c>
      <c r="J32" s="189">
        <v>0</v>
      </c>
      <c r="K32" s="188">
        <v>0</v>
      </c>
      <c r="L32" s="188" t="s">
        <v>540</v>
      </c>
      <c r="M32" s="189">
        <v>0</v>
      </c>
      <c r="N32" s="189">
        <v>0</v>
      </c>
      <c r="O32" s="188">
        <v>0</v>
      </c>
      <c r="P32" s="189" t="s">
        <v>540</v>
      </c>
      <c r="Q32" s="189">
        <v>0</v>
      </c>
      <c r="R32" s="189">
        <f t="shared" si="2"/>
        <v>0</v>
      </c>
      <c r="S32" s="188">
        <v>0</v>
      </c>
      <c r="T32" s="189" t="s">
        <v>540</v>
      </c>
      <c r="U32" s="189">
        <v>0</v>
      </c>
      <c r="V32" s="188">
        <v>0</v>
      </c>
      <c r="W32" s="188">
        <v>0</v>
      </c>
      <c r="X32" s="189" t="s">
        <v>540</v>
      </c>
      <c r="Y32" s="189">
        <v>0</v>
      </c>
      <c r="Z32" s="188">
        <v>0</v>
      </c>
      <c r="AA32" s="188">
        <v>0</v>
      </c>
      <c r="AB32" s="189" t="s">
        <v>540</v>
      </c>
      <c r="AC32" s="188">
        <f t="shared" si="3"/>
        <v>0</v>
      </c>
    </row>
    <row r="33" spans="1:29" x14ac:dyDescent="0.25">
      <c r="A33" s="293" t="s">
        <v>162</v>
      </c>
      <c r="B33" s="296" t="s">
        <v>161</v>
      </c>
      <c r="C33" s="189" t="s">
        <v>540</v>
      </c>
      <c r="D33" s="188">
        <v>1</v>
      </c>
      <c r="E33" s="188" t="s">
        <v>540</v>
      </c>
      <c r="F33" s="189">
        <f t="shared" si="1"/>
        <v>1</v>
      </c>
      <c r="G33" s="189" t="s">
        <v>540</v>
      </c>
      <c r="H33" s="189" t="s">
        <v>540</v>
      </c>
      <c r="I33" s="189">
        <v>0</v>
      </c>
      <c r="J33" s="189">
        <v>0</v>
      </c>
      <c r="K33" s="188">
        <v>0</v>
      </c>
      <c r="L33" s="188" t="s">
        <v>540</v>
      </c>
      <c r="M33" s="189">
        <v>0</v>
      </c>
      <c r="N33" s="189">
        <v>0</v>
      </c>
      <c r="O33" s="188">
        <v>0</v>
      </c>
      <c r="P33" s="189" t="s">
        <v>540</v>
      </c>
      <c r="Q33" s="189">
        <v>0</v>
      </c>
      <c r="R33" s="189">
        <f t="shared" si="2"/>
        <v>1</v>
      </c>
      <c r="S33" s="188">
        <v>0</v>
      </c>
      <c r="T33" s="189" t="s">
        <v>540</v>
      </c>
      <c r="U33" s="189">
        <v>0</v>
      </c>
      <c r="V33" s="188">
        <v>0</v>
      </c>
      <c r="W33" s="188">
        <v>0</v>
      </c>
      <c r="X33" s="189" t="s">
        <v>540</v>
      </c>
      <c r="Y33" s="189">
        <v>0</v>
      </c>
      <c r="Z33" s="188">
        <v>0</v>
      </c>
      <c r="AA33" s="188">
        <v>0</v>
      </c>
      <c r="AB33" s="189" t="s">
        <v>540</v>
      </c>
      <c r="AC33" s="188">
        <f t="shared" si="3"/>
        <v>1</v>
      </c>
    </row>
    <row r="34" spans="1:29" x14ac:dyDescent="0.25">
      <c r="A34" s="293" t="s">
        <v>160</v>
      </c>
      <c r="B34" s="296" t="s">
        <v>159</v>
      </c>
      <c r="C34" s="189" t="s">
        <v>540</v>
      </c>
      <c r="D34" s="188">
        <v>0</v>
      </c>
      <c r="E34" s="188" t="s">
        <v>540</v>
      </c>
      <c r="F34" s="189">
        <f t="shared" si="1"/>
        <v>0</v>
      </c>
      <c r="G34" s="189" t="s">
        <v>540</v>
      </c>
      <c r="H34" s="189" t="s">
        <v>540</v>
      </c>
      <c r="I34" s="189">
        <v>0</v>
      </c>
      <c r="J34" s="189">
        <v>0</v>
      </c>
      <c r="K34" s="188">
        <v>0</v>
      </c>
      <c r="L34" s="188" t="s">
        <v>540</v>
      </c>
      <c r="M34" s="189">
        <v>0</v>
      </c>
      <c r="N34" s="189">
        <v>0</v>
      </c>
      <c r="O34" s="188">
        <v>0</v>
      </c>
      <c r="P34" s="189" t="s">
        <v>540</v>
      </c>
      <c r="Q34" s="189">
        <v>0</v>
      </c>
      <c r="R34" s="189">
        <f t="shared" si="2"/>
        <v>0</v>
      </c>
      <c r="S34" s="188">
        <v>0</v>
      </c>
      <c r="T34" s="189" t="s">
        <v>540</v>
      </c>
      <c r="U34" s="189">
        <v>0</v>
      </c>
      <c r="V34" s="188">
        <v>0</v>
      </c>
      <c r="W34" s="188">
        <v>0</v>
      </c>
      <c r="X34" s="189" t="s">
        <v>540</v>
      </c>
      <c r="Y34" s="189">
        <v>0</v>
      </c>
      <c r="Z34" s="188">
        <v>0</v>
      </c>
      <c r="AA34" s="188">
        <v>0</v>
      </c>
      <c r="AB34" s="189" t="s">
        <v>540</v>
      </c>
      <c r="AC34" s="188">
        <f t="shared" si="3"/>
        <v>0</v>
      </c>
    </row>
    <row r="35" spans="1:29" s="298" customFormat="1" ht="31.5" x14ac:dyDescent="0.25">
      <c r="A35" s="293" t="s">
        <v>60</v>
      </c>
      <c r="B35" s="294" t="s">
        <v>158</v>
      </c>
      <c r="C35" s="189" t="s">
        <v>540</v>
      </c>
      <c r="D35" s="188">
        <v>0</v>
      </c>
      <c r="E35" s="188" t="s">
        <v>540</v>
      </c>
      <c r="F35" s="189">
        <f t="shared" si="1"/>
        <v>0</v>
      </c>
      <c r="G35" s="188" t="s">
        <v>540</v>
      </c>
      <c r="H35" s="188" t="s">
        <v>540</v>
      </c>
      <c r="I35" s="188">
        <v>0</v>
      </c>
      <c r="J35" s="189">
        <v>0</v>
      </c>
      <c r="K35" s="188">
        <v>0</v>
      </c>
      <c r="L35" s="188" t="s">
        <v>540</v>
      </c>
      <c r="M35" s="188">
        <v>0</v>
      </c>
      <c r="N35" s="189">
        <v>0</v>
      </c>
      <c r="O35" s="188">
        <v>0</v>
      </c>
      <c r="P35" s="188" t="s">
        <v>540</v>
      </c>
      <c r="Q35" s="188">
        <v>0</v>
      </c>
      <c r="R35" s="189">
        <f t="shared" si="2"/>
        <v>0</v>
      </c>
      <c r="S35" s="188">
        <v>0</v>
      </c>
      <c r="T35" s="189" t="s">
        <v>540</v>
      </c>
      <c r="U35" s="188">
        <v>0</v>
      </c>
      <c r="V35" s="188">
        <v>0</v>
      </c>
      <c r="W35" s="188">
        <v>0</v>
      </c>
      <c r="X35" s="189" t="s">
        <v>540</v>
      </c>
      <c r="Y35" s="188">
        <v>0</v>
      </c>
      <c r="Z35" s="188">
        <v>0</v>
      </c>
      <c r="AA35" s="188">
        <v>0</v>
      </c>
      <c r="AB35" s="189" t="s">
        <v>540</v>
      </c>
      <c r="AC35" s="188">
        <f t="shared" si="3"/>
        <v>0</v>
      </c>
    </row>
    <row r="36" spans="1:29" ht="31.5" x14ac:dyDescent="0.25">
      <c r="A36" s="295" t="s">
        <v>157</v>
      </c>
      <c r="B36" s="299" t="s">
        <v>156</v>
      </c>
      <c r="C36" s="189" t="s">
        <v>540</v>
      </c>
      <c r="D36" s="188">
        <v>0</v>
      </c>
      <c r="E36" s="188" t="s">
        <v>540</v>
      </c>
      <c r="F36" s="189">
        <f t="shared" si="1"/>
        <v>0</v>
      </c>
      <c r="G36" s="189" t="s">
        <v>540</v>
      </c>
      <c r="H36" s="189" t="s">
        <v>540</v>
      </c>
      <c r="I36" s="189">
        <v>0</v>
      </c>
      <c r="J36" s="189">
        <v>0</v>
      </c>
      <c r="K36" s="188">
        <v>0</v>
      </c>
      <c r="L36" s="188" t="s">
        <v>540</v>
      </c>
      <c r="M36" s="189">
        <v>0</v>
      </c>
      <c r="N36" s="189">
        <v>0</v>
      </c>
      <c r="O36" s="188">
        <v>0</v>
      </c>
      <c r="P36" s="189" t="s">
        <v>540</v>
      </c>
      <c r="Q36" s="189">
        <v>0</v>
      </c>
      <c r="R36" s="189">
        <f t="shared" si="2"/>
        <v>0</v>
      </c>
      <c r="S36" s="188">
        <v>0</v>
      </c>
      <c r="T36" s="189" t="s">
        <v>540</v>
      </c>
      <c r="U36" s="189">
        <v>0</v>
      </c>
      <c r="V36" s="188">
        <v>0</v>
      </c>
      <c r="W36" s="188">
        <v>0</v>
      </c>
      <c r="X36" s="189" t="s">
        <v>540</v>
      </c>
      <c r="Y36" s="189">
        <v>0</v>
      </c>
      <c r="Z36" s="188">
        <v>0</v>
      </c>
      <c r="AA36" s="188">
        <v>0</v>
      </c>
      <c r="AB36" s="189" t="s">
        <v>540</v>
      </c>
      <c r="AC36" s="188">
        <f t="shared" si="3"/>
        <v>0</v>
      </c>
    </row>
    <row r="37" spans="1:29" x14ac:dyDescent="0.25">
      <c r="A37" s="295" t="s">
        <v>155</v>
      </c>
      <c r="B37" s="299" t="s">
        <v>145</v>
      </c>
      <c r="C37" s="189" t="s">
        <v>540</v>
      </c>
      <c r="D37" s="188">
        <v>0</v>
      </c>
      <c r="E37" s="188" t="s">
        <v>540</v>
      </c>
      <c r="F37" s="189">
        <f t="shared" si="1"/>
        <v>0</v>
      </c>
      <c r="G37" s="189" t="s">
        <v>540</v>
      </c>
      <c r="H37" s="189" t="s">
        <v>540</v>
      </c>
      <c r="I37" s="189">
        <v>0</v>
      </c>
      <c r="J37" s="189">
        <v>0</v>
      </c>
      <c r="K37" s="188">
        <v>0</v>
      </c>
      <c r="L37" s="188" t="s">
        <v>540</v>
      </c>
      <c r="M37" s="189">
        <v>0</v>
      </c>
      <c r="N37" s="189">
        <v>0</v>
      </c>
      <c r="O37" s="188">
        <v>0</v>
      </c>
      <c r="P37" s="189" t="s">
        <v>540</v>
      </c>
      <c r="Q37" s="189">
        <v>0</v>
      </c>
      <c r="R37" s="189">
        <f t="shared" si="2"/>
        <v>0</v>
      </c>
      <c r="S37" s="188">
        <v>0</v>
      </c>
      <c r="T37" s="189" t="s">
        <v>540</v>
      </c>
      <c r="U37" s="189">
        <v>0</v>
      </c>
      <c r="V37" s="188">
        <v>0</v>
      </c>
      <c r="W37" s="188">
        <v>0</v>
      </c>
      <c r="X37" s="189" t="s">
        <v>540</v>
      </c>
      <c r="Y37" s="189">
        <v>0</v>
      </c>
      <c r="Z37" s="188">
        <v>0</v>
      </c>
      <c r="AA37" s="188">
        <v>0</v>
      </c>
      <c r="AB37" s="189" t="s">
        <v>540</v>
      </c>
      <c r="AC37" s="188">
        <f t="shared" si="3"/>
        <v>0</v>
      </c>
    </row>
    <row r="38" spans="1:29" x14ac:dyDescent="0.25">
      <c r="A38" s="295" t="s">
        <v>154</v>
      </c>
      <c r="B38" s="299" t="s">
        <v>143</v>
      </c>
      <c r="C38" s="189" t="s">
        <v>540</v>
      </c>
      <c r="D38" s="188">
        <v>0</v>
      </c>
      <c r="E38" s="188" t="s">
        <v>540</v>
      </c>
      <c r="F38" s="189">
        <f t="shared" si="1"/>
        <v>0</v>
      </c>
      <c r="G38" s="189" t="s">
        <v>540</v>
      </c>
      <c r="H38" s="189" t="s">
        <v>540</v>
      </c>
      <c r="I38" s="189">
        <v>0</v>
      </c>
      <c r="J38" s="189">
        <v>0</v>
      </c>
      <c r="K38" s="188">
        <v>0</v>
      </c>
      <c r="L38" s="188" t="s">
        <v>540</v>
      </c>
      <c r="M38" s="189">
        <v>0</v>
      </c>
      <c r="N38" s="189">
        <v>0</v>
      </c>
      <c r="O38" s="188">
        <v>0</v>
      </c>
      <c r="P38" s="189" t="s">
        <v>540</v>
      </c>
      <c r="Q38" s="189">
        <v>0</v>
      </c>
      <c r="R38" s="189">
        <f t="shared" si="2"/>
        <v>0</v>
      </c>
      <c r="S38" s="188">
        <v>0</v>
      </c>
      <c r="T38" s="189" t="s">
        <v>540</v>
      </c>
      <c r="U38" s="189">
        <v>0</v>
      </c>
      <c r="V38" s="188">
        <v>0</v>
      </c>
      <c r="W38" s="188">
        <v>0</v>
      </c>
      <c r="X38" s="189" t="s">
        <v>540</v>
      </c>
      <c r="Y38" s="189">
        <v>0</v>
      </c>
      <c r="Z38" s="188">
        <v>0</v>
      </c>
      <c r="AA38" s="188">
        <v>0</v>
      </c>
      <c r="AB38" s="189" t="s">
        <v>540</v>
      </c>
      <c r="AC38" s="188">
        <f t="shared" si="3"/>
        <v>0</v>
      </c>
    </row>
    <row r="39" spans="1:29" ht="31.5" x14ac:dyDescent="0.25">
      <c r="A39" s="295" t="s">
        <v>153</v>
      </c>
      <c r="B39" s="296" t="s">
        <v>141</v>
      </c>
      <c r="C39" s="189" t="s">
        <v>540</v>
      </c>
      <c r="D39" s="188">
        <v>0</v>
      </c>
      <c r="E39" s="188" t="s">
        <v>540</v>
      </c>
      <c r="F39" s="189">
        <f t="shared" si="1"/>
        <v>0</v>
      </c>
      <c r="G39" s="189" t="s">
        <v>540</v>
      </c>
      <c r="H39" s="189" t="s">
        <v>540</v>
      </c>
      <c r="I39" s="189">
        <v>0</v>
      </c>
      <c r="J39" s="189">
        <v>0</v>
      </c>
      <c r="K39" s="188">
        <v>0</v>
      </c>
      <c r="L39" s="188" t="s">
        <v>540</v>
      </c>
      <c r="M39" s="189">
        <v>0</v>
      </c>
      <c r="N39" s="189">
        <v>0</v>
      </c>
      <c r="O39" s="188">
        <v>0</v>
      </c>
      <c r="P39" s="189" t="s">
        <v>540</v>
      </c>
      <c r="Q39" s="189">
        <v>0</v>
      </c>
      <c r="R39" s="189">
        <f t="shared" si="2"/>
        <v>0</v>
      </c>
      <c r="S39" s="188">
        <v>0</v>
      </c>
      <c r="T39" s="189" t="s">
        <v>540</v>
      </c>
      <c r="U39" s="189">
        <v>0</v>
      </c>
      <c r="V39" s="188">
        <v>0</v>
      </c>
      <c r="W39" s="188">
        <v>0</v>
      </c>
      <c r="X39" s="189" t="s">
        <v>540</v>
      </c>
      <c r="Y39" s="189">
        <v>0</v>
      </c>
      <c r="Z39" s="188">
        <v>0</v>
      </c>
      <c r="AA39" s="188">
        <v>0</v>
      </c>
      <c r="AB39" s="189" t="s">
        <v>540</v>
      </c>
      <c r="AC39" s="188">
        <f t="shared" si="3"/>
        <v>0</v>
      </c>
    </row>
    <row r="40" spans="1:29" ht="31.5" x14ac:dyDescent="0.25">
      <c r="A40" s="295" t="s">
        <v>152</v>
      </c>
      <c r="B40" s="296" t="s">
        <v>139</v>
      </c>
      <c r="C40" s="189" t="s">
        <v>540</v>
      </c>
      <c r="D40" s="188">
        <v>0</v>
      </c>
      <c r="E40" s="188" t="s">
        <v>540</v>
      </c>
      <c r="F40" s="189">
        <f t="shared" si="1"/>
        <v>0</v>
      </c>
      <c r="G40" s="189" t="s">
        <v>540</v>
      </c>
      <c r="H40" s="189" t="s">
        <v>540</v>
      </c>
      <c r="I40" s="189">
        <v>0</v>
      </c>
      <c r="J40" s="189">
        <v>0</v>
      </c>
      <c r="K40" s="188">
        <v>0</v>
      </c>
      <c r="L40" s="188" t="s">
        <v>540</v>
      </c>
      <c r="M40" s="189">
        <v>0</v>
      </c>
      <c r="N40" s="189">
        <v>0</v>
      </c>
      <c r="O40" s="188">
        <v>0</v>
      </c>
      <c r="P40" s="189" t="s">
        <v>540</v>
      </c>
      <c r="Q40" s="189">
        <v>0</v>
      </c>
      <c r="R40" s="189">
        <f t="shared" si="2"/>
        <v>0</v>
      </c>
      <c r="S40" s="188">
        <v>0</v>
      </c>
      <c r="T40" s="189" t="s">
        <v>540</v>
      </c>
      <c r="U40" s="189">
        <v>0</v>
      </c>
      <c r="V40" s="188">
        <v>0</v>
      </c>
      <c r="W40" s="188">
        <v>0</v>
      </c>
      <c r="X40" s="189" t="s">
        <v>540</v>
      </c>
      <c r="Y40" s="189">
        <v>0</v>
      </c>
      <c r="Z40" s="188">
        <v>0</v>
      </c>
      <c r="AA40" s="188">
        <v>0</v>
      </c>
      <c r="AB40" s="189" t="s">
        <v>540</v>
      </c>
      <c r="AC40" s="188">
        <f t="shared" si="3"/>
        <v>0</v>
      </c>
    </row>
    <row r="41" spans="1:29" x14ac:dyDescent="0.25">
      <c r="A41" s="295" t="s">
        <v>151</v>
      </c>
      <c r="B41" s="296" t="s">
        <v>137</v>
      </c>
      <c r="C41" s="189" t="s">
        <v>540</v>
      </c>
      <c r="D41" s="188">
        <v>0</v>
      </c>
      <c r="E41" s="188" t="s">
        <v>540</v>
      </c>
      <c r="F41" s="189">
        <f t="shared" si="1"/>
        <v>0</v>
      </c>
      <c r="G41" s="189" t="s">
        <v>540</v>
      </c>
      <c r="H41" s="189" t="s">
        <v>540</v>
      </c>
      <c r="I41" s="189">
        <v>0</v>
      </c>
      <c r="J41" s="189">
        <v>0</v>
      </c>
      <c r="K41" s="188">
        <v>0</v>
      </c>
      <c r="L41" s="188" t="s">
        <v>540</v>
      </c>
      <c r="M41" s="189">
        <v>0</v>
      </c>
      <c r="N41" s="189">
        <v>0</v>
      </c>
      <c r="O41" s="188">
        <v>0</v>
      </c>
      <c r="P41" s="189" t="s">
        <v>540</v>
      </c>
      <c r="Q41" s="189">
        <v>0</v>
      </c>
      <c r="R41" s="189">
        <f t="shared" si="2"/>
        <v>0</v>
      </c>
      <c r="S41" s="188">
        <v>0</v>
      </c>
      <c r="T41" s="189" t="s">
        <v>540</v>
      </c>
      <c r="U41" s="189">
        <v>0</v>
      </c>
      <c r="V41" s="188">
        <v>0</v>
      </c>
      <c r="W41" s="188">
        <v>0</v>
      </c>
      <c r="X41" s="189" t="s">
        <v>540</v>
      </c>
      <c r="Y41" s="189">
        <v>0</v>
      </c>
      <c r="Z41" s="188">
        <v>0</v>
      </c>
      <c r="AA41" s="188">
        <v>0</v>
      </c>
      <c r="AB41" s="189" t="s">
        <v>540</v>
      </c>
      <c r="AC41" s="188">
        <f t="shared" si="3"/>
        <v>0</v>
      </c>
    </row>
    <row r="42" spans="1:29" ht="18.75" x14ac:dyDescent="0.25">
      <c r="A42" s="295" t="s">
        <v>150</v>
      </c>
      <c r="B42" s="299" t="s">
        <v>549</v>
      </c>
      <c r="C42" s="189" t="s">
        <v>540</v>
      </c>
      <c r="D42" s="188">
        <v>0</v>
      </c>
      <c r="E42" s="188" t="s">
        <v>540</v>
      </c>
      <c r="F42" s="189">
        <f t="shared" si="1"/>
        <v>0</v>
      </c>
      <c r="G42" s="189" t="s">
        <v>540</v>
      </c>
      <c r="H42" s="189" t="s">
        <v>540</v>
      </c>
      <c r="I42" s="189">
        <v>0</v>
      </c>
      <c r="J42" s="189">
        <v>0</v>
      </c>
      <c r="K42" s="188">
        <v>0</v>
      </c>
      <c r="L42" s="188" t="s">
        <v>540</v>
      </c>
      <c r="M42" s="189">
        <v>0</v>
      </c>
      <c r="N42" s="189">
        <v>0</v>
      </c>
      <c r="O42" s="188">
        <v>0</v>
      </c>
      <c r="P42" s="189" t="s">
        <v>540</v>
      </c>
      <c r="Q42" s="189">
        <v>0</v>
      </c>
      <c r="R42" s="189">
        <f t="shared" si="2"/>
        <v>0</v>
      </c>
      <c r="S42" s="188">
        <v>0</v>
      </c>
      <c r="T42" s="189" t="s">
        <v>540</v>
      </c>
      <c r="U42" s="189">
        <v>0</v>
      </c>
      <c r="V42" s="188">
        <v>0</v>
      </c>
      <c r="W42" s="188">
        <v>0</v>
      </c>
      <c r="X42" s="189" t="s">
        <v>540</v>
      </c>
      <c r="Y42" s="189">
        <v>0</v>
      </c>
      <c r="Z42" s="188">
        <v>0</v>
      </c>
      <c r="AA42" s="188">
        <v>0</v>
      </c>
      <c r="AB42" s="189" t="s">
        <v>540</v>
      </c>
      <c r="AC42" s="188">
        <f t="shared" si="3"/>
        <v>0</v>
      </c>
    </row>
    <row r="43" spans="1:29" s="298" customFormat="1" x14ac:dyDescent="0.25">
      <c r="A43" s="293" t="s">
        <v>59</v>
      </c>
      <c r="B43" s="294" t="s">
        <v>149</v>
      </c>
      <c r="C43" s="189" t="s">
        <v>540</v>
      </c>
      <c r="D43" s="188">
        <v>0</v>
      </c>
      <c r="E43" s="188" t="s">
        <v>540</v>
      </c>
      <c r="F43" s="189">
        <f t="shared" si="1"/>
        <v>0</v>
      </c>
      <c r="G43" s="188" t="s">
        <v>540</v>
      </c>
      <c r="H43" s="188" t="s">
        <v>540</v>
      </c>
      <c r="I43" s="188">
        <v>0</v>
      </c>
      <c r="J43" s="189">
        <v>0</v>
      </c>
      <c r="K43" s="188">
        <v>0</v>
      </c>
      <c r="L43" s="188" t="s">
        <v>540</v>
      </c>
      <c r="M43" s="188">
        <v>0</v>
      </c>
      <c r="N43" s="189">
        <v>0</v>
      </c>
      <c r="O43" s="188">
        <v>0</v>
      </c>
      <c r="P43" s="188" t="s">
        <v>540</v>
      </c>
      <c r="Q43" s="188">
        <v>0</v>
      </c>
      <c r="R43" s="189">
        <f t="shared" si="2"/>
        <v>0</v>
      </c>
      <c r="S43" s="188">
        <v>0</v>
      </c>
      <c r="T43" s="189" t="s">
        <v>540</v>
      </c>
      <c r="U43" s="188">
        <v>0</v>
      </c>
      <c r="V43" s="188">
        <v>0</v>
      </c>
      <c r="W43" s="188">
        <v>0</v>
      </c>
      <c r="X43" s="189" t="s">
        <v>540</v>
      </c>
      <c r="Y43" s="188">
        <v>0</v>
      </c>
      <c r="Z43" s="188">
        <v>0</v>
      </c>
      <c r="AA43" s="188">
        <v>0</v>
      </c>
      <c r="AB43" s="189" t="s">
        <v>540</v>
      </c>
      <c r="AC43" s="188">
        <f t="shared" si="3"/>
        <v>0</v>
      </c>
    </row>
    <row r="44" spans="1:29" x14ac:dyDescent="0.25">
      <c r="A44" s="295" t="s">
        <v>148</v>
      </c>
      <c r="B44" s="296" t="s">
        <v>147</v>
      </c>
      <c r="C44" s="189" t="s">
        <v>540</v>
      </c>
      <c r="D44" s="188">
        <v>0</v>
      </c>
      <c r="E44" s="188" t="s">
        <v>540</v>
      </c>
      <c r="F44" s="189">
        <f t="shared" si="1"/>
        <v>0</v>
      </c>
      <c r="G44" s="189" t="s">
        <v>540</v>
      </c>
      <c r="H44" s="189" t="s">
        <v>540</v>
      </c>
      <c r="I44" s="189">
        <v>0</v>
      </c>
      <c r="J44" s="189">
        <v>0</v>
      </c>
      <c r="K44" s="188">
        <v>0</v>
      </c>
      <c r="L44" s="188" t="s">
        <v>540</v>
      </c>
      <c r="M44" s="189">
        <v>0</v>
      </c>
      <c r="N44" s="189">
        <v>0</v>
      </c>
      <c r="O44" s="188">
        <v>0</v>
      </c>
      <c r="P44" s="189" t="s">
        <v>540</v>
      </c>
      <c r="Q44" s="189">
        <v>0</v>
      </c>
      <c r="R44" s="189">
        <f t="shared" si="2"/>
        <v>0</v>
      </c>
      <c r="S44" s="188">
        <v>0</v>
      </c>
      <c r="T44" s="189" t="s">
        <v>540</v>
      </c>
      <c r="U44" s="189">
        <v>0</v>
      </c>
      <c r="V44" s="188">
        <v>0</v>
      </c>
      <c r="W44" s="188">
        <v>0</v>
      </c>
      <c r="X44" s="189" t="s">
        <v>540</v>
      </c>
      <c r="Y44" s="189">
        <v>0</v>
      </c>
      <c r="Z44" s="188">
        <v>0</v>
      </c>
      <c r="AA44" s="188">
        <v>0</v>
      </c>
      <c r="AB44" s="189" t="s">
        <v>540</v>
      </c>
      <c r="AC44" s="188">
        <f t="shared" si="3"/>
        <v>0</v>
      </c>
    </row>
    <row r="45" spans="1:29" x14ac:dyDescent="0.25">
      <c r="A45" s="295" t="s">
        <v>146</v>
      </c>
      <c r="B45" s="296" t="s">
        <v>145</v>
      </c>
      <c r="C45" s="189" t="s">
        <v>540</v>
      </c>
      <c r="D45" s="189">
        <v>0</v>
      </c>
      <c r="E45" s="188" t="s">
        <v>540</v>
      </c>
      <c r="F45" s="189">
        <f t="shared" si="1"/>
        <v>0</v>
      </c>
      <c r="G45" s="189" t="s">
        <v>540</v>
      </c>
      <c r="H45" s="189" t="s">
        <v>540</v>
      </c>
      <c r="I45" s="189">
        <v>0</v>
      </c>
      <c r="J45" s="189">
        <v>0</v>
      </c>
      <c r="K45" s="188">
        <v>0</v>
      </c>
      <c r="L45" s="188" t="s">
        <v>540</v>
      </c>
      <c r="M45" s="189">
        <v>0</v>
      </c>
      <c r="N45" s="189">
        <v>0</v>
      </c>
      <c r="O45" s="188">
        <v>0</v>
      </c>
      <c r="P45" s="189" t="s">
        <v>540</v>
      </c>
      <c r="Q45" s="189">
        <v>0</v>
      </c>
      <c r="R45" s="189">
        <f t="shared" si="2"/>
        <v>0</v>
      </c>
      <c r="S45" s="188">
        <v>0</v>
      </c>
      <c r="T45" s="189" t="s">
        <v>540</v>
      </c>
      <c r="U45" s="189">
        <v>0</v>
      </c>
      <c r="V45" s="188">
        <v>0</v>
      </c>
      <c r="W45" s="188">
        <v>0</v>
      </c>
      <c r="X45" s="189" t="s">
        <v>540</v>
      </c>
      <c r="Y45" s="189">
        <v>0</v>
      </c>
      <c r="Z45" s="188">
        <v>0</v>
      </c>
      <c r="AA45" s="188">
        <v>0</v>
      </c>
      <c r="AB45" s="189" t="s">
        <v>540</v>
      </c>
      <c r="AC45" s="188">
        <f t="shared" si="3"/>
        <v>0</v>
      </c>
    </row>
    <row r="46" spans="1:29" x14ac:dyDescent="0.25">
      <c r="A46" s="295" t="s">
        <v>144</v>
      </c>
      <c r="B46" s="296" t="s">
        <v>143</v>
      </c>
      <c r="C46" s="189" t="s">
        <v>540</v>
      </c>
      <c r="D46" s="188">
        <v>0</v>
      </c>
      <c r="E46" s="188" t="s">
        <v>540</v>
      </c>
      <c r="F46" s="189">
        <f t="shared" si="1"/>
        <v>0</v>
      </c>
      <c r="G46" s="189" t="s">
        <v>540</v>
      </c>
      <c r="H46" s="189" t="s">
        <v>540</v>
      </c>
      <c r="I46" s="189">
        <v>0</v>
      </c>
      <c r="J46" s="189">
        <v>0</v>
      </c>
      <c r="K46" s="188">
        <v>0</v>
      </c>
      <c r="L46" s="188" t="s">
        <v>540</v>
      </c>
      <c r="M46" s="189">
        <v>0</v>
      </c>
      <c r="N46" s="189">
        <v>0</v>
      </c>
      <c r="O46" s="188">
        <v>0</v>
      </c>
      <c r="P46" s="189" t="s">
        <v>540</v>
      </c>
      <c r="Q46" s="189">
        <v>0</v>
      </c>
      <c r="R46" s="189">
        <f t="shared" si="2"/>
        <v>0</v>
      </c>
      <c r="S46" s="188">
        <v>0</v>
      </c>
      <c r="T46" s="189" t="s">
        <v>540</v>
      </c>
      <c r="U46" s="189">
        <v>0</v>
      </c>
      <c r="V46" s="188">
        <v>0</v>
      </c>
      <c r="W46" s="188">
        <v>0</v>
      </c>
      <c r="X46" s="189" t="s">
        <v>540</v>
      </c>
      <c r="Y46" s="189">
        <v>0</v>
      </c>
      <c r="Z46" s="188">
        <v>0</v>
      </c>
      <c r="AA46" s="188">
        <v>0</v>
      </c>
      <c r="AB46" s="189" t="s">
        <v>540</v>
      </c>
      <c r="AC46" s="188">
        <f t="shared" si="3"/>
        <v>0</v>
      </c>
    </row>
    <row r="47" spans="1:29" ht="31.5" x14ac:dyDescent="0.25">
      <c r="A47" s="295" t="s">
        <v>142</v>
      </c>
      <c r="B47" s="296" t="s">
        <v>141</v>
      </c>
      <c r="C47" s="189" t="s">
        <v>540</v>
      </c>
      <c r="D47" s="188">
        <v>12.832000000000001</v>
      </c>
      <c r="E47" s="188" t="s">
        <v>540</v>
      </c>
      <c r="F47" s="189">
        <f t="shared" si="1"/>
        <v>12.832000000000001</v>
      </c>
      <c r="G47" s="189" t="s">
        <v>540</v>
      </c>
      <c r="H47" s="189" t="s">
        <v>540</v>
      </c>
      <c r="I47" s="189">
        <v>0</v>
      </c>
      <c r="J47" s="189">
        <v>0</v>
      </c>
      <c r="K47" s="188">
        <v>0</v>
      </c>
      <c r="L47" s="188" t="s">
        <v>540</v>
      </c>
      <c r="M47" s="189">
        <v>0</v>
      </c>
      <c r="N47" s="189">
        <v>0</v>
      </c>
      <c r="O47" s="188">
        <v>0</v>
      </c>
      <c r="P47" s="189" t="s">
        <v>540</v>
      </c>
      <c r="Q47" s="189">
        <v>0</v>
      </c>
      <c r="R47" s="189">
        <f t="shared" si="2"/>
        <v>12.832000000000001</v>
      </c>
      <c r="S47" s="188">
        <v>0</v>
      </c>
      <c r="T47" s="189" t="s">
        <v>540</v>
      </c>
      <c r="U47" s="189">
        <v>0</v>
      </c>
      <c r="V47" s="188">
        <v>0</v>
      </c>
      <c r="W47" s="188">
        <v>0</v>
      </c>
      <c r="X47" s="189" t="s">
        <v>540</v>
      </c>
      <c r="Y47" s="189">
        <v>0</v>
      </c>
      <c r="Z47" s="188">
        <v>0</v>
      </c>
      <c r="AA47" s="188">
        <v>0</v>
      </c>
      <c r="AB47" s="189" t="s">
        <v>540</v>
      </c>
      <c r="AC47" s="188">
        <f t="shared" si="3"/>
        <v>12.832000000000001</v>
      </c>
    </row>
    <row r="48" spans="1:29" ht="31.5" x14ac:dyDescent="0.25">
      <c r="A48" s="295" t="s">
        <v>140</v>
      </c>
      <c r="B48" s="296" t="s">
        <v>139</v>
      </c>
      <c r="C48" s="189" t="s">
        <v>540</v>
      </c>
      <c r="D48" s="188">
        <v>0</v>
      </c>
      <c r="E48" s="188" t="s">
        <v>540</v>
      </c>
      <c r="F48" s="189">
        <f t="shared" si="1"/>
        <v>0</v>
      </c>
      <c r="G48" s="189" t="s">
        <v>540</v>
      </c>
      <c r="H48" s="189" t="s">
        <v>540</v>
      </c>
      <c r="I48" s="189">
        <v>0</v>
      </c>
      <c r="J48" s="189">
        <v>0</v>
      </c>
      <c r="K48" s="188">
        <v>0</v>
      </c>
      <c r="L48" s="188" t="s">
        <v>540</v>
      </c>
      <c r="M48" s="189">
        <v>0</v>
      </c>
      <c r="N48" s="189">
        <v>0</v>
      </c>
      <c r="O48" s="188">
        <v>0</v>
      </c>
      <c r="P48" s="189" t="s">
        <v>540</v>
      </c>
      <c r="Q48" s="189">
        <v>0</v>
      </c>
      <c r="R48" s="189">
        <f t="shared" si="2"/>
        <v>0</v>
      </c>
      <c r="S48" s="188">
        <v>0</v>
      </c>
      <c r="T48" s="189" t="s">
        <v>540</v>
      </c>
      <c r="U48" s="189">
        <v>0</v>
      </c>
      <c r="V48" s="188">
        <v>0</v>
      </c>
      <c r="W48" s="188">
        <v>0</v>
      </c>
      <c r="X48" s="189" t="s">
        <v>540</v>
      </c>
      <c r="Y48" s="189">
        <v>0</v>
      </c>
      <c r="Z48" s="188">
        <v>0</v>
      </c>
      <c r="AA48" s="188">
        <v>0</v>
      </c>
      <c r="AB48" s="189" t="s">
        <v>540</v>
      </c>
      <c r="AC48" s="188">
        <f t="shared" si="3"/>
        <v>0</v>
      </c>
    </row>
    <row r="49" spans="1:29" x14ac:dyDescent="0.25">
      <c r="A49" s="295" t="s">
        <v>138</v>
      </c>
      <c r="B49" s="296" t="s">
        <v>137</v>
      </c>
      <c r="C49" s="189" t="s">
        <v>540</v>
      </c>
      <c r="D49" s="188">
        <v>0</v>
      </c>
      <c r="E49" s="188" t="s">
        <v>540</v>
      </c>
      <c r="F49" s="189">
        <f t="shared" si="1"/>
        <v>0</v>
      </c>
      <c r="G49" s="189" t="s">
        <v>540</v>
      </c>
      <c r="H49" s="189" t="s">
        <v>540</v>
      </c>
      <c r="I49" s="189">
        <v>0</v>
      </c>
      <c r="J49" s="189">
        <v>0</v>
      </c>
      <c r="K49" s="188">
        <v>0</v>
      </c>
      <c r="L49" s="188" t="s">
        <v>540</v>
      </c>
      <c r="M49" s="189">
        <v>0</v>
      </c>
      <c r="N49" s="189">
        <v>0</v>
      </c>
      <c r="O49" s="188">
        <v>0</v>
      </c>
      <c r="P49" s="189" t="s">
        <v>540</v>
      </c>
      <c r="Q49" s="189">
        <v>0</v>
      </c>
      <c r="R49" s="189">
        <f t="shared" si="2"/>
        <v>0</v>
      </c>
      <c r="S49" s="188">
        <v>0</v>
      </c>
      <c r="T49" s="189" t="s">
        <v>540</v>
      </c>
      <c r="U49" s="189">
        <v>0</v>
      </c>
      <c r="V49" s="188">
        <v>0</v>
      </c>
      <c r="W49" s="188">
        <v>0</v>
      </c>
      <c r="X49" s="189" t="s">
        <v>540</v>
      </c>
      <c r="Y49" s="189">
        <v>0</v>
      </c>
      <c r="Z49" s="188">
        <v>0</v>
      </c>
      <c r="AA49" s="188">
        <v>0</v>
      </c>
      <c r="AB49" s="189" t="s">
        <v>540</v>
      </c>
      <c r="AC49" s="188">
        <f t="shared" si="3"/>
        <v>0</v>
      </c>
    </row>
    <row r="50" spans="1:29" ht="18.75" x14ac:dyDescent="0.25">
      <c r="A50" s="295" t="s">
        <v>136</v>
      </c>
      <c r="B50" s="299" t="s">
        <v>549</v>
      </c>
      <c r="C50" s="189" t="s">
        <v>540</v>
      </c>
      <c r="D50" s="188">
        <v>0</v>
      </c>
      <c r="E50" s="188" t="s">
        <v>540</v>
      </c>
      <c r="F50" s="189">
        <f t="shared" si="1"/>
        <v>0</v>
      </c>
      <c r="G50" s="189" t="s">
        <v>540</v>
      </c>
      <c r="H50" s="189" t="s">
        <v>540</v>
      </c>
      <c r="I50" s="189">
        <v>0</v>
      </c>
      <c r="J50" s="189">
        <v>0</v>
      </c>
      <c r="K50" s="188">
        <v>0</v>
      </c>
      <c r="L50" s="188" t="s">
        <v>540</v>
      </c>
      <c r="M50" s="189">
        <v>0</v>
      </c>
      <c r="N50" s="189">
        <v>0</v>
      </c>
      <c r="O50" s="188">
        <v>0</v>
      </c>
      <c r="P50" s="189" t="s">
        <v>540</v>
      </c>
      <c r="Q50" s="189">
        <v>0</v>
      </c>
      <c r="R50" s="189">
        <f t="shared" si="2"/>
        <v>0</v>
      </c>
      <c r="S50" s="188">
        <v>0</v>
      </c>
      <c r="T50" s="189" t="s">
        <v>540</v>
      </c>
      <c r="U50" s="189">
        <v>0</v>
      </c>
      <c r="V50" s="188">
        <v>0</v>
      </c>
      <c r="W50" s="188">
        <v>0</v>
      </c>
      <c r="X50" s="189" t="s">
        <v>540</v>
      </c>
      <c r="Y50" s="189">
        <v>0</v>
      </c>
      <c r="Z50" s="188">
        <v>0</v>
      </c>
      <c r="AA50" s="188">
        <v>0</v>
      </c>
      <c r="AB50" s="189" t="s">
        <v>540</v>
      </c>
      <c r="AC50" s="188">
        <f t="shared" si="3"/>
        <v>0</v>
      </c>
    </row>
    <row r="51" spans="1:29" s="298" customFormat="1" ht="35.25" customHeight="1" x14ac:dyDescent="0.25">
      <c r="A51" s="293" t="s">
        <v>57</v>
      </c>
      <c r="B51" s="294" t="s">
        <v>135</v>
      </c>
      <c r="C51" s="189" t="s">
        <v>540</v>
      </c>
      <c r="D51" s="188">
        <v>0</v>
      </c>
      <c r="E51" s="188" t="s">
        <v>540</v>
      </c>
      <c r="F51" s="189">
        <f t="shared" si="1"/>
        <v>0</v>
      </c>
      <c r="G51" s="188" t="s">
        <v>540</v>
      </c>
      <c r="H51" s="188" t="s">
        <v>540</v>
      </c>
      <c r="I51" s="188">
        <v>0</v>
      </c>
      <c r="J51" s="189">
        <v>0</v>
      </c>
      <c r="K51" s="188">
        <v>0</v>
      </c>
      <c r="L51" s="188" t="s">
        <v>540</v>
      </c>
      <c r="M51" s="188">
        <v>0</v>
      </c>
      <c r="N51" s="189">
        <v>0</v>
      </c>
      <c r="O51" s="188">
        <v>0</v>
      </c>
      <c r="P51" s="188" t="s">
        <v>540</v>
      </c>
      <c r="Q51" s="188">
        <v>0</v>
      </c>
      <c r="R51" s="189">
        <f t="shared" si="2"/>
        <v>0</v>
      </c>
      <c r="S51" s="188">
        <v>0</v>
      </c>
      <c r="T51" s="189" t="s">
        <v>540</v>
      </c>
      <c r="U51" s="188">
        <v>0</v>
      </c>
      <c r="V51" s="188">
        <v>0</v>
      </c>
      <c r="W51" s="188">
        <v>0</v>
      </c>
      <c r="X51" s="189" t="s">
        <v>540</v>
      </c>
      <c r="Y51" s="188">
        <v>0</v>
      </c>
      <c r="Z51" s="188">
        <v>0</v>
      </c>
      <c r="AA51" s="188">
        <v>0</v>
      </c>
      <c r="AB51" s="189" t="s">
        <v>540</v>
      </c>
      <c r="AC51" s="188">
        <f t="shared" si="3"/>
        <v>0</v>
      </c>
    </row>
    <row r="52" spans="1:29" x14ac:dyDescent="0.25">
      <c r="A52" s="295" t="s">
        <v>134</v>
      </c>
      <c r="B52" s="296" t="s">
        <v>133</v>
      </c>
      <c r="C52" s="189" t="s">
        <v>540</v>
      </c>
      <c r="D52" s="188">
        <f>D30</f>
        <v>1</v>
      </c>
      <c r="E52" s="188" t="s">
        <v>540</v>
      </c>
      <c r="F52" s="189">
        <f t="shared" si="1"/>
        <v>1</v>
      </c>
      <c r="G52" s="189" t="s">
        <v>540</v>
      </c>
      <c r="H52" s="189" t="s">
        <v>540</v>
      </c>
      <c r="I52" s="189">
        <v>0</v>
      </c>
      <c r="J52" s="189">
        <v>0</v>
      </c>
      <c r="K52" s="188">
        <v>0</v>
      </c>
      <c r="L52" s="188" t="s">
        <v>540</v>
      </c>
      <c r="M52" s="189">
        <v>0</v>
      </c>
      <c r="N52" s="189">
        <v>0</v>
      </c>
      <c r="O52" s="188">
        <v>0</v>
      </c>
      <c r="P52" s="189" t="s">
        <v>540</v>
      </c>
      <c r="Q52" s="189">
        <v>0</v>
      </c>
      <c r="R52" s="189">
        <f t="shared" si="2"/>
        <v>1</v>
      </c>
      <c r="S52" s="188">
        <v>0</v>
      </c>
      <c r="T52" s="189" t="s">
        <v>540</v>
      </c>
      <c r="U52" s="189">
        <v>0</v>
      </c>
      <c r="V52" s="188">
        <v>0</v>
      </c>
      <c r="W52" s="188">
        <v>0</v>
      </c>
      <c r="X52" s="189" t="s">
        <v>540</v>
      </c>
      <c r="Y52" s="189">
        <v>0</v>
      </c>
      <c r="Z52" s="188">
        <v>0</v>
      </c>
      <c r="AA52" s="188">
        <v>0</v>
      </c>
      <c r="AB52" s="189" t="s">
        <v>540</v>
      </c>
      <c r="AC52" s="188">
        <f t="shared" si="3"/>
        <v>1</v>
      </c>
    </row>
    <row r="53" spans="1:29" x14ac:dyDescent="0.25">
      <c r="A53" s="295" t="s">
        <v>132</v>
      </c>
      <c r="B53" s="296" t="s">
        <v>126</v>
      </c>
      <c r="C53" s="189" t="s">
        <v>540</v>
      </c>
      <c r="D53" s="188">
        <v>0</v>
      </c>
      <c r="E53" s="188" t="s">
        <v>540</v>
      </c>
      <c r="F53" s="189">
        <f t="shared" si="1"/>
        <v>0</v>
      </c>
      <c r="G53" s="189" t="s">
        <v>540</v>
      </c>
      <c r="H53" s="189" t="s">
        <v>540</v>
      </c>
      <c r="I53" s="189">
        <v>0</v>
      </c>
      <c r="J53" s="189">
        <v>0</v>
      </c>
      <c r="K53" s="188">
        <v>0</v>
      </c>
      <c r="L53" s="188" t="s">
        <v>540</v>
      </c>
      <c r="M53" s="189">
        <v>0</v>
      </c>
      <c r="N53" s="189">
        <v>0</v>
      </c>
      <c r="O53" s="188">
        <v>0</v>
      </c>
      <c r="P53" s="189" t="s">
        <v>540</v>
      </c>
      <c r="Q53" s="189">
        <v>0</v>
      </c>
      <c r="R53" s="189">
        <f t="shared" si="2"/>
        <v>0</v>
      </c>
      <c r="S53" s="188">
        <v>0</v>
      </c>
      <c r="T53" s="189" t="s">
        <v>540</v>
      </c>
      <c r="U53" s="189">
        <v>0</v>
      </c>
      <c r="V53" s="188">
        <v>0</v>
      </c>
      <c r="W53" s="188">
        <v>0</v>
      </c>
      <c r="X53" s="189" t="s">
        <v>540</v>
      </c>
      <c r="Y53" s="189">
        <v>0</v>
      </c>
      <c r="Z53" s="188">
        <v>0</v>
      </c>
      <c r="AA53" s="188">
        <v>0</v>
      </c>
      <c r="AB53" s="189" t="s">
        <v>540</v>
      </c>
      <c r="AC53" s="188">
        <f t="shared" si="3"/>
        <v>0</v>
      </c>
    </row>
    <row r="54" spans="1:29" x14ac:dyDescent="0.25">
      <c r="A54" s="295" t="s">
        <v>131</v>
      </c>
      <c r="B54" s="299" t="s">
        <v>125</v>
      </c>
      <c r="C54" s="189" t="s">
        <v>540</v>
      </c>
      <c r="D54" s="188">
        <f>D45</f>
        <v>0</v>
      </c>
      <c r="E54" s="188" t="s">
        <v>540</v>
      </c>
      <c r="F54" s="189">
        <f t="shared" si="1"/>
        <v>0</v>
      </c>
      <c r="G54" s="189" t="s">
        <v>540</v>
      </c>
      <c r="H54" s="189" t="s">
        <v>540</v>
      </c>
      <c r="I54" s="189">
        <v>0</v>
      </c>
      <c r="J54" s="189">
        <v>0</v>
      </c>
      <c r="K54" s="188">
        <v>0</v>
      </c>
      <c r="L54" s="188" t="s">
        <v>540</v>
      </c>
      <c r="M54" s="189">
        <v>0</v>
      </c>
      <c r="N54" s="189">
        <v>0</v>
      </c>
      <c r="O54" s="188">
        <v>0</v>
      </c>
      <c r="P54" s="189" t="s">
        <v>540</v>
      </c>
      <c r="Q54" s="189">
        <v>0</v>
      </c>
      <c r="R54" s="189">
        <f t="shared" si="2"/>
        <v>0</v>
      </c>
      <c r="S54" s="188">
        <v>0</v>
      </c>
      <c r="T54" s="189" t="s">
        <v>540</v>
      </c>
      <c r="U54" s="189">
        <v>0</v>
      </c>
      <c r="V54" s="188">
        <v>0</v>
      </c>
      <c r="W54" s="188">
        <v>0</v>
      </c>
      <c r="X54" s="189" t="s">
        <v>540</v>
      </c>
      <c r="Y54" s="189">
        <v>0</v>
      </c>
      <c r="Z54" s="188">
        <v>0</v>
      </c>
      <c r="AA54" s="188">
        <v>0</v>
      </c>
      <c r="AB54" s="189" t="s">
        <v>540</v>
      </c>
      <c r="AC54" s="188">
        <f t="shared" si="3"/>
        <v>0</v>
      </c>
    </row>
    <row r="55" spans="1:29" x14ac:dyDescent="0.25">
      <c r="A55" s="295" t="s">
        <v>130</v>
      </c>
      <c r="B55" s="299" t="s">
        <v>124</v>
      </c>
      <c r="C55" s="189" t="s">
        <v>540</v>
      </c>
      <c r="D55" s="188">
        <v>0</v>
      </c>
      <c r="E55" s="188" t="s">
        <v>540</v>
      </c>
      <c r="F55" s="189">
        <f t="shared" si="1"/>
        <v>0</v>
      </c>
      <c r="G55" s="189" t="s">
        <v>540</v>
      </c>
      <c r="H55" s="189" t="s">
        <v>540</v>
      </c>
      <c r="I55" s="189">
        <v>0</v>
      </c>
      <c r="J55" s="189">
        <v>0</v>
      </c>
      <c r="K55" s="188">
        <v>0</v>
      </c>
      <c r="L55" s="188" t="s">
        <v>540</v>
      </c>
      <c r="M55" s="189">
        <v>0</v>
      </c>
      <c r="N55" s="189">
        <v>0</v>
      </c>
      <c r="O55" s="188">
        <v>0</v>
      </c>
      <c r="P55" s="189" t="s">
        <v>540</v>
      </c>
      <c r="Q55" s="189">
        <v>0</v>
      </c>
      <c r="R55" s="189">
        <f t="shared" si="2"/>
        <v>0</v>
      </c>
      <c r="S55" s="188">
        <v>0</v>
      </c>
      <c r="T55" s="189" t="s">
        <v>540</v>
      </c>
      <c r="U55" s="189">
        <v>0</v>
      </c>
      <c r="V55" s="188">
        <v>0</v>
      </c>
      <c r="W55" s="188">
        <v>0</v>
      </c>
      <c r="X55" s="189" t="s">
        <v>540</v>
      </c>
      <c r="Y55" s="189">
        <v>0</v>
      </c>
      <c r="Z55" s="188">
        <v>0</v>
      </c>
      <c r="AA55" s="188">
        <v>0</v>
      </c>
      <c r="AB55" s="189" t="s">
        <v>540</v>
      </c>
      <c r="AC55" s="188">
        <f t="shared" si="3"/>
        <v>0</v>
      </c>
    </row>
    <row r="56" spans="1:29" x14ac:dyDescent="0.25">
      <c r="A56" s="295" t="s">
        <v>129</v>
      </c>
      <c r="B56" s="299" t="s">
        <v>123</v>
      </c>
      <c r="C56" s="189" t="s">
        <v>540</v>
      </c>
      <c r="D56" s="188">
        <f>D47</f>
        <v>12.832000000000001</v>
      </c>
      <c r="E56" s="188" t="s">
        <v>540</v>
      </c>
      <c r="F56" s="189">
        <f t="shared" si="1"/>
        <v>12.832000000000001</v>
      </c>
      <c r="G56" s="189" t="s">
        <v>540</v>
      </c>
      <c r="H56" s="189" t="s">
        <v>540</v>
      </c>
      <c r="I56" s="189">
        <v>0</v>
      </c>
      <c r="J56" s="189">
        <v>0</v>
      </c>
      <c r="K56" s="188">
        <v>0</v>
      </c>
      <c r="L56" s="188" t="s">
        <v>540</v>
      </c>
      <c r="M56" s="189">
        <v>0</v>
      </c>
      <c r="N56" s="189">
        <v>0</v>
      </c>
      <c r="O56" s="188">
        <v>0</v>
      </c>
      <c r="P56" s="189" t="s">
        <v>540</v>
      </c>
      <c r="Q56" s="189">
        <v>0</v>
      </c>
      <c r="R56" s="189">
        <f t="shared" si="2"/>
        <v>12.832000000000001</v>
      </c>
      <c r="S56" s="188">
        <v>0</v>
      </c>
      <c r="T56" s="189" t="s">
        <v>540</v>
      </c>
      <c r="U56" s="189">
        <v>0</v>
      </c>
      <c r="V56" s="188">
        <v>0</v>
      </c>
      <c r="W56" s="188">
        <v>0</v>
      </c>
      <c r="X56" s="189" t="s">
        <v>540</v>
      </c>
      <c r="Y56" s="189">
        <v>0</v>
      </c>
      <c r="Z56" s="188">
        <v>0</v>
      </c>
      <c r="AA56" s="188">
        <v>0</v>
      </c>
      <c r="AB56" s="189" t="s">
        <v>540</v>
      </c>
      <c r="AC56" s="188">
        <f t="shared" si="3"/>
        <v>12.832000000000001</v>
      </c>
    </row>
    <row r="57" spans="1:29" ht="18.75" x14ac:dyDescent="0.25">
      <c r="A57" s="295" t="s">
        <v>128</v>
      </c>
      <c r="B57" s="299" t="s">
        <v>549</v>
      </c>
      <c r="C57" s="189" t="s">
        <v>540</v>
      </c>
      <c r="D57" s="188">
        <v>0</v>
      </c>
      <c r="E57" s="188" t="s">
        <v>540</v>
      </c>
      <c r="F57" s="189">
        <f t="shared" si="1"/>
        <v>0</v>
      </c>
      <c r="G57" s="189" t="s">
        <v>540</v>
      </c>
      <c r="H57" s="189" t="s">
        <v>540</v>
      </c>
      <c r="I57" s="189">
        <v>0</v>
      </c>
      <c r="J57" s="189">
        <v>0</v>
      </c>
      <c r="K57" s="188">
        <v>0</v>
      </c>
      <c r="L57" s="188" t="s">
        <v>540</v>
      </c>
      <c r="M57" s="189">
        <v>0</v>
      </c>
      <c r="N57" s="189">
        <v>0</v>
      </c>
      <c r="O57" s="188">
        <v>0</v>
      </c>
      <c r="P57" s="189" t="s">
        <v>540</v>
      </c>
      <c r="Q57" s="189">
        <v>0</v>
      </c>
      <c r="R57" s="189">
        <f t="shared" si="2"/>
        <v>0</v>
      </c>
      <c r="S57" s="188">
        <v>0</v>
      </c>
      <c r="T57" s="189" t="s">
        <v>540</v>
      </c>
      <c r="U57" s="189">
        <v>0</v>
      </c>
      <c r="V57" s="188">
        <v>0</v>
      </c>
      <c r="W57" s="188">
        <v>0</v>
      </c>
      <c r="X57" s="189" t="s">
        <v>540</v>
      </c>
      <c r="Y57" s="189">
        <v>0</v>
      </c>
      <c r="Z57" s="188">
        <v>0</v>
      </c>
      <c r="AA57" s="188">
        <v>0</v>
      </c>
      <c r="AB57" s="189" t="s">
        <v>540</v>
      </c>
      <c r="AC57" s="188">
        <f t="shared" si="3"/>
        <v>0</v>
      </c>
    </row>
    <row r="58" spans="1:29" s="298" customFormat="1" ht="36.75" customHeight="1" x14ac:dyDescent="0.25">
      <c r="A58" s="293" t="s">
        <v>56</v>
      </c>
      <c r="B58" s="300" t="s">
        <v>207</v>
      </c>
      <c r="C58" s="189" t="s">
        <v>540</v>
      </c>
      <c r="D58" s="188">
        <v>0</v>
      </c>
      <c r="E58" s="188" t="s">
        <v>540</v>
      </c>
      <c r="F58" s="189">
        <f t="shared" si="1"/>
        <v>0</v>
      </c>
      <c r="G58" s="188" t="s">
        <v>540</v>
      </c>
      <c r="H58" s="188" t="s">
        <v>540</v>
      </c>
      <c r="I58" s="188">
        <v>0</v>
      </c>
      <c r="J58" s="189">
        <v>0</v>
      </c>
      <c r="K58" s="188">
        <v>0</v>
      </c>
      <c r="L58" s="188" t="s">
        <v>540</v>
      </c>
      <c r="M58" s="188">
        <v>0</v>
      </c>
      <c r="N58" s="189">
        <v>0</v>
      </c>
      <c r="O58" s="188">
        <v>0</v>
      </c>
      <c r="P58" s="188" t="s">
        <v>540</v>
      </c>
      <c r="Q58" s="188">
        <v>0</v>
      </c>
      <c r="R58" s="189">
        <f t="shared" si="2"/>
        <v>0</v>
      </c>
      <c r="S58" s="188">
        <v>0</v>
      </c>
      <c r="T58" s="189" t="s">
        <v>540</v>
      </c>
      <c r="U58" s="188">
        <v>0</v>
      </c>
      <c r="V58" s="188">
        <v>0</v>
      </c>
      <c r="W58" s="188">
        <v>0</v>
      </c>
      <c r="X58" s="189" t="s">
        <v>540</v>
      </c>
      <c r="Y58" s="188">
        <v>0</v>
      </c>
      <c r="Z58" s="188">
        <v>0</v>
      </c>
      <c r="AA58" s="188">
        <v>0</v>
      </c>
      <c r="AB58" s="189" t="s">
        <v>540</v>
      </c>
      <c r="AC58" s="188">
        <f t="shared" si="3"/>
        <v>0</v>
      </c>
    </row>
    <row r="59" spans="1:29" s="298" customFormat="1" x14ac:dyDescent="0.25">
      <c r="A59" s="293" t="s">
        <v>54</v>
      </c>
      <c r="B59" s="294" t="s">
        <v>127</v>
      </c>
      <c r="C59" s="189" t="s">
        <v>540</v>
      </c>
      <c r="D59" s="188">
        <v>0</v>
      </c>
      <c r="E59" s="188" t="s">
        <v>540</v>
      </c>
      <c r="F59" s="189">
        <f t="shared" si="1"/>
        <v>0</v>
      </c>
      <c r="G59" s="188" t="s">
        <v>540</v>
      </c>
      <c r="H59" s="188" t="s">
        <v>540</v>
      </c>
      <c r="I59" s="188">
        <v>0</v>
      </c>
      <c r="J59" s="189">
        <v>0</v>
      </c>
      <c r="K59" s="188">
        <v>0</v>
      </c>
      <c r="L59" s="188" t="s">
        <v>540</v>
      </c>
      <c r="M59" s="188">
        <v>0</v>
      </c>
      <c r="N59" s="189">
        <v>0</v>
      </c>
      <c r="O59" s="188">
        <v>0</v>
      </c>
      <c r="P59" s="188" t="s">
        <v>540</v>
      </c>
      <c r="Q59" s="188">
        <v>0</v>
      </c>
      <c r="R59" s="189">
        <f t="shared" si="2"/>
        <v>0</v>
      </c>
      <c r="S59" s="188">
        <v>0</v>
      </c>
      <c r="T59" s="189" t="s">
        <v>540</v>
      </c>
      <c r="U59" s="188">
        <v>0</v>
      </c>
      <c r="V59" s="188">
        <v>0</v>
      </c>
      <c r="W59" s="188">
        <v>0</v>
      </c>
      <c r="X59" s="189" t="s">
        <v>540</v>
      </c>
      <c r="Y59" s="188">
        <v>0</v>
      </c>
      <c r="Z59" s="188">
        <v>0</v>
      </c>
      <c r="AA59" s="188">
        <v>0</v>
      </c>
      <c r="AB59" s="189" t="s">
        <v>540</v>
      </c>
      <c r="AC59" s="188">
        <f t="shared" si="3"/>
        <v>0</v>
      </c>
    </row>
    <row r="60" spans="1:29" x14ac:dyDescent="0.25">
      <c r="A60" s="295" t="s">
        <v>201</v>
      </c>
      <c r="B60" s="301" t="s">
        <v>147</v>
      </c>
      <c r="C60" s="189" t="s">
        <v>540</v>
      </c>
      <c r="D60" s="188">
        <v>0</v>
      </c>
      <c r="E60" s="188" t="s">
        <v>540</v>
      </c>
      <c r="F60" s="189">
        <f t="shared" si="1"/>
        <v>0</v>
      </c>
      <c r="G60" s="189" t="s">
        <v>540</v>
      </c>
      <c r="H60" s="189" t="s">
        <v>540</v>
      </c>
      <c r="I60" s="189">
        <v>0</v>
      </c>
      <c r="J60" s="189">
        <v>0</v>
      </c>
      <c r="K60" s="188">
        <v>0</v>
      </c>
      <c r="L60" s="188" t="s">
        <v>540</v>
      </c>
      <c r="M60" s="189">
        <v>0</v>
      </c>
      <c r="N60" s="189">
        <v>0</v>
      </c>
      <c r="O60" s="188">
        <v>0</v>
      </c>
      <c r="P60" s="189" t="s">
        <v>540</v>
      </c>
      <c r="Q60" s="189">
        <v>0</v>
      </c>
      <c r="R60" s="189">
        <f t="shared" si="2"/>
        <v>0</v>
      </c>
      <c r="S60" s="188">
        <v>0</v>
      </c>
      <c r="T60" s="189" t="s">
        <v>540</v>
      </c>
      <c r="U60" s="189">
        <v>0</v>
      </c>
      <c r="V60" s="188">
        <v>0</v>
      </c>
      <c r="W60" s="188">
        <v>0</v>
      </c>
      <c r="X60" s="189" t="s">
        <v>540</v>
      </c>
      <c r="Y60" s="189">
        <v>0</v>
      </c>
      <c r="Z60" s="188">
        <v>0</v>
      </c>
      <c r="AA60" s="188">
        <v>0</v>
      </c>
      <c r="AB60" s="189" t="s">
        <v>540</v>
      </c>
      <c r="AC60" s="188">
        <f t="shared" si="3"/>
        <v>0</v>
      </c>
    </row>
    <row r="61" spans="1:29" x14ac:dyDescent="0.25">
      <c r="A61" s="295" t="s">
        <v>202</v>
      </c>
      <c r="B61" s="301" t="s">
        <v>145</v>
      </c>
      <c r="C61" s="189" t="s">
        <v>540</v>
      </c>
      <c r="D61" s="188">
        <v>0</v>
      </c>
      <c r="E61" s="188" t="s">
        <v>540</v>
      </c>
      <c r="F61" s="189">
        <f t="shared" si="1"/>
        <v>0</v>
      </c>
      <c r="G61" s="189" t="s">
        <v>540</v>
      </c>
      <c r="H61" s="189" t="s">
        <v>540</v>
      </c>
      <c r="I61" s="189">
        <v>0</v>
      </c>
      <c r="J61" s="189">
        <v>0</v>
      </c>
      <c r="K61" s="188">
        <v>0</v>
      </c>
      <c r="L61" s="188" t="s">
        <v>540</v>
      </c>
      <c r="M61" s="189">
        <v>0</v>
      </c>
      <c r="N61" s="189">
        <v>0</v>
      </c>
      <c r="O61" s="188">
        <v>0</v>
      </c>
      <c r="P61" s="189" t="s">
        <v>540</v>
      </c>
      <c r="Q61" s="189">
        <v>0</v>
      </c>
      <c r="R61" s="189">
        <f t="shared" si="2"/>
        <v>0</v>
      </c>
      <c r="S61" s="188">
        <v>0</v>
      </c>
      <c r="T61" s="189" t="s">
        <v>540</v>
      </c>
      <c r="U61" s="189">
        <v>0</v>
      </c>
      <c r="V61" s="188">
        <v>0</v>
      </c>
      <c r="W61" s="188">
        <v>0</v>
      </c>
      <c r="X61" s="189" t="s">
        <v>540</v>
      </c>
      <c r="Y61" s="189">
        <v>0</v>
      </c>
      <c r="Z61" s="188">
        <v>0</v>
      </c>
      <c r="AA61" s="188">
        <v>0</v>
      </c>
      <c r="AB61" s="189" t="s">
        <v>540</v>
      </c>
      <c r="AC61" s="188">
        <f t="shared" si="3"/>
        <v>0</v>
      </c>
    </row>
    <row r="62" spans="1:29" x14ac:dyDescent="0.25">
      <c r="A62" s="295" t="s">
        <v>203</v>
      </c>
      <c r="B62" s="301" t="s">
        <v>143</v>
      </c>
      <c r="C62" s="189" t="s">
        <v>540</v>
      </c>
      <c r="D62" s="188">
        <v>0</v>
      </c>
      <c r="E62" s="188" t="s">
        <v>540</v>
      </c>
      <c r="F62" s="189">
        <f t="shared" si="1"/>
        <v>0</v>
      </c>
      <c r="G62" s="189" t="s">
        <v>540</v>
      </c>
      <c r="H62" s="189" t="s">
        <v>540</v>
      </c>
      <c r="I62" s="189">
        <v>0</v>
      </c>
      <c r="J62" s="189">
        <v>0</v>
      </c>
      <c r="K62" s="188">
        <v>0</v>
      </c>
      <c r="L62" s="188" t="s">
        <v>540</v>
      </c>
      <c r="M62" s="189">
        <v>0</v>
      </c>
      <c r="N62" s="189">
        <v>0</v>
      </c>
      <c r="O62" s="188">
        <v>0</v>
      </c>
      <c r="P62" s="189" t="s">
        <v>540</v>
      </c>
      <c r="Q62" s="189">
        <v>0</v>
      </c>
      <c r="R62" s="189">
        <f t="shared" si="2"/>
        <v>0</v>
      </c>
      <c r="S62" s="188">
        <v>0</v>
      </c>
      <c r="T62" s="189" t="s">
        <v>540</v>
      </c>
      <c r="U62" s="189">
        <v>0</v>
      </c>
      <c r="V62" s="188">
        <v>0</v>
      </c>
      <c r="W62" s="188">
        <v>0</v>
      </c>
      <c r="X62" s="189" t="s">
        <v>540</v>
      </c>
      <c r="Y62" s="189">
        <v>0</v>
      </c>
      <c r="Z62" s="188">
        <v>0</v>
      </c>
      <c r="AA62" s="188">
        <v>0</v>
      </c>
      <c r="AB62" s="189" t="s">
        <v>540</v>
      </c>
      <c r="AC62" s="188">
        <f t="shared" si="3"/>
        <v>0</v>
      </c>
    </row>
    <row r="63" spans="1:29" x14ac:dyDescent="0.25">
      <c r="A63" s="295" t="s">
        <v>204</v>
      </c>
      <c r="B63" s="301" t="s">
        <v>206</v>
      </c>
      <c r="C63" s="189" t="s">
        <v>540</v>
      </c>
      <c r="D63" s="188">
        <v>0</v>
      </c>
      <c r="E63" s="188" t="s">
        <v>540</v>
      </c>
      <c r="F63" s="189">
        <f t="shared" si="1"/>
        <v>0</v>
      </c>
      <c r="G63" s="189" t="s">
        <v>540</v>
      </c>
      <c r="H63" s="189" t="s">
        <v>540</v>
      </c>
      <c r="I63" s="189">
        <v>0</v>
      </c>
      <c r="J63" s="189">
        <v>0</v>
      </c>
      <c r="K63" s="188">
        <v>0</v>
      </c>
      <c r="L63" s="188" t="s">
        <v>540</v>
      </c>
      <c r="M63" s="189">
        <v>0</v>
      </c>
      <c r="N63" s="189">
        <v>0</v>
      </c>
      <c r="O63" s="188">
        <v>0</v>
      </c>
      <c r="P63" s="189" t="s">
        <v>540</v>
      </c>
      <c r="Q63" s="189">
        <v>0</v>
      </c>
      <c r="R63" s="189">
        <f t="shared" si="2"/>
        <v>0</v>
      </c>
      <c r="S63" s="188">
        <v>0</v>
      </c>
      <c r="T63" s="189" t="s">
        <v>540</v>
      </c>
      <c r="U63" s="189">
        <v>0</v>
      </c>
      <c r="V63" s="188">
        <v>0</v>
      </c>
      <c r="W63" s="188">
        <v>0</v>
      </c>
      <c r="X63" s="189" t="s">
        <v>540</v>
      </c>
      <c r="Y63" s="189">
        <v>0</v>
      </c>
      <c r="Z63" s="188">
        <v>0</v>
      </c>
      <c r="AA63" s="188">
        <v>0</v>
      </c>
      <c r="AB63" s="189" t="s">
        <v>540</v>
      </c>
      <c r="AC63" s="188">
        <f t="shared" si="3"/>
        <v>0</v>
      </c>
    </row>
    <row r="64" spans="1:29" ht="18.75" x14ac:dyDescent="0.25">
      <c r="A64" s="295" t="s">
        <v>205</v>
      </c>
      <c r="B64" s="299" t="s">
        <v>549</v>
      </c>
      <c r="C64" s="189" t="s">
        <v>540</v>
      </c>
      <c r="D64" s="188">
        <v>0</v>
      </c>
      <c r="E64" s="188" t="s">
        <v>540</v>
      </c>
      <c r="F64" s="189">
        <f t="shared" si="1"/>
        <v>0</v>
      </c>
      <c r="G64" s="189" t="s">
        <v>540</v>
      </c>
      <c r="H64" s="189" t="s">
        <v>540</v>
      </c>
      <c r="I64" s="189">
        <v>0</v>
      </c>
      <c r="J64" s="189">
        <v>0</v>
      </c>
      <c r="K64" s="188">
        <v>0</v>
      </c>
      <c r="L64" s="188" t="s">
        <v>540</v>
      </c>
      <c r="M64" s="189">
        <v>0</v>
      </c>
      <c r="N64" s="189">
        <v>0</v>
      </c>
      <c r="O64" s="188">
        <v>0</v>
      </c>
      <c r="P64" s="189" t="s">
        <v>540</v>
      </c>
      <c r="Q64" s="189">
        <v>0</v>
      </c>
      <c r="R64" s="189">
        <f t="shared" si="2"/>
        <v>0</v>
      </c>
      <c r="S64" s="188">
        <v>0</v>
      </c>
      <c r="T64" s="189" t="s">
        <v>540</v>
      </c>
      <c r="U64" s="189">
        <v>0</v>
      </c>
      <c r="V64" s="188">
        <v>0</v>
      </c>
      <c r="W64" s="188">
        <v>0</v>
      </c>
      <c r="X64" s="189" t="s">
        <v>540</v>
      </c>
      <c r="Y64" s="189">
        <v>0</v>
      </c>
      <c r="Z64" s="188">
        <v>0</v>
      </c>
      <c r="AA64" s="188">
        <v>0</v>
      </c>
      <c r="AB64" s="189" t="s">
        <v>540</v>
      </c>
      <c r="AC64" s="188">
        <f t="shared" si="3"/>
        <v>0</v>
      </c>
    </row>
    <row r="65" spans="1:28" x14ac:dyDescent="0.25">
      <c r="A65" s="302"/>
      <c r="B65" s="190"/>
      <c r="C65" s="190"/>
      <c r="D65" s="190"/>
      <c r="E65" s="190"/>
      <c r="F65" s="190"/>
      <c r="G65" s="190"/>
    </row>
    <row r="66" spans="1:28" ht="54" customHeight="1" x14ac:dyDescent="0.25">
      <c r="B66" s="388"/>
      <c r="C66" s="388"/>
      <c r="D66" s="388"/>
      <c r="E66" s="388"/>
      <c r="F66" s="388"/>
      <c r="G66" s="191"/>
      <c r="H66" s="303"/>
      <c r="I66" s="303"/>
      <c r="J66" s="303"/>
      <c r="K66" s="303"/>
      <c r="L66" s="303"/>
      <c r="M66" s="303"/>
      <c r="N66" s="303"/>
      <c r="O66" s="303"/>
      <c r="P66" s="303"/>
      <c r="Q66" s="303"/>
      <c r="R66" s="303"/>
      <c r="S66" s="303"/>
      <c r="T66" s="303"/>
      <c r="U66" s="303"/>
      <c r="V66" s="303"/>
      <c r="W66" s="303"/>
      <c r="X66" s="303"/>
      <c r="Y66" s="303"/>
      <c r="Z66" s="303"/>
      <c r="AA66" s="303"/>
      <c r="AB66" s="303"/>
    </row>
    <row r="68" spans="1:28" ht="50.25" customHeight="1" x14ac:dyDescent="0.25">
      <c r="B68" s="388"/>
      <c r="C68" s="388"/>
      <c r="D68" s="388"/>
      <c r="E68" s="388"/>
      <c r="F68" s="388"/>
      <c r="G68" s="191"/>
    </row>
    <row r="70" spans="1:28" ht="36.75" customHeight="1" x14ac:dyDescent="0.25">
      <c r="B70" s="388"/>
      <c r="C70" s="388"/>
      <c r="D70" s="388"/>
      <c r="E70" s="388"/>
      <c r="F70" s="388"/>
      <c r="G70" s="191"/>
    </row>
    <row r="72" spans="1:28" ht="51" customHeight="1" x14ac:dyDescent="0.25">
      <c r="B72" s="388"/>
      <c r="C72" s="388"/>
      <c r="D72" s="388"/>
      <c r="E72" s="388"/>
      <c r="F72" s="388"/>
      <c r="G72" s="191"/>
    </row>
    <row r="73" spans="1:28" ht="32.25" customHeight="1" x14ac:dyDescent="0.25">
      <c r="B73" s="388"/>
      <c r="C73" s="388"/>
      <c r="D73" s="388"/>
      <c r="E73" s="388"/>
      <c r="F73" s="388"/>
      <c r="G73" s="191"/>
    </row>
    <row r="74" spans="1:28" ht="51.75" customHeight="1" x14ac:dyDescent="0.25">
      <c r="B74" s="388"/>
      <c r="C74" s="388"/>
      <c r="D74" s="388"/>
      <c r="E74" s="388"/>
      <c r="F74" s="388"/>
      <c r="G74" s="191"/>
    </row>
    <row r="75" spans="1:28" ht="21.75" customHeight="1" x14ac:dyDescent="0.25">
      <c r="B75" s="386"/>
      <c r="C75" s="386"/>
      <c r="D75" s="386"/>
      <c r="E75" s="386"/>
      <c r="F75" s="386"/>
      <c r="G75" s="192"/>
    </row>
    <row r="76" spans="1:28" ht="23.25" customHeight="1" x14ac:dyDescent="0.25"/>
    <row r="77" spans="1:28" ht="18.75" customHeight="1" x14ac:dyDescent="0.25">
      <c r="B77" s="387"/>
      <c r="C77" s="387"/>
      <c r="D77" s="387"/>
      <c r="E77" s="387"/>
      <c r="F77" s="387"/>
      <c r="G77" s="190"/>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36" customWidth="1"/>
    <col min="2" max="2" width="23.140625" style="122" customWidth="1"/>
    <col min="3" max="3" width="13.85546875" style="122" customWidth="1"/>
    <col min="4" max="4" width="15.140625" style="122" customWidth="1"/>
    <col min="5" max="12" width="7.7109375" style="122" customWidth="1"/>
    <col min="13" max="13" width="18" style="122" customWidth="1"/>
    <col min="14" max="14" width="53.28515625" style="122" customWidth="1"/>
    <col min="15" max="15" width="24.5703125" style="122" customWidth="1"/>
    <col min="16" max="16" width="23.140625" style="122" customWidth="1"/>
    <col min="17" max="17" width="21.85546875" style="122" customWidth="1"/>
    <col min="18" max="18" width="20.140625" style="122" customWidth="1"/>
    <col min="19" max="19" width="14.28515625" style="122" customWidth="1"/>
    <col min="20" max="20" width="12.42578125" style="122" customWidth="1"/>
    <col min="21" max="21" width="11.42578125" style="122" customWidth="1"/>
    <col min="22" max="22" width="12.7109375" style="122" customWidth="1"/>
    <col min="23" max="23" width="27.85546875" style="122" customWidth="1"/>
    <col min="24" max="24" width="21.28515625" style="122" customWidth="1"/>
    <col min="25" max="25" width="21.140625" style="122" customWidth="1"/>
    <col min="26" max="26" width="7.7109375" style="122" customWidth="1"/>
    <col min="27" max="27" width="23.28515625" style="122" customWidth="1"/>
    <col min="28" max="28" width="21.28515625" style="122" customWidth="1"/>
    <col min="29" max="29" width="28.5703125" style="122" customWidth="1"/>
    <col min="30" max="30" width="17.42578125" style="122" customWidth="1"/>
    <col min="31" max="31" width="25.7109375" style="122" customWidth="1"/>
    <col min="32" max="32" width="17.42578125" style="122" customWidth="1"/>
    <col min="33" max="33" width="17.28515625" style="122" customWidth="1"/>
    <col min="34" max="34" width="14.7109375" style="122" customWidth="1"/>
    <col min="35" max="35" width="15.42578125" style="122" customWidth="1"/>
    <col min="36" max="36" width="20" style="122" customWidth="1"/>
    <col min="37" max="37" width="19.85546875" style="122" customWidth="1"/>
    <col min="38" max="38" width="26.7109375" style="122" customWidth="1"/>
    <col min="39" max="39" width="20.140625" style="122" customWidth="1"/>
    <col min="40" max="40" width="16.140625" style="122" customWidth="1"/>
    <col min="41" max="41" width="16.5703125" style="122" customWidth="1"/>
    <col min="42" max="42" width="16.28515625" style="122" customWidth="1"/>
    <col min="43" max="43" width="17.140625" style="122" customWidth="1"/>
    <col min="44" max="44" width="18" style="122" customWidth="1"/>
    <col min="45" max="45" width="16.140625" style="122" customWidth="1"/>
    <col min="46" max="46" width="18" style="122" customWidth="1"/>
    <col min="47" max="47" width="16.28515625" style="122" customWidth="1"/>
    <col min="48" max="48" width="19.7109375" style="122" customWidth="1"/>
    <col min="49" max="16384" width="9.140625" style="122"/>
  </cols>
  <sheetData>
    <row r="1" spans="1:48" ht="18.75" x14ac:dyDescent="0.25">
      <c r="AV1" s="20" t="s">
        <v>66</v>
      </c>
    </row>
    <row r="2" spans="1:48" ht="18.75" x14ac:dyDescent="0.3">
      <c r="AV2" s="11" t="s">
        <v>8</v>
      </c>
    </row>
    <row r="3" spans="1:48" ht="18.75" x14ac:dyDescent="0.3">
      <c r="AV3" s="11" t="s">
        <v>65</v>
      </c>
    </row>
    <row r="4" spans="1:48" ht="18.75" x14ac:dyDescent="0.3">
      <c r="AV4" s="11"/>
    </row>
    <row r="5" spans="1:48" ht="18.75" customHeight="1" x14ac:dyDescent="0.25">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1"/>
    </row>
    <row r="7" spans="1:48" ht="18.75" x14ac:dyDescent="0.25">
      <c r="A7" s="319" t="s">
        <v>7</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17" t="str">
        <f>'1. паспорт местоположение'!A9:C9</f>
        <v xml:space="preserve">Акционерное общество "Западная энергетическая компания" </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23" t="s">
        <v>6</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17" t="str">
        <f>'1. паспорт местоположение'!A12:C12</f>
        <v>M 22-28</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7"/>
      <c r="AJ12" s="317"/>
      <c r="AK12" s="317"/>
      <c r="AL12" s="317"/>
      <c r="AM12" s="317"/>
      <c r="AN12" s="317"/>
      <c r="AO12" s="317"/>
      <c r="AP12" s="317"/>
      <c r="AQ12" s="317"/>
      <c r="AR12" s="317"/>
      <c r="AS12" s="317"/>
      <c r="AT12" s="317"/>
      <c r="AU12" s="317"/>
      <c r="AV12" s="317"/>
    </row>
    <row r="13" spans="1:48" ht="15.75" x14ac:dyDescent="0.25">
      <c r="A13" s="323" t="s">
        <v>5</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15.75" x14ac:dyDescent="0.25">
      <c r="A15" s="317" t="str">
        <f>'1. паспорт местоположение'!A15:C15</f>
        <v>Приобретение ВЛ-15кВ № 15-298 г. Светлый</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23" t="s">
        <v>4</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x14ac:dyDescent="0.25">
      <c r="A21" s="417" t="s">
        <v>406</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ht="58.5" customHeight="1" x14ac:dyDescent="0.25">
      <c r="A22" s="418" t="s">
        <v>50</v>
      </c>
      <c r="B22" s="422" t="s">
        <v>22</v>
      </c>
      <c r="C22" s="410" t="s">
        <v>49</v>
      </c>
      <c r="D22" s="410" t="s">
        <v>48</v>
      </c>
      <c r="E22" s="425" t="s">
        <v>416</v>
      </c>
      <c r="F22" s="426"/>
      <c r="G22" s="426"/>
      <c r="H22" s="426"/>
      <c r="I22" s="426"/>
      <c r="J22" s="426"/>
      <c r="K22" s="426"/>
      <c r="L22" s="427"/>
      <c r="M22" s="410" t="s">
        <v>47</v>
      </c>
      <c r="N22" s="410" t="s">
        <v>46</v>
      </c>
      <c r="O22" s="410" t="s">
        <v>45</v>
      </c>
      <c r="P22" s="405" t="s">
        <v>228</v>
      </c>
      <c r="Q22" s="405" t="s">
        <v>44</v>
      </c>
      <c r="R22" s="405" t="s">
        <v>43</v>
      </c>
      <c r="S22" s="405" t="s">
        <v>42</v>
      </c>
      <c r="T22" s="405"/>
      <c r="U22" s="412" t="s">
        <v>41</v>
      </c>
      <c r="V22" s="412" t="s">
        <v>40</v>
      </c>
      <c r="W22" s="405" t="s">
        <v>39</v>
      </c>
      <c r="X22" s="405" t="s">
        <v>38</v>
      </c>
      <c r="Y22" s="405" t="s">
        <v>37</v>
      </c>
      <c r="Z22" s="412" t="s">
        <v>36</v>
      </c>
      <c r="AA22" s="405" t="s">
        <v>35</v>
      </c>
      <c r="AB22" s="405" t="s">
        <v>34</v>
      </c>
      <c r="AC22" s="405" t="s">
        <v>33</v>
      </c>
      <c r="AD22" s="405" t="s">
        <v>32</v>
      </c>
      <c r="AE22" s="405" t="s">
        <v>31</v>
      </c>
      <c r="AF22" s="405" t="s">
        <v>30</v>
      </c>
      <c r="AG22" s="405"/>
      <c r="AH22" s="405"/>
      <c r="AI22" s="405"/>
      <c r="AJ22" s="405"/>
      <c r="AK22" s="405"/>
      <c r="AL22" s="405" t="s">
        <v>29</v>
      </c>
      <c r="AM22" s="405"/>
      <c r="AN22" s="405"/>
      <c r="AO22" s="405"/>
      <c r="AP22" s="405" t="s">
        <v>28</v>
      </c>
      <c r="AQ22" s="405"/>
      <c r="AR22" s="405" t="s">
        <v>27</v>
      </c>
      <c r="AS22" s="405" t="s">
        <v>26</v>
      </c>
      <c r="AT22" s="405" t="s">
        <v>25</v>
      </c>
      <c r="AU22" s="405" t="s">
        <v>24</v>
      </c>
      <c r="AV22" s="405" t="s">
        <v>23</v>
      </c>
    </row>
    <row r="23" spans="1:48" ht="64.5" customHeight="1" x14ac:dyDescent="0.25">
      <c r="A23" s="419"/>
      <c r="B23" s="423"/>
      <c r="C23" s="421"/>
      <c r="D23" s="421"/>
      <c r="E23" s="413" t="s">
        <v>21</v>
      </c>
      <c r="F23" s="406" t="s">
        <v>126</v>
      </c>
      <c r="G23" s="406" t="s">
        <v>125</v>
      </c>
      <c r="H23" s="406" t="s">
        <v>124</v>
      </c>
      <c r="I23" s="408" t="s">
        <v>353</v>
      </c>
      <c r="J23" s="408" t="s">
        <v>354</v>
      </c>
      <c r="K23" s="408" t="s">
        <v>355</v>
      </c>
      <c r="L23" s="406" t="s">
        <v>74</v>
      </c>
      <c r="M23" s="421"/>
      <c r="N23" s="421"/>
      <c r="O23" s="421"/>
      <c r="P23" s="405"/>
      <c r="Q23" s="405"/>
      <c r="R23" s="405"/>
      <c r="S23" s="415" t="s">
        <v>2</v>
      </c>
      <c r="T23" s="415" t="s">
        <v>9</v>
      </c>
      <c r="U23" s="412"/>
      <c r="V23" s="412"/>
      <c r="W23" s="405"/>
      <c r="X23" s="405"/>
      <c r="Y23" s="405"/>
      <c r="Z23" s="405"/>
      <c r="AA23" s="405"/>
      <c r="AB23" s="405"/>
      <c r="AC23" s="405"/>
      <c r="AD23" s="405"/>
      <c r="AE23" s="405"/>
      <c r="AF23" s="405" t="s">
        <v>20</v>
      </c>
      <c r="AG23" s="405"/>
      <c r="AH23" s="405" t="s">
        <v>19</v>
      </c>
      <c r="AI23" s="405"/>
      <c r="AJ23" s="410" t="s">
        <v>18</v>
      </c>
      <c r="AK23" s="410" t="s">
        <v>17</v>
      </c>
      <c r="AL23" s="410" t="s">
        <v>16</v>
      </c>
      <c r="AM23" s="410" t="s">
        <v>15</v>
      </c>
      <c r="AN23" s="410" t="s">
        <v>14</v>
      </c>
      <c r="AO23" s="410" t="s">
        <v>13</v>
      </c>
      <c r="AP23" s="410" t="s">
        <v>12</v>
      </c>
      <c r="AQ23" s="410" t="s">
        <v>9</v>
      </c>
      <c r="AR23" s="405"/>
      <c r="AS23" s="405"/>
      <c r="AT23" s="405"/>
      <c r="AU23" s="405"/>
      <c r="AV23" s="405"/>
    </row>
    <row r="24" spans="1:48" ht="96.75" customHeight="1" x14ac:dyDescent="0.25">
      <c r="A24" s="420"/>
      <c r="B24" s="424"/>
      <c r="C24" s="411"/>
      <c r="D24" s="411"/>
      <c r="E24" s="414"/>
      <c r="F24" s="407"/>
      <c r="G24" s="407"/>
      <c r="H24" s="407"/>
      <c r="I24" s="409"/>
      <c r="J24" s="409"/>
      <c r="K24" s="409"/>
      <c r="L24" s="407"/>
      <c r="M24" s="411"/>
      <c r="N24" s="411"/>
      <c r="O24" s="411"/>
      <c r="P24" s="405"/>
      <c r="Q24" s="405"/>
      <c r="R24" s="405"/>
      <c r="S24" s="416"/>
      <c r="T24" s="416"/>
      <c r="U24" s="412"/>
      <c r="V24" s="412"/>
      <c r="W24" s="405"/>
      <c r="X24" s="405"/>
      <c r="Y24" s="405"/>
      <c r="Z24" s="405"/>
      <c r="AA24" s="405"/>
      <c r="AB24" s="405"/>
      <c r="AC24" s="405"/>
      <c r="AD24" s="405"/>
      <c r="AE24" s="405"/>
      <c r="AF24" s="137" t="s">
        <v>11</v>
      </c>
      <c r="AG24" s="137" t="s">
        <v>10</v>
      </c>
      <c r="AH24" s="138" t="s">
        <v>2</v>
      </c>
      <c r="AI24" s="138" t="s">
        <v>9</v>
      </c>
      <c r="AJ24" s="411"/>
      <c r="AK24" s="411"/>
      <c r="AL24" s="411"/>
      <c r="AM24" s="411"/>
      <c r="AN24" s="411"/>
      <c r="AO24" s="411"/>
      <c r="AP24" s="411"/>
      <c r="AQ24" s="411"/>
      <c r="AR24" s="405"/>
      <c r="AS24" s="405"/>
      <c r="AT24" s="405"/>
      <c r="AU24" s="405"/>
      <c r="AV24" s="405"/>
    </row>
    <row r="25" spans="1:48" s="141" customFormat="1" ht="11.25" x14ac:dyDescent="0.2">
      <c r="A25" s="139">
        <v>1</v>
      </c>
      <c r="B25" s="140">
        <v>2</v>
      </c>
      <c r="C25" s="140">
        <v>4</v>
      </c>
      <c r="D25" s="140">
        <v>5</v>
      </c>
      <c r="E25" s="140">
        <v>6</v>
      </c>
      <c r="F25" s="140">
        <f>E25+1</f>
        <v>7</v>
      </c>
      <c r="G25" s="140">
        <f t="shared" ref="G25:H25" si="0">F25+1</f>
        <v>8</v>
      </c>
      <c r="H25" s="140">
        <f t="shared" si="0"/>
        <v>9</v>
      </c>
      <c r="I25" s="140">
        <f t="shared" ref="I25" si="1">H25+1</f>
        <v>10</v>
      </c>
      <c r="J25" s="140">
        <f t="shared" ref="J25" si="2">I25+1</f>
        <v>11</v>
      </c>
      <c r="K25" s="140">
        <f t="shared" ref="K25" si="3">J25+1</f>
        <v>12</v>
      </c>
      <c r="L25" s="140">
        <f t="shared" ref="L25" si="4">K25+1</f>
        <v>13</v>
      </c>
      <c r="M25" s="140">
        <f t="shared" ref="M25" si="5">L25+1</f>
        <v>14</v>
      </c>
      <c r="N25" s="140">
        <f t="shared" ref="N25" si="6">M25+1</f>
        <v>15</v>
      </c>
      <c r="O25" s="140">
        <f t="shared" ref="O25" si="7">N25+1</f>
        <v>16</v>
      </c>
      <c r="P25" s="140">
        <f t="shared" ref="P25" si="8">O25+1</f>
        <v>17</v>
      </c>
      <c r="Q25" s="140">
        <f t="shared" ref="Q25" si="9">P25+1</f>
        <v>18</v>
      </c>
      <c r="R25" s="140">
        <f t="shared" ref="R25" si="10">Q25+1</f>
        <v>19</v>
      </c>
      <c r="S25" s="140">
        <f t="shared" ref="S25" si="11">R25+1</f>
        <v>20</v>
      </c>
      <c r="T25" s="140">
        <f t="shared" ref="T25" si="12">S25+1</f>
        <v>21</v>
      </c>
      <c r="U25" s="140">
        <f t="shared" ref="U25" si="13">T25+1</f>
        <v>22</v>
      </c>
      <c r="V25" s="140">
        <f t="shared" ref="V25" si="14">U25+1</f>
        <v>23</v>
      </c>
      <c r="W25" s="140">
        <f t="shared" ref="W25" si="15">V25+1</f>
        <v>24</v>
      </c>
      <c r="X25" s="140">
        <f t="shared" ref="X25" si="16">W25+1</f>
        <v>25</v>
      </c>
      <c r="Y25" s="140">
        <f t="shared" ref="Y25" si="17">X25+1</f>
        <v>26</v>
      </c>
      <c r="Z25" s="140">
        <f t="shared" ref="Z25" si="18">Y25+1</f>
        <v>27</v>
      </c>
      <c r="AA25" s="140">
        <f t="shared" ref="AA25" si="19">Z25+1</f>
        <v>28</v>
      </c>
      <c r="AB25" s="140">
        <f t="shared" ref="AB25" si="20">AA25+1</f>
        <v>29</v>
      </c>
      <c r="AC25" s="140">
        <f t="shared" ref="AC25" si="21">AB25+1</f>
        <v>30</v>
      </c>
      <c r="AD25" s="140">
        <f t="shared" ref="AD25" si="22">AC25+1</f>
        <v>31</v>
      </c>
      <c r="AE25" s="140">
        <f t="shared" ref="AE25" si="23">AD25+1</f>
        <v>32</v>
      </c>
      <c r="AF25" s="140">
        <f t="shared" ref="AF25" si="24">AE25+1</f>
        <v>33</v>
      </c>
      <c r="AG25" s="140">
        <f t="shared" ref="AG25" si="25">AF25+1</f>
        <v>34</v>
      </c>
      <c r="AH25" s="140">
        <f t="shared" ref="AH25" si="26">AG25+1</f>
        <v>35</v>
      </c>
      <c r="AI25" s="140">
        <f t="shared" ref="AI25" si="27">AH25+1</f>
        <v>36</v>
      </c>
      <c r="AJ25" s="140">
        <f t="shared" ref="AJ25" si="28">AI25+1</f>
        <v>37</v>
      </c>
      <c r="AK25" s="140">
        <f t="shared" ref="AK25" si="29">AJ25+1</f>
        <v>38</v>
      </c>
      <c r="AL25" s="140">
        <f t="shared" ref="AL25" si="30">AK25+1</f>
        <v>39</v>
      </c>
      <c r="AM25" s="140">
        <f t="shared" ref="AM25" si="31">AL25+1</f>
        <v>40</v>
      </c>
      <c r="AN25" s="140">
        <f t="shared" ref="AN25" si="32">AM25+1</f>
        <v>41</v>
      </c>
      <c r="AO25" s="140">
        <f t="shared" ref="AO25" si="33">AN25+1</f>
        <v>42</v>
      </c>
      <c r="AP25" s="140">
        <f t="shared" ref="AP25" si="34">AO25+1</f>
        <v>43</v>
      </c>
      <c r="AQ25" s="140">
        <f t="shared" ref="AQ25" si="35">AP25+1</f>
        <v>44</v>
      </c>
      <c r="AR25" s="140">
        <f t="shared" ref="AR25" si="36">AQ25+1</f>
        <v>45</v>
      </c>
      <c r="AS25" s="140">
        <f t="shared" ref="AS25" si="37">AR25+1</f>
        <v>46</v>
      </c>
      <c r="AT25" s="140">
        <f t="shared" ref="AT25" si="38">AS25+1</f>
        <v>47</v>
      </c>
      <c r="AU25" s="140">
        <f t="shared" ref="AU25" si="39">AT25+1</f>
        <v>48</v>
      </c>
      <c r="AV25" s="140">
        <f t="shared" ref="AV25" si="40">AU25+1</f>
        <v>49</v>
      </c>
    </row>
    <row r="26" spans="1:48" s="147" customFormat="1" ht="189" x14ac:dyDescent="0.25">
      <c r="A26" s="142">
        <v>1</v>
      </c>
      <c r="B26" s="143" t="str">
        <f>A9</f>
        <v xml:space="preserve">Акционерное общество "Западная энергетическая компания" </v>
      </c>
      <c r="C26" s="143" t="s">
        <v>62</v>
      </c>
      <c r="D26" s="157" t="str">
        <f>'6.1. Паспорт сетевой график'!D53</f>
        <v>нд</v>
      </c>
      <c r="E26" s="143"/>
      <c r="F26" s="143"/>
      <c r="G26" s="143" t="e">
        <f>'3.1. паспорт Техсостояние ПС'!#REF!</f>
        <v>#REF!</v>
      </c>
      <c r="H26" s="143"/>
      <c r="I26" s="143"/>
      <c r="J26" s="143">
        <v>5.6660000000000004</v>
      </c>
      <c r="K26" s="143">
        <v>1.85</v>
      </c>
      <c r="L26" s="143"/>
      <c r="M26" s="143" t="s">
        <v>564</v>
      </c>
      <c r="N26" s="143" t="s">
        <v>565</v>
      </c>
      <c r="O26" s="144" t="str">
        <f>B26</f>
        <v xml:space="preserve">Акционерное общество "Западная энергетическая компания" </v>
      </c>
      <c r="P26" s="144"/>
      <c r="Q26" s="143"/>
      <c r="R26" s="144"/>
      <c r="S26" s="144"/>
      <c r="T26" s="144"/>
      <c r="U26" s="144"/>
      <c r="V26" s="144"/>
      <c r="W26" s="144"/>
      <c r="X26" s="144"/>
      <c r="Y26" s="144"/>
      <c r="Z26" s="144"/>
      <c r="AA26" s="144"/>
      <c r="AB26" s="144"/>
      <c r="AC26" s="144"/>
      <c r="AD26" s="143"/>
      <c r="AE26" s="143"/>
      <c r="AF26" s="145"/>
      <c r="AG26" s="145"/>
      <c r="AH26" s="146"/>
      <c r="AI26" s="146"/>
      <c r="AJ26" s="146"/>
      <c r="AK26" s="146"/>
      <c r="AL26" s="143"/>
      <c r="AM26" s="143"/>
      <c r="AN26" s="143"/>
      <c r="AO26" s="143"/>
      <c r="AP26" s="176"/>
      <c r="AQ26" s="176"/>
      <c r="AR26" s="176"/>
      <c r="AS26" s="176"/>
      <c r="AT26" s="176"/>
      <c r="AU26" s="143"/>
      <c r="AV26" s="14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31" sqref="B31"/>
    </sheetView>
  </sheetViews>
  <sheetFormatPr defaultRowHeight="15.75" x14ac:dyDescent="0.25"/>
  <cols>
    <col min="1" max="2" width="66.140625" style="55" customWidth="1"/>
    <col min="3" max="3" width="8.85546875" style="31" hidden="1" customWidth="1"/>
    <col min="4" max="4" width="0" style="31" hidden="1" customWidth="1"/>
    <col min="5" max="256" width="8.85546875" style="31"/>
    <col min="257" max="258" width="66.140625" style="31" customWidth="1"/>
    <col min="259" max="512" width="8.85546875" style="31"/>
    <col min="513" max="514" width="66.140625" style="31" customWidth="1"/>
    <col min="515" max="768" width="8.85546875" style="31"/>
    <col min="769" max="770" width="66.140625" style="31" customWidth="1"/>
    <col min="771" max="1024" width="8.85546875" style="31"/>
    <col min="1025" max="1026" width="66.140625" style="31" customWidth="1"/>
    <col min="1027" max="1280" width="8.85546875" style="31"/>
    <col min="1281" max="1282" width="66.140625" style="31" customWidth="1"/>
    <col min="1283" max="1536" width="8.85546875" style="31"/>
    <col min="1537" max="1538" width="66.140625" style="31" customWidth="1"/>
    <col min="1539" max="1792" width="8.85546875" style="31"/>
    <col min="1793" max="1794" width="66.140625" style="31" customWidth="1"/>
    <col min="1795" max="2048" width="8.85546875" style="31"/>
    <col min="2049" max="2050" width="66.140625" style="31" customWidth="1"/>
    <col min="2051" max="2304" width="8.85546875" style="31"/>
    <col min="2305" max="2306" width="66.140625" style="31" customWidth="1"/>
    <col min="2307" max="2560" width="8.85546875" style="31"/>
    <col min="2561" max="2562" width="66.140625" style="31" customWidth="1"/>
    <col min="2563" max="2816" width="8.85546875" style="31"/>
    <col min="2817" max="2818" width="66.140625" style="31" customWidth="1"/>
    <col min="2819" max="3072" width="8.85546875" style="31"/>
    <col min="3073" max="3074" width="66.140625" style="31" customWidth="1"/>
    <col min="3075" max="3328" width="8.85546875" style="31"/>
    <col min="3329" max="3330" width="66.140625" style="31" customWidth="1"/>
    <col min="3331" max="3584" width="8.85546875" style="31"/>
    <col min="3585" max="3586" width="66.140625" style="31" customWidth="1"/>
    <col min="3587" max="3840" width="8.85546875" style="31"/>
    <col min="3841" max="3842" width="66.140625" style="31" customWidth="1"/>
    <col min="3843" max="4096" width="8.85546875" style="31"/>
    <col min="4097" max="4098" width="66.140625" style="31" customWidth="1"/>
    <col min="4099" max="4352" width="8.85546875" style="31"/>
    <col min="4353" max="4354" width="66.140625" style="31" customWidth="1"/>
    <col min="4355" max="4608" width="8.85546875" style="31"/>
    <col min="4609" max="4610" width="66.140625" style="31" customWidth="1"/>
    <col min="4611" max="4864" width="8.85546875" style="31"/>
    <col min="4865" max="4866" width="66.140625" style="31" customWidth="1"/>
    <col min="4867" max="5120" width="8.85546875" style="31"/>
    <col min="5121" max="5122" width="66.140625" style="31" customWidth="1"/>
    <col min="5123" max="5376" width="8.85546875" style="31"/>
    <col min="5377" max="5378" width="66.140625" style="31" customWidth="1"/>
    <col min="5379" max="5632" width="8.85546875" style="31"/>
    <col min="5633" max="5634" width="66.140625" style="31" customWidth="1"/>
    <col min="5635" max="5888" width="8.85546875" style="31"/>
    <col min="5889" max="5890" width="66.140625" style="31" customWidth="1"/>
    <col min="5891" max="6144" width="8.85546875" style="31"/>
    <col min="6145" max="6146" width="66.140625" style="31" customWidth="1"/>
    <col min="6147" max="6400" width="8.85546875" style="31"/>
    <col min="6401" max="6402" width="66.140625" style="31" customWidth="1"/>
    <col min="6403" max="6656" width="8.85546875" style="31"/>
    <col min="6657" max="6658" width="66.140625" style="31" customWidth="1"/>
    <col min="6659" max="6912" width="8.85546875" style="31"/>
    <col min="6913" max="6914" width="66.140625" style="31" customWidth="1"/>
    <col min="6915" max="7168" width="8.85546875" style="31"/>
    <col min="7169" max="7170" width="66.140625" style="31" customWidth="1"/>
    <col min="7171" max="7424" width="8.85546875" style="31"/>
    <col min="7425" max="7426" width="66.140625" style="31" customWidth="1"/>
    <col min="7427" max="7680" width="8.85546875" style="31"/>
    <col min="7681" max="7682" width="66.140625" style="31" customWidth="1"/>
    <col min="7683" max="7936" width="8.85546875" style="31"/>
    <col min="7937" max="7938" width="66.140625" style="31" customWidth="1"/>
    <col min="7939" max="8192" width="8.85546875" style="31"/>
    <col min="8193" max="8194" width="66.140625" style="31" customWidth="1"/>
    <col min="8195" max="8448" width="8.85546875" style="31"/>
    <col min="8449" max="8450" width="66.140625" style="31" customWidth="1"/>
    <col min="8451" max="8704" width="8.85546875" style="31"/>
    <col min="8705" max="8706" width="66.140625" style="31" customWidth="1"/>
    <col min="8707" max="8960" width="8.85546875" style="31"/>
    <col min="8961" max="8962" width="66.140625" style="31" customWidth="1"/>
    <col min="8963" max="9216" width="8.85546875" style="31"/>
    <col min="9217" max="9218" width="66.140625" style="31" customWidth="1"/>
    <col min="9219" max="9472" width="8.85546875" style="31"/>
    <col min="9473" max="9474" width="66.140625" style="31" customWidth="1"/>
    <col min="9475" max="9728" width="8.85546875" style="31"/>
    <col min="9729" max="9730" width="66.140625" style="31" customWidth="1"/>
    <col min="9731" max="9984" width="8.85546875" style="31"/>
    <col min="9985" max="9986" width="66.140625" style="31" customWidth="1"/>
    <col min="9987" max="10240" width="8.85546875" style="31"/>
    <col min="10241" max="10242" width="66.140625" style="31" customWidth="1"/>
    <col min="10243" max="10496" width="8.85546875" style="31"/>
    <col min="10497" max="10498" width="66.140625" style="31" customWidth="1"/>
    <col min="10499" max="10752" width="8.85546875" style="31"/>
    <col min="10753" max="10754" width="66.140625" style="31" customWidth="1"/>
    <col min="10755" max="11008" width="8.85546875" style="31"/>
    <col min="11009" max="11010" width="66.140625" style="31" customWidth="1"/>
    <col min="11011" max="11264" width="8.85546875" style="31"/>
    <col min="11265" max="11266" width="66.140625" style="31" customWidth="1"/>
    <col min="11267" max="11520" width="8.85546875" style="31"/>
    <col min="11521" max="11522" width="66.140625" style="31" customWidth="1"/>
    <col min="11523" max="11776" width="8.85546875" style="31"/>
    <col min="11777" max="11778" width="66.140625" style="31" customWidth="1"/>
    <col min="11779" max="12032" width="8.85546875" style="31"/>
    <col min="12033" max="12034" width="66.140625" style="31" customWidth="1"/>
    <col min="12035" max="12288" width="8.85546875" style="31"/>
    <col min="12289" max="12290" width="66.140625" style="31" customWidth="1"/>
    <col min="12291" max="12544" width="8.85546875" style="31"/>
    <col min="12545" max="12546" width="66.140625" style="31" customWidth="1"/>
    <col min="12547" max="12800" width="8.85546875" style="31"/>
    <col min="12801" max="12802" width="66.140625" style="31" customWidth="1"/>
    <col min="12803" max="13056" width="8.85546875" style="31"/>
    <col min="13057" max="13058" width="66.140625" style="31" customWidth="1"/>
    <col min="13059" max="13312" width="8.85546875" style="31"/>
    <col min="13313" max="13314" width="66.140625" style="31" customWidth="1"/>
    <col min="13315" max="13568" width="8.85546875" style="31"/>
    <col min="13569" max="13570" width="66.140625" style="31" customWidth="1"/>
    <col min="13571" max="13824" width="8.85546875" style="31"/>
    <col min="13825" max="13826" width="66.140625" style="31" customWidth="1"/>
    <col min="13827" max="14080" width="8.85546875" style="31"/>
    <col min="14081" max="14082" width="66.140625" style="31" customWidth="1"/>
    <col min="14083" max="14336" width="8.85546875" style="31"/>
    <col min="14337" max="14338" width="66.140625" style="31" customWidth="1"/>
    <col min="14339" max="14592" width="8.85546875" style="31"/>
    <col min="14593" max="14594" width="66.140625" style="31" customWidth="1"/>
    <col min="14595" max="14848" width="8.85546875" style="31"/>
    <col min="14849" max="14850" width="66.140625" style="31" customWidth="1"/>
    <col min="14851" max="15104" width="8.85546875" style="31"/>
    <col min="15105" max="15106" width="66.140625" style="31" customWidth="1"/>
    <col min="15107" max="15360" width="8.85546875" style="31"/>
    <col min="15361" max="15362" width="66.140625" style="31" customWidth="1"/>
    <col min="15363" max="15616" width="8.85546875" style="31"/>
    <col min="15617" max="15618" width="66.140625" style="31" customWidth="1"/>
    <col min="15619" max="15872" width="8.85546875" style="31"/>
    <col min="15873" max="15874" width="66.140625" style="31" customWidth="1"/>
    <col min="15875" max="16128" width="8.85546875" style="31"/>
    <col min="16129" max="16130" width="66.140625" style="31" customWidth="1"/>
    <col min="16131" max="16384" width="8.85546875" style="31"/>
  </cols>
  <sheetData>
    <row r="1" spans="1:8" ht="18.75" x14ac:dyDescent="0.25">
      <c r="B1" s="20" t="s">
        <v>66</v>
      </c>
    </row>
    <row r="2" spans="1:8" ht="18.75" x14ac:dyDescent="0.3">
      <c r="B2" s="11" t="s">
        <v>8</v>
      </c>
    </row>
    <row r="3" spans="1:8" ht="18.75" x14ac:dyDescent="0.3">
      <c r="B3" s="11" t="s">
        <v>422</v>
      </c>
    </row>
    <row r="4" spans="1:8" x14ac:dyDescent="0.25">
      <c r="B4" s="23"/>
    </row>
    <row r="5" spans="1:8" ht="18.75" x14ac:dyDescent="0.3">
      <c r="A5" s="433" t="str">
        <f>'1. паспорт местоположение'!A5:C5</f>
        <v>Год раскрытия информации: 2023 год</v>
      </c>
      <c r="B5" s="433"/>
      <c r="C5" s="51"/>
      <c r="D5" s="51"/>
      <c r="E5" s="51"/>
      <c r="F5" s="51"/>
      <c r="G5" s="51"/>
      <c r="H5" s="51"/>
    </row>
    <row r="6" spans="1:8" ht="18.75" x14ac:dyDescent="0.3">
      <c r="A6" s="82"/>
      <c r="B6" s="82"/>
      <c r="C6" s="82"/>
      <c r="D6" s="82"/>
      <c r="E6" s="82"/>
      <c r="F6" s="82"/>
      <c r="G6" s="82"/>
      <c r="H6" s="82"/>
    </row>
    <row r="7" spans="1:8" ht="18.75" x14ac:dyDescent="0.25">
      <c r="A7" s="319" t="s">
        <v>7</v>
      </c>
      <c r="B7" s="319"/>
      <c r="C7" s="104"/>
      <c r="D7" s="104"/>
      <c r="E7" s="104"/>
      <c r="F7" s="104"/>
      <c r="G7" s="104"/>
      <c r="H7" s="104"/>
    </row>
    <row r="8" spans="1:8" ht="18.75" x14ac:dyDescent="0.25">
      <c r="A8" s="104"/>
      <c r="B8" s="104"/>
      <c r="C8" s="104"/>
      <c r="D8" s="104"/>
      <c r="E8" s="104"/>
      <c r="F8" s="104"/>
      <c r="G8" s="104"/>
      <c r="H8" s="104"/>
    </row>
    <row r="9" spans="1:8" x14ac:dyDescent="0.25">
      <c r="A9" s="317" t="str">
        <f>'1. паспорт местоположение'!A9:C9</f>
        <v xml:space="preserve">Акционерное общество "Западная энергетическая компания" </v>
      </c>
      <c r="B9" s="317"/>
      <c r="C9" s="106"/>
      <c r="D9" s="106"/>
      <c r="E9" s="106"/>
      <c r="F9" s="106"/>
      <c r="G9" s="106"/>
      <c r="H9" s="106"/>
    </row>
    <row r="10" spans="1:8" x14ac:dyDescent="0.25">
      <c r="A10" s="323" t="s">
        <v>6</v>
      </c>
      <c r="B10" s="323"/>
      <c r="C10" s="107"/>
      <c r="D10" s="107"/>
      <c r="E10" s="107"/>
      <c r="F10" s="107"/>
      <c r="G10" s="107"/>
      <c r="H10" s="107"/>
    </row>
    <row r="11" spans="1:8" ht="18.75" x14ac:dyDescent="0.25">
      <c r="A11" s="104"/>
      <c r="B11" s="104"/>
      <c r="C11" s="104"/>
      <c r="D11" s="104"/>
      <c r="E11" s="104"/>
      <c r="F11" s="104"/>
      <c r="G11" s="104"/>
      <c r="H11" s="104"/>
    </row>
    <row r="12" spans="1:8" ht="30.75" customHeight="1" x14ac:dyDescent="0.25">
      <c r="A12" s="317" t="str">
        <f>'1. паспорт местоположение'!A12:C12</f>
        <v>M 22-28</v>
      </c>
      <c r="B12" s="317"/>
      <c r="C12" s="106"/>
      <c r="D12" s="106"/>
      <c r="E12" s="106"/>
      <c r="F12" s="106"/>
      <c r="G12" s="106"/>
      <c r="H12" s="106"/>
    </row>
    <row r="13" spans="1:8" x14ac:dyDescent="0.25">
      <c r="A13" s="323" t="s">
        <v>5</v>
      </c>
      <c r="B13" s="323"/>
      <c r="C13" s="107"/>
      <c r="D13" s="107"/>
      <c r="E13" s="107"/>
      <c r="F13" s="107"/>
      <c r="G13" s="107"/>
      <c r="H13" s="107"/>
    </row>
    <row r="14" spans="1:8" ht="18.75" x14ac:dyDescent="0.25">
      <c r="A14" s="121"/>
      <c r="B14" s="121"/>
      <c r="C14" s="121"/>
      <c r="D14" s="121"/>
      <c r="E14" s="121"/>
      <c r="F14" s="121"/>
      <c r="G14" s="121"/>
      <c r="H14" s="121"/>
    </row>
    <row r="15" spans="1:8" ht="63.6" customHeight="1" x14ac:dyDescent="0.25">
      <c r="A15" s="343" t="str">
        <f>'1. паспорт местоположение'!A15:C15</f>
        <v>Приобретение ВЛ-15кВ № 15-298 г. Светлый</v>
      </c>
      <c r="B15" s="343"/>
      <c r="C15" s="106"/>
      <c r="D15" s="106"/>
      <c r="E15" s="106"/>
      <c r="F15" s="106"/>
      <c r="G15" s="106"/>
      <c r="H15" s="106"/>
    </row>
    <row r="16" spans="1:8" x14ac:dyDescent="0.25">
      <c r="A16" s="323" t="s">
        <v>4</v>
      </c>
      <c r="B16" s="323"/>
      <c r="C16" s="107"/>
      <c r="D16" s="107"/>
      <c r="E16" s="107"/>
      <c r="F16" s="107"/>
      <c r="G16" s="107"/>
      <c r="H16" s="107"/>
    </row>
    <row r="17" spans="1:2" x14ac:dyDescent="0.25">
      <c r="B17" s="56"/>
    </row>
    <row r="18" spans="1:2" ht="33.75" customHeight="1" x14ac:dyDescent="0.25">
      <c r="A18" s="428" t="s">
        <v>407</v>
      </c>
      <c r="B18" s="429"/>
    </row>
    <row r="19" spans="1:2" x14ac:dyDescent="0.25">
      <c r="B19" s="23"/>
    </row>
    <row r="20" spans="1:2" ht="16.5" thickBot="1" x14ac:dyDescent="0.3">
      <c r="B20" s="57"/>
    </row>
    <row r="21" spans="1:2" ht="65.25" customHeight="1" thickBot="1" x14ac:dyDescent="0.3">
      <c r="A21" s="58" t="s">
        <v>304</v>
      </c>
      <c r="B21" s="98" t="str">
        <f>A15</f>
        <v>Приобретение ВЛ-15кВ № 15-298 г. Светлый</v>
      </c>
    </row>
    <row r="22" spans="1:2" ht="30" customHeight="1" thickBot="1" x14ac:dyDescent="0.3">
      <c r="A22" s="58" t="s">
        <v>305</v>
      </c>
      <c r="B22" s="179" t="str">
        <f>'1. паспорт местоположение'!C27</f>
        <v>Светлый</v>
      </c>
    </row>
    <row r="23" spans="1:2" ht="30.75" thickBot="1" x14ac:dyDescent="0.3">
      <c r="A23" s="58" t="s">
        <v>289</v>
      </c>
      <c r="B23" s="60" t="str">
        <f>'3.3 паспорт описание'!C22</f>
        <v>Увеличение объема услуг по передачи электрической энергии потребителям через сети ТСО.</v>
      </c>
    </row>
    <row r="24" spans="1:2" ht="16.5" thickBot="1" x14ac:dyDescent="0.3">
      <c r="A24" s="58" t="s">
        <v>306</v>
      </c>
      <c r="B24" s="60" t="s">
        <v>585</v>
      </c>
    </row>
    <row r="25" spans="1:2" ht="16.5" thickBot="1" x14ac:dyDescent="0.3">
      <c r="A25" s="61" t="s">
        <v>307</v>
      </c>
      <c r="B25" s="59">
        <f>'3.3 паспорт описание'!C29</f>
        <v>2022</v>
      </c>
    </row>
    <row r="26" spans="1:2" ht="16.5" thickBot="1" x14ac:dyDescent="0.3">
      <c r="A26" s="62" t="s">
        <v>308</v>
      </c>
      <c r="B26" s="96"/>
    </row>
    <row r="27" spans="1:2" ht="29.25" thickBot="1" x14ac:dyDescent="0.3">
      <c r="A27" s="69" t="s">
        <v>566</v>
      </c>
      <c r="B27" s="97" t="str">
        <f>'6.2. Паспорт фин осв ввод'!C24</f>
        <v>нд</v>
      </c>
    </row>
    <row r="28" spans="1:2" ht="42" customHeight="1" thickBot="1" x14ac:dyDescent="0.3">
      <c r="A28" s="64" t="s">
        <v>309</v>
      </c>
      <c r="B28" s="64" t="s">
        <v>589</v>
      </c>
    </row>
    <row r="29" spans="1:2" ht="29.25" thickBot="1" x14ac:dyDescent="0.3">
      <c r="A29" s="70" t="s">
        <v>310</v>
      </c>
      <c r="B29" s="97"/>
    </row>
    <row r="30" spans="1:2" ht="29.25" thickBot="1" x14ac:dyDescent="0.3">
      <c r="A30" s="70" t="s">
        <v>311</v>
      </c>
      <c r="B30" s="97"/>
    </row>
    <row r="31" spans="1:2" ht="16.5" thickBot="1" x14ac:dyDescent="0.3">
      <c r="A31" s="64" t="s">
        <v>312</v>
      </c>
      <c r="B31" s="97"/>
    </row>
    <row r="32" spans="1:2" ht="29.25" thickBot="1" x14ac:dyDescent="0.3">
      <c r="A32" s="70" t="s">
        <v>313</v>
      </c>
      <c r="B32" s="97"/>
    </row>
    <row r="33" spans="1:3" s="148" customFormat="1" ht="16.5" thickBot="1" x14ac:dyDescent="0.3">
      <c r="A33" s="155"/>
      <c r="B33" s="156"/>
      <c r="C33" s="148">
        <v>10</v>
      </c>
    </row>
    <row r="34" spans="1:3" ht="16.5" thickBot="1" x14ac:dyDescent="0.3">
      <c r="A34" s="64" t="s">
        <v>315</v>
      </c>
      <c r="B34" s="89"/>
    </row>
    <row r="35" spans="1:3" ht="16.5" thickBot="1" x14ac:dyDescent="0.3">
      <c r="A35" s="64" t="s">
        <v>316</v>
      </c>
      <c r="B35" s="97"/>
      <c r="C35" s="31">
        <v>1</v>
      </c>
    </row>
    <row r="36" spans="1:3" ht="16.5" thickBot="1" x14ac:dyDescent="0.3">
      <c r="A36" s="64" t="s">
        <v>317</v>
      </c>
      <c r="B36" s="97"/>
      <c r="C36" s="31">
        <v>2</v>
      </c>
    </row>
    <row r="37" spans="1:3" s="148" customFormat="1" ht="16.5" thickBot="1" x14ac:dyDescent="0.3">
      <c r="A37" s="87" t="s">
        <v>314</v>
      </c>
      <c r="B37" s="88"/>
      <c r="C37" s="148">
        <v>10</v>
      </c>
    </row>
    <row r="38" spans="1:3" ht="16.5" thickBot="1" x14ac:dyDescent="0.3">
      <c r="A38" s="64" t="s">
        <v>315</v>
      </c>
      <c r="B38" s="89">
        <v>0</v>
      </c>
    </row>
    <row r="39" spans="1:3" ht="16.5" thickBot="1" x14ac:dyDescent="0.3">
      <c r="A39" s="64" t="s">
        <v>316</v>
      </c>
      <c r="B39" s="86"/>
      <c r="C39" s="31">
        <v>1</v>
      </c>
    </row>
    <row r="40" spans="1:3" ht="16.5" thickBot="1" x14ac:dyDescent="0.3">
      <c r="A40" s="64" t="s">
        <v>317</v>
      </c>
      <c r="B40" s="86"/>
      <c r="C40" s="31">
        <v>2</v>
      </c>
    </row>
    <row r="41" spans="1:3" ht="16.5" thickBot="1" x14ac:dyDescent="0.3">
      <c r="A41" s="87" t="s">
        <v>314</v>
      </c>
      <c r="B41" s="88"/>
      <c r="C41" s="148">
        <v>10</v>
      </c>
    </row>
    <row r="42" spans="1:3" ht="16.5" thickBot="1" x14ac:dyDescent="0.3">
      <c r="A42" s="64" t="s">
        <v>315</v>
      </c>
      <c r="B42" s="89">
        <v>0</v>
      </c>
    </row>
    <row r="43" spans="1:3" ht="16.5" thickBot="1" x14ac:dyDescent="0.3">
      <c r="A43" s="64" t="s">
        <v>316</v>
      </c>
      <c r="B43" s="86"/>
      <c r="C43" s="31">
        <v>1</v>
      </c>
    </row>
    <row r="44" spans="1:3" ht="16.5" thickBot="1" x14ac:dyDescent="0.3">
      <c r="A44" s="64" t="s">
        <v>317</v>
      </c>
      <c r="B44" s="86"/>
      <c r="C44" s="31">
        <v>2</v>
      </c>
    </row>
    <row r="45" spans="1:3" ht="16.5" thickBot="1" x14ac:dyDescent="0.3">
      <c r="A45" s="87" t="s">
        <v>314</v>
      </c>
      <c r="B45" s="88"/>
      <c r="C45" s="148">
        <v>10</v>
      </c>
    </row>
    <row r="46" spans="1:3" ht="16.5" thickBot="1" x14ac:dyDescent="0.3">
      <c r="A46" s="64" t="s">
        <v>315</v>
      </c>
      <c r="B46" s="89">
        <v>0</v>
      </c>
    </row>
    <row r="47" spans="1:3" ht="16.5" thickBot="1" x14ac:dyDescent="0.3">
      <c r="A47" s="64" t="s">
        <v>316</v>
      </c>
      <c r="B47" s="86"/>
      <c r="C47" s="31">
        <v>1</v>
      </c>
    </row>
    <row r="48" spans="1:3" ht="16.5" thickBot="1" x14ac:dyDescent="0.3">
      <c r="A48" s="64" t="s">
        <v>317</v>
      </c>
      <c r="B48" s="86"/>
      <c r="C48" s="31">
        <v>2</v>
      </c>
    </row>
    <row r="49" spans="1:3" ht="16.5" thickBot="1" x14ac:dyDescent="0.3">
      <c r="A49" s="87" t="s">
        <v>314</v>
      </c>
      <c r="B49" s="88"/>
      <c r="C49" s="148">
        <v>10</v>
      </c>
    </row>
    <row r="50" spans="1:3" ht="16.5" thickBot="1" x14ac:dyDescent="0.3">
      <c r="A50" s="64" t="s">
        <v>315</v>
      </c>
      <c r="B50" s="89">
        <v>0</v>
      </c>
    </row>
    <row r="51" spans="1:3" ht="16.5" thickBot="1" x14ac:dyDescent="0.3">
      <c r="A51" s="64" t="s">
        <v>316</v>
      </c>
      <c r="B51" s="86"/>
      <c r="C51" s="31">
        <v>1</v>
      </c>
    </row>
    <row r="52" spans="1:3" ht="16.5" thickBot="1" x14ac:dyDescent="0.3">
      <c r="A52" s="64" t="s">
        <v>317</v>
      </c>
      <c r="B52" s="86"/>
      <c r="C52" s="31">
        <v>2</v>
      </c>
    </row>
    <row r="53" spans="1:3" ht="29.25" thickBot="1" x14ac:dyDescent="0.3">
      <c r="A53" s="70" t="s">
        <v>318</v>
      </c>
      <c r="B53" s="86">
        <f xml:space="preserve"> SUMIF(C54:C110, 20,B54:B110)</f>
        <v>0</v>
      </c>
    </row>
    <row r="54" spans="1:3" s="148" customFormat="1" ht="16.5" thickBot="1" x14ac:dyDescent="0.3">
      <c r="A54" s="87" t="s">
        <v>314</v>
      </c>
      <c r="B54" s="88"/>
      <c r="C54" s="148">
        <v>20</v>
      </c>
    </row>
    <row r="55" spans="1:3" ht="16.5" thickBot="1" x14ac:dyDescent="0.3">
      <c r="A55" s="64" t="s">
        <v>315</v>
      </c>
      <c r="B55" s="89">
        <v>0</v>
      </c>
    </row>
    <row r="56" spans="1:3" ht="16.5" thickBot="1" x14ac:dyDescent="0.3">
      <c r="A56" s="64" t="s">
        <v>316</v>
      </c>
      <c r="B56" s="86"/>
      <c r="C56" s="31">
        <v>1</v>
      </c>
    </row>
    <row r="57" spans="1:3" ht="16.5" thickBot="1" x14ac:dyDescent="0.3">
      <c r="A57" s="64" t="s">
        <v>317</v>
      </c>
      <c r="B57" s="86"/>
      <c r="C57" s="31">
        <v>2</v>
      </c>
    </row>
    <row r="58" spans="1:3" s="148" customFormat="1" ht="16.5" thickBot="1" x14ac:dyDescent="0.3">
      <c r="A58" s="87" t="s">
        <v>314</v>
      </c>
      <c r="B58" s="88"/>
      <c r="C58" s="148">
        <v>20</v>
      </c>
    </row>
    <row r="59" spans="1:3" ht="16.5" thickBot="1" x14ac:dyDescent="0.3">
      <c r="A59" s="64" t="s">
        <v>315</v>
      </c>
      <c r="B59" s="89">
        <v>0</v>
      </c>
    </row>
    <row r="60" spans="1:3" ht="16.5" thickBot="1" x14ac:dyDescent="0.3">
      <c r="A60" s="64" t="s">
        <v>316</v>
      </c>
      <c r="B60" s="86"/>
      <c r="C60" s="31">
        <v>1</v>
      </c>
    </row>
    <row r="61" spans="1:3" ht="16.5" thickBot="1" x14ac:dyDescent="0.3">
      <c r="A61" s="64" t="s">
        <v>317</v>
      </c>
      <c r="B61" s="86"/>
      <c r="C61" s="31">
        <v>2</v>
      </c>
    </row>
    <row r="62" spans="1:3" s="148" customFormat="1" ht="16.5" thickBot="1" x14ac:dyDescent="0.3">
      <c r="A62" s="87" t="s">
        <v>314</v>
      </c>
      <c r="B62" s="88"/>
      <c r="C62" s="148">
        <v>20</v>
      </c>
    </row>
    <row r="63" spans="1:3" ht="16.5" thickBot="1" x14ac:dyDescent="0.3">
      <c r="A63" s="64" t="s">
        <v>315</v>
      </c>
      <c r="B63" s="89">
        <v>0</v>
      </c>
    </row>
    <row r="64" spans="1:3" ht="16.5" thickBot="1" x14ac:dyDescent="0.3">
      <c r="A64" s="64" t="s">
        <v>316</v>
      </c>
      <c r="B64" s="86"/>
      <c r="C64" s="31">
        <v>1</v>
      </c>
    </row>
    <row r="65" spans="1:3" ht="16.5" thickBot="1" x14ac:dyDescent="0.3">
      <c r="A65" s="64" t="s">
        <v>317</v>
      </c>
      <c r="B65" s="86"/>
      <c r="C65" s="31">
        <v>2</v>
      </c>
    </row>
    <row r="66" spans="1:3" s="148" customFormat="1" ht="16.5" thickBot="1" x14ac:dyDescent="0.3">
      <c r="A66" s="87" t="s">
        <v>314</v>
      </c>
      <c r="B66" s="88"/>
      <c r="C66" s="148">
        <v>20</v>
      </c>
    </row>
    <row r="67" spans="1:3" ht="16.5" thickBot="1" x14ac:dyDescent="0.3">
      <c r="A67" s="64" t="s">
        <v>315</v>
      </c>
      <c r="B67" s="89">
        <v>0</v>
      </c>
    </row>
    <row r="68" spans="1:3" ht="16.5" thickBot="1" x14ac:dyDescent="0.3">
      <c r="A68" s="64" t="s">
        <v>316</v>
      </c>
      <c r="B68" s="86"/>
      <c r="C68" s="31">
        <v>1</v>
      </c>
    </row>
    <row r="69" spans="1:3" ht="16.5" thickBot="1" x14ac:dyDescent="0.3">
      <c r="A69" s="64" t="s">
        <v>317</v>
      </c>
      <c r="B69" s="86"/>
      <c r="C69" s="31">
        <v>2</v>
      </c>
    </row>
    <row r="70" spans="1:3" ht="29.25" thickBot="1" x14ac:dyDescent="0.3">
      <c r="A70" s="70" t="s">
        <v>319</v>
      </c>
      <c r="B70" s="86"/>
    </row>
    <row r="71" spans="1:3" s="148" customFormat="1" ht="16.5" thickBot="1" x14ac:dyDescent="0.3">
      <c r="A71" s="155"/>
      <c r="B71" s="156"/>
      <c r="C71" s="148">
        <v>30</v>
      </c>
    </row>
    <row r="72" spans="1:3" ht="16.5" thickBot="1" x14ac:dyDescent="0.3">
      <c r="A72" s="64" t="s">
        <v>315</v>
      </c>
      <c r="B72" s="89"/>
    </row>
    <row r="73" spans="1:3" ht="16.5" thickBot="1" x14ac:dyDescent="0.3">
      <c r="A73" s="64" t="s">
        <v>316</v>
      </c>
      <c r="B73" s="97"/>
      <c r="C73" s="31">
        <v>1</v>
      </c>
    </row>
    <row r="74" spans="1:3" ht="16.5" thickBot="1" x14ac:dyDescent="0.3">
      <c r="A74" s="64" t="s">
        <v>317</v>
      </c>
      <c r="B74" s="97"/>
      <c r="C74" s="31">
        <v>2</v>
      </c>
    </row>
    <row r="75" spans="1:3" s="148" customFormat="1" ht="16.5" thickBot="1" x14ac:dyDescent="0.3">
      <c r="A75" s="155"/>
      <c r="B75" s="156"/>
      <c r="C75" s="148">
        <v>30</v>
      </c>
    </row>
    <row r="76" spans="1:3" ht="16.5" thickBot="1" x14ac:dyDescent="0.3">
      <c r="A76" s="64" t="s">
        <v>315</v>
      </c>
      <c r="B76" s="89"/>
    </row>
    <row r="77" spans="1:3" ht="16.5" thickBot="1" x14ac:dyDescent="0.3">
      <c r="A77" s="64" t="s">
        <v>316</v>
      </c>
      <c r="B77" s="97"/>
      <c r="C77" s="31">
        <v>1</v>
      </c>
    </row>
    <row r="78" spans="1:3" ht="16.5" thickBot="1" x14ac:dyDescent="0.3">
      <c r="A78" s="64" t="s">
        <v>317</v>
      </c>
      <c r="B78" s="97"/>
      <c r="C78" s="31">
        <v>2</v>
      </c>
    </row>
    <row r="79" spans="1:3" s="148" customFormat="1" ht="16.5" thickBot="1" x14ac:dyDescent="0.3">
      <c r="A79" s="155"/>
      <c r="B79" s="156"/>
      <c r="C79" s="148">
        <v>30</v>
      </c>
    </row>
    <row r="80" spans="1:3" ht="16.5" thickBot="1" x14ac:dyDescent="0.3">
      <c r="A80" s="64" t="s">
        <v>315</v>
      </c>
      <c r="B80" s="89"/>
    </row>
    <row r="81" spans="1:3" ht="16.5" thickBot="1" x14ac:dyDescent="0.3">
      <c r="A81" s="64" t="s">
        <v>316</v>
      </c>
      <c r="B81" s="86"/>
      <c r="C81" s="31">
        <v>1</v>
      </c>
    </row>
    <row r="82" spans="1:3" ht="16.5" thickBot="1" x14ac:dyDescent="0.3">
      <c r="A82" s="64" t="s">
        <v>317</v>
      </c>
      <c r="B82" s="86"/>
      <c r="C82" s="31">
        <v>2</v>
      </c>
    </row>
    <row r="83" spans="1:3" s="148" customFormat="1" ht="16.5" thickBot="1" x14ac:dyDescent="0.3">
      <c r="A83" s="87" t="s">
        <v>314</v>
      </c>
      <c r="B83" s="88"/>
      <c r="C83" s="148">
        <v>30</v>
      </c>
    </row>
    <row r="84" spans="1:3" ht="16.5" thickBot="1" x14ac:dyDescent="0.3">
      <c r="A84" s="64" t="s">
        <v>315</v>
      </c>
      <c r="B84" s="89"/>
    </row>
    <row r="85" spans="1:3" ht="16.5" thickBot="1" x14ac:dyDescent="0.3">
      <c r="A85" s="64" t="s">
        <v>316</v>
      </c>
      <c r="B85" s="86"/>
      <c r="C85" s="31">
        <v>1</v>
      </c>
    </row>
    <row r="86" spans="1:3" ht="16.5" thickBot="1" x14ac:dyDescent="0.3">
      <c r="A86" s="64" t="s">
        <v>317</v>
      </c>
      <c r="B86" s="86"/>
      <c r="C86" s="31">
        <v>2</v>
      </c>
    </row>
    <row r="87" spans="1:3" s="148" customFormat="1" ht="16.5" thickBot="1" x14ac:dyDescent="0.3">
      <c r="A87" s="87" t="s">
        <v>314</v>
      </c>
      <c r="B87" s="88"/>
      <c r="C87" s="148">
        <v>30</v>
      </c>
    </row>
    <row r="88" spans="1:3" ht="16.5" thickBot="1" x14ac:dyDescent="0.3">
      <c r="A88" s="64" t="s">
        <v>315</v>
      </c>
      <c r="B88" s="89"/>
    </row>
    <row r="89" spans="1:3" ht="16.5" thickBot="1" x14ac:dyDescent="0.3">
      <c r="A89" s="64" t="s">
        <v>316</v>
      </c>
      <c r="B89" s="86"/>
      <c r="C89" s="31">
        <v>1</v>
      </c>
    </row>
    <row r="90" spans="1:3" ht="16.5" thickBot="1" x14ac:dyDescent="0.3">
      <c r="A90" s="64" t="s">
        <v>317</v>
      </c>
      <c r="B90" s="86"/>
      <c r="C90" s="31">
        <v>2</v>
      </c>
    </row>
    <row r="91" spans="1:3" s="148" customFormat="1" ht="16.5" thickBot="1" x14ac:dyDescent="0.3">
      <c r="A91" s="87" t="s">
        <v>314</v>
      </c>
      <c r="B91" s="88"/>
      <c r="C91" s="148">
        <v>30</v>
      </c>
    </row>
    <row r="92" spans="1:3" ht="16.5" thickBot="1" x14ac:dyDescent="0.3">
      <c r="A92" s="64" t="s">
        <v>315</v>
      </c>
      <c r="B92" s="89"/>
    </row>
    <row r="93" spans="1:3" ht="16.5" thickBot="1" x14ac:dyDescent="0.3">
      <c r="A93" s="64" t="s">
        <v>316</v>
      </c>
      <c r="B93" s="86"/>
      <c r="C93" s="31">
        <v>1</v>
      </c>
    </row>
    <row r="94" spans="1:3" ht="16.5" thickBot="1" x14ac:dyDescent="0.3">
      <c r="A94" s="64" t="s">
        <v>317</v>
      </c>
      <c r="B94" s="86"/>
      <c r="C94" s="31">
        <v>2</v>
      </c>
    </row>
    <row r="95" spans="1:3" s="148" customFormat="1" ht="16.5" thickBot="1" x14ac:dyDescent="0.3">
      <c r="A95" s="87" t="s">
        <v>314</v>
      </c>
      <c r="B95" s="88"/>
      <c r="C95" s="148">
        <v>30</v>
      </c>
    </row>
    <row r="96" spans="1:3" ht="16.5" thickBot="1" x14ac:dyDescent="0.3">
      <c r="A96" s="64" t="s">
        <v>315</v>
      </c>
      <c r="B96" s="89"/>
    </row>
    <row r="97" spans="1:3" ht="16.5" thickBot="1" x14ac:dyDescent="0.3">
      <c r="A97" s="64" t="s">
        <v>316</v>
      </c>
      <c r="B97" s="86"/>
      <c r="C97" s="31">
        <v>1</v>
      </c>
    </row>
    <row r="98" spans="1:3" ht="16.5" thickBot="1" x14ac:dyDescent="0.3">
      <c r="A98" s="64" t="s">
        <v>317</v>
      </c>
      <c r="B98" s="86"/>
      <c r="C98" s="31">
        <v>2</v>
      </c>
    </row>
    <row r="99" spans="1:3" s="148" customFormat="1" ht="16.5" thickBot="1" x14ac:dyDescent="0.3">
      <c r="A99" s="87" t="s">
        <v>314</v>
      </c>
      <c r="B99" s="88"/>
      <c r="C99" s="148">
        <v>30</v>
      </c>
    </row>
    <row r="100" spans="1:3" ht="16.5" thickBot="1" x14ac:dyDescent="0.3">
      <c r="A100" s="64" t="s">
        <v>315</v>
      </c>
      <c r="B100" s="89">
        <v>0</v>
      </c>
    </row>
    <row r="101" spans="1:3" ht="16.5" thickBot="1" x14ac:dyDescent="0.3">
      <c r="A101" s="64" t="s">
        <v>316</v>
      </c>
      <c r="B101" s="86"/>
      <c r="C101" s="31">
        <v>1</v>
      </c>
    </row>
    <row r="102" spans="1:3" ht="16.5" thickBot="1" x14ac:dyDescent="0.3">
      <c r="A102" s="64" t="s">
        <v>317</v>
      </c>
      <c r="B102" s="86"/>
      <c r="C102" s="31">
        <v>2</v>
      </c>
    </row>
    <row r="103" spans="1:3" s="148" customFormat="1" ht="16.5" thickBot="1" x14ac:dyDescent="0.3">
      <c r="A103" s="87" t="s">
        <v>314</v>
      </c>
      <c r="B103" s="88"/>
      <c r="C103" s="148">
        <v>30</v>
      </c>
    </row>
    <row r="104" spans="1:3" ht="16.5" thickBot="1" x14ac:dyDescent="0.3">
      <c r="A104" s="64" t="s">
        <v>315</v>
      </c>
      <c r="B104" s="89">
        <v>0</v>
      </c>
    </row>
    <row r="105" spans="1:3" ht="16.5" thickBot="1" x14ac:dyDescent="0.3">
      <c r="A105" s="64" t="s">
        <v>316</v>
      </c>
      <c r="B105" s="86"/>
      <c r="C105" s="31">
        <v>1</v>
      </c>
    </row>
    <row r="106" spans="1:3" ht="16.5" thickBot="1" x14ac:dyDescent="0.3">
      <c r="A106" s="64" t="s">
        <v>317</v>
      </c>
      <c r="B106" s="86"/>
      <c r="C106" s="31">
        <v>2</v>
      </c>
    </row>
    <row r="107" spans="1:3" s="148" customFormat="1" ht="16.5" thickBot="1" x14ac:dyDescent="0.3">
      <c r="A107" s="87" t="s">
        <v>314</v>
      </c>
      <c r="B107" s="88"/>
      <c r="C107" s="148">
        <v>30</v>
      </c>
    </row>
    <row r="108" spans="1:3" ht="16.5" thickBot="1" x14ac:dyDescent="0.3">
      <c r="A108" s="64" t="s">
        <v>315</v>
      </c>
      <c r="B108" s="89">
        <v>0</v>
      </c>
    </row>
    <row r="109" spans="1:3" ht="16.5" thickBot="1" x14ac:dyDescent="0.3">
      <c r="A109" s="64" t="s">
        <v>316</v>
      </c>
      <c r="B109" s="86"/>
      <c r="C109" s="31">
        <v>1</v>
      </c>
    </row>
    <row r="110" spans="1:3" ht="16.5" thickBot="1" x14ac:dyDescent="0.3">
      <c r="A110" s="64" t="s">
        <v>317</v>
      </c>
      <c r="B110" s="86"/>
      <c r="C110" s="31">
        <v>2</v>
      </c>
    </row>
    <row r="111" spans="1:3" ht="29.25" thickBot="1" x14ac:dyDescent="0.3">
      <c r="A111" s="63" t="s">
        <v>320</v>
      </c>
      <c r="B111" s="89">
        <v>0</v>
      </c>
    </row>
    <row r="112" spans="1:3" ht="16.5" thickBot="1" x14ac:dyDescent="0.3">
      <c r="A112" s="65" t="s">
        <v>312</v>
      </c>
      <c r="B112" s="71"/>
    </row>
    <row r="113" spans="1:2" ht="16.5" thickBot="1" x14ac:dyDescent="0.3">
      <c r="A113" s="65" t="s">
        <v>321</v>
      </c>
      <c r="B113" s="89">
        <v>0</v>
      </c>
    </row>
    <row r="114" spans="1:2" ht="16.5" thickBot="1" x14ac:dyDescent="0.3">
      <c r="A114" s="65" t="s">
        <v>322</v>
      </c>
      <c r="B114" s="89"/>
    </row>
    <row r="115" spans="1:2" ht="16.5" thickBot="1" x14ac:dyDescent="0.3">
      <c r="A115" s="65" t="s">
        <v>323</v>
      </c>
      <c r="B115" s="89">
        <v>0</v>
      </c>
    </row>
    <row r="116" spans="1:2" ht="16.5" thickBot="1" x14ac:dyDescent="0.3">
      <c r="A116" s="61" t="s">
        <v>324</v>
      </c>
      <c r="B116" s="90">
        <v>0</v>
      </c>
    </row>
    <row r="117" spans="1:2" ht="16.5" thickBot="1" x14ac:dyDescent="0.3">
      <c r="A117" s="61" t="s">
        <v>325</v>
      </c>
      <c r="B117" s="169">
        <f xml:space="preserve"> SUMIF(C33:C110, 1,B33:B110)</f>
        <v>0</v>
      </c>
    </row>
    <row r="118" spans="1:2" ht="16.5" thickBot="1" x14ac:dyDescent="0.3">
      <c r="A118" s="61" t="s">
        <v>326</v>
      </c>
      <c r="B118" s="90">
        <v>0</v>
      </c>
    </row>
    <row r="119" spans="1:2" ht="16.5" thickBot="1" x14ac:dyDescent="0.3">
      <c r="A119" s="62" t="s">
        <v>327</v>
      </c>
      <c r="B119" s="169">
        <f xml:space="preserve"> SUMIF(C33:C110, 2,B33:B110)</f>
        <v>0</v>
      </c>
    </row>
    <row r="120" spans="1:2" ht="15.75" customHeight="1" x14ac:dyDescent="0.25">
      <c r="A120" s="63" t="s">
        <v>328</v>
      </c>
      <c r="B120" s="65" t="s">
        <v>329</v>
      </c>
    </row>
    <row r="121" spans="1:2" x14ac:dyDescent="0.25">
      <c r="A121" s="67" t="s">
        <v>330</v>
      </c>
      <c r="B121" s="67" t="str">
        <f>A9</f>
        <v xml:space="preserve">Акционерное общество "Западная энергетическая компания" </v>
      </c>
    </row>
    <row r="122" spans="1:2" x14ac:dyDescent="0.25">
      <c r="A122" s="67" t="s">
        <v>331</v>
      </c>
      <c r="B122" s="67"/>
    </row>
    <row r="123" spans="1:2" x14ac:dyDescent="0.25">
      <c r="A123" s="67" t="s">
        <v>332</v>
      </c>
      <c r="B123" s="67"/>
    </row>
    <row r="124" spans="1:2" x14ac:dyDescent="0.25">
      <c r="A124" s="67" t="s">
        <v>333</v>
      </c>
      <c r="B124" s="67"/>
    </row>
    <row r="125" spans="1:2" ht="16.5" thickBot="1" x14ac:dyDescent="0.3">
      <c r="A125" s="68" t="s">
        <v>334</v>
      </c>
      <c r="B125" s="68"/>
    </row>
    <row r="126" spans="1:2" ht="30.75" thickBot="1" x14ac:dyDescent="0.3">
      <c r="A126" s="65" t="s">
        <v>335</v>
      </c>
      <c r="B126" s="66"/>
    </row>
    <row r="127" spans="1:2" ht="29.25" thickBot="1" x14ac:dyDescent="0.3">
      <c r="A127" s="61" t="s">
        <v>336</v>
      </c>
      <c r="B127" s="170"/>
    </row>
    <row r="128" spans="1:2" ht="16.5" thickBot="1" x14ac:dyDescent="0.3">
      <c r="A128" s="65" t="s">
        <v>312</v>
      </c>
      <c r="B128" s="171"/>
    </row>
    <row r="129" spans="1:2" ht="16.5" thickBot="1" x14ac:dyDescent="0.3">
      <c r="A129" s="65" t="s">
        <v>337</v>
      </c>
      <c r="B129" s="170"/>
    </row>
    <row r="130" spans="1:2" ht="16.5" thickBot="1" x14ac:dyDescent="0.3">
      <c r="A130" s="65" t="s">
        <v>338</v>
      </c>
      <c r="B130" s="171"/>
    </row>
    <row r="131" spans="1:2" ht="16.5" thickBot="1" x14ac:dyDescent="0.3">
      <c r="A131" s="74" t="s">
        <v>339</v>
      </c>
      <c r="B131" s="101"/>
    </row>
    <row r="132" spans="1:2" ht="16.5" thickBot="1" x14ac:dyDescent="0.3">
      <c r="A132" s="61" t="s">
        <v>340</v>
      </c>
      <c r="B132" s="72"/>
    </row>
    <row r="133" spans="1:2" ht="16.5" thickBot="1" x14ac:dyDescent="0.3">
      <c r="A133" s="67" t="s">
        <v>341</v>
      </c>
      <c r="B133" s="168" t="str">
        <f>'6.1. Паспорт сетевой график'!H43</f>
        <v>не требуется</v>
      </c>
    </row>
    <row r="134" spans="1:2" ht="16.5" thickBot="1" x14ac:dyDescent="0.3">
      <c r="A134" s="67" t="s">
        <v>342</v>
      </c>
      <c r="B134" s="75" t="s">
        <v>546</v>
      </c>
    </row>
    <row r="135" spans="1:2" ht="16.5" thickBot="1" x14ac:dyDescent="0.3">
      <c r="A135" s="67" t="s">
        <v>343</v>
      </c>
      <c r="B135" s="75" t="s">
        <v>546</v>
      </c>
    </row>
    <row r="136" spans="1:2" ht="29.25" thickBot="1" x14ac:dyDescent="0.3">
      <c r="A136" s="76" t="s">
        <v>344</v>
      </c>
      <c r="B136" s="73" t="s">
        <v>547</v>
      </c>
    </row>
    <row r="137" spans="1:2" ht="28.5" customHeight="1" x14ac:dyDescent="0.25">
      <c r="A137" s="63" t="s">
        <v>345</v>
      </c>
      <c r="B137" s="430" t="s">
        <v>546</v>
      </c>
    </row>
    <row r="138" spans="1:2" x14ac:dyDescent="0.25">
      <c r="A138" s="67" t="s">
        <v>346</v>
      </c>
      <c r="B138" s="431"/>
    </row>
    <row r="139" spans="1:2" x14ac:dyDescent="0.25">
      <c r="A139" s="67" t="s">
        <v>347</v>
      </c>
      <c r="B139" s="431"/>
    </row>
    <row r="140" spans="1:2" x14ac:dyDescent="0.25">
      <c r="A140" s="67" t="s">
        <v>348</v>
      </c>
      <c r="B140" s="431"/>
    </row>
    <row r="141" spans="1:2" x14ac:dyDescent="0.25">
      <c r="A141" s="67" t="s">
        <v>349</v>
      </c>
      <c r="B141" s="431"/>
    </row>
    <row r="142" spans="1:2" ht="16.5" thickBot="1" x14ac:dyDescent="0.3">
      <c r="A142" s="77" t="s">
        <v>350</v>
      </c>
      <c r="B142" s="432"/>
    </row>
    <row r="145" spans="1:2" x14ac:dyDescent="0.25">
      <c r="A145" s="78"/>
      <c r="B145" s="79"/>
    </row>
    <row r="146" spans="1:2" x14ac:dyDescent="0.25">
      <c r="B146" s="80"/>
    </row>
    <row r="147" spans="1:2" x14ac:dyDescent="0.25">
      <c r="B147" s="8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B22" sqref="B22:S22"/>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7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127.5703125" style="114" customWidth="1"/>
    <col min="18" max="18" width="92.42578125" style="114" customWidth="1"/>
    <col min="19" max="19" width="51.5703125" style="114" customWidth="1"/>
    <col min="20" max="16384" width="9.140625" style="114"/>
  </cols>
  <sheetData>
    <row r="1" spans="1:28" s="13" customFormat="1" ht="18.75" customHeight="1" x14ac:dyDescent="0.2">
      <c r="S1" s="20" t="s">
        <v>66</v>
      </c>
    </row>
    <row r="2" spans="1:28" s="13" customFormat="1" ht="18.75" customHeight="1" x14ac:dyDescent="0.3">
      <c r="S2" s="11" t="s">
        <v>8</v>
      </c>
    </row>
    <row r="3" spans="1:28" s="13" customFormat="1" ht="18.75" x14ac:dyDescent="0.3">
      <c r="S3" s="11" t="s">
        <v>65</v>
      </c>
    </row>
    <row r="4" spans="1:28" s="13" customFormat="1" ht="18.75" customHeight="1" x14ac:dyDescent="0.2">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row>
    <row r="5" spans="1:28" s="13" customFormat="1" ht="15.75" x14ac:dyDescent="0.2">
      <c r="A5" s="102"/>
    </row>
    <row r="6" spans="1:28" s="13" customFormat="1" ht="18.75" x14ac:dyDescent="0.2">
      <c r="A6" s="319" t="s">
        <v>7</v>
      </c>
      <c r="B6" s="319"/>
      <c r="C6" s="319"/>
      <c r="D6" s="319"/>
      <c r="E6" s="319"/>
      <c r="F6" s="319"/>
      <c r="G6" s="319"/>
      <c r="H6" s="319"/>
      <c r="I6" s="319"/>
      <c r="J6" s="319"/>
      <c r="K6" s="319"/>
      <c r="L6" s="319"/>
      <c r="M6" s="319"/>
      <c r="N6" s="319"/>
      <c r="O6" s="319"/>
      <c r="P6" s="319"/>
      <c r="Q6" s="319"/>
      <c r="R6" s="319"/>
      <c r="S6" s="319"/>
      <c r="T6" s="104"/>
      <c r="U6" s="104"/>
      <c r="V6" s="104"/>
      <c r="W6" s="104"/>
      <c r="X6" s="104"/>
      <c r="Y6" s="104"/>
      <c r="Z6" s="104"/>
      <c r="AA6" s="104"/>
      <c r="AB6" s="104"/>
    </row>
    <row r="7" spans="1:28" s="13" customFormat="1" ht="18.75" x14ac:dyDescent="0.2">
      <c r="A7" s="319"/>
      <c r="B7" s="319"/>
      <c r="C7" s="319"/>
      <c r="D7" s="319"/>
      <c r="E7" s="319"/>
      <c r="F7" s="319"/>
      <c r="G7" s="319"/>
      <c r="H7" s="319"/>
      <c r="I7" s="319"/>
      <c r="J7" s="319"/>
      <c r="K7" s="319"/>
      <c r="L7" s="319"/>
      <c r="M7" s="319"/>
      <c r="N7" s="319"/>
      <c r="O7" s="319"/>
      <c r="P7" s="319"/>
      <c r="Q7" s="319"/>
      <c r="R7" s="319"/>
      <c r="S7" s="319"/>
      <c r="T7" s="104"/>
      <c r="U7" s="104"/>
      <c r="V7" s="104"/>
      <c r="W7" s="104"/>
      <c r="X7" s="104"/>
      <c r="Y7" s="104"/>
      <c r="Z7" s="104"/>
      <c r="AA7" s="104"/>
      <c r="AB7" s="104"/>
    </row>
    <row r="8" spans="1:28" s="13" customFormat="1" ht="18.75" x14ac:dyDescent="0.2">
      <c r="A8" s="317" t="str">
        <f>'1. паспорт местоположение'!A9:C9</f>
        <v xml:space="preserve">Акционерное общество "Западная энергетическая компания" </v>
      </c>
      <c r="B8" s="317"/>
      <c r="C8" s="317"/>
      <c r="D8" s="317"/>
      <c r="E8" s="317"/>
      <c r="F8" s="317"/>
      <c r="G8" s="317"/>
      <c r="H8" s="317"/>
      <c r="I8" s="317"/>
      <c r="J8" s="317"/>
      <c r="K8" s="317"/>
      <c r="L8" s="317"/>
      <c r="M8" s="317"/>
      <c r="N8" s="317"/>
      <c r="O8" s="317"/>
      <c r="P8" s="317"/>
      <c r="Q8" s="317"/>
      <c r="R8" s="317"/>
      <c r="S8" s="317"/>
      <c r="T8" s="104"/>
      <c r="U8" s="104"/>
      <c r="V8" s="104"/>
      <c r="W8" s="104"/>
      <c r="X8" s="104"/>
      <c r="Y8" s="104"/>
      <c r="Z8" s="104"/>
      <c r="AA8" s="104"/>
      <c r="AB8" s="104"/>
    </row>
    <row r="9" spans="1:28" s="13" customFormat="1" ht="18.75" x14ac:dyDescent="0.2">
      <c r="A9" s="323" t="s">
        <v>6</v>
      </c>
      <c r="B9" s="323"/>
      <c r="C9" s="323"/>
      <c r="D9" s="323"/>
      <c r="E9" s="323"/>
      <c r="F9" s="323"/>
      <c r="G9" s="323"/>
      <c r="H9" s="323"/>
      <c r="I9" s="323"/>
      <c r="J9" s="323"/>
      <c r="K9" s="323"/>
      <c r="L9" s="323"/>
      <c r="M9" s="323"/>
      <c r="N9" s="323"/>
      <c r="O9" s="323"/>
      <c r="P9" s="323"/>
      <c r="Q9" s="323"/>
      <c r="R9" s="323"/>
      <c r="S9" s="323"/>
      <c r="T9" s="104"/>
      <c r="U9" s="104"/>
      <c r="V9" s="104"/>
      <c r="W9" s="104"/>
      <c r="X9" s="104"/>
      <c r="Y9" s="104"/>
      <c r="Z9" s="104"/>
      <c r="AA9" s="104"/>
      <c r="AB9" s="104"/>
    </row>
    <row r="10" spans="1:28" s="13" customFormat="1" ht="18.75" x14ac:dyDescent="0.2">
      <c r="A10" s="319"/>
      <c r="B10" s="319"/>
      <c r="C10" s="319"/>
      <c r="D10" s="319"/>
      <c r="E10" s="319"/>
      <c r="F10" s="319"/>
      <c r="G10" s="319"/>
      <c r="H10" s="319"/>
      <c r="I10" s="319"/>
      <c r="J10" s="319"/>
      <c r="K10" s="319"/>
      <c r="L10" s="319"/>
      <c r="M10" s="319"/>
      <c r="N10" s="319"/>
      <c r="O10" s="319"/>
      <c r="P10" s="319"/>
      <c r="Q10" s="319"/>
      <c r="R10" s="319"/>
      <c r="S10" s="319"/>
      <c r="T10" s="104"/>
      <c r="U10" s="104"/>
      <c r="V10" s="104"/>
      <c r="W10" s="104"/>
      <c r="X10" s="104"/>
      <c r="Y10" s="104"/>
      <c r="Z10" s="104"/>
      <c r="AA10" s="104"/>
      <c r="AB10" s="104"/>
    </row>
    <row r="11" spans="1:28" s="13" customFormat="1" ht="18.75" x14ac:dyDescent="0.2">
      <c r="A11" s="317" t="str">
        <f>'1. паспорт местоположение'!A12:C12</f>
        <v>M 22-28</v>
      </c>
      <c r="B11" s="317"/>
      <c r="C11" s="317"/>
      <c r="D11" s="317"/>
      <c r="E11" s="317"/>
      <c r="F11" s="317"/>
      <c r="G11" s="317"/>
      <c r="H11" s="317"/>
      <c r="I11" s="317"/>
      <c r="J11" s="317"/>
      <c r="K11" s="317"/>
      <c r="L11" s="317"/>
      <c r="M11" s="317"/>
      <c r="N11" s="317"/>
      <c r="O11" s="317"/>
      <c r="P11" s="317"/>
      <c r="Q11" s="317"/>
      <c r="R11" s="317"/>
      <c r="S11" s="317"/>
      <c r="T11" s="104"/>
      <c r="U11" s="104"/>
      <c r="V11" s="104"/>
      <c r="W11" s="104"/>
      <c r="X11" s="104"/>
      <c r="Y11" s="104"/>
      <c r="Z11" s="104"/>
      <c r="AA11" s="104"/>
      <c r="AB11" s="104"/>
    </row>
    <row r="12" spans="1:28" s="13" customFormat="1" ht="18.75" x14ac:dyDescent="0.2">
      <c r="A12" s="323" t="s">
        <v>5</v>
      </c>
      <c r="B12" s="323"/>
      <c r="C12" s="323"/>
      <c r="D12" s="323"/>
      <c r="E12" s="323"/>
      <c r="F12" s="323"/>
      <c r="G12" s="323"/>
      <c r="H12" s="323"/>
      <c r="I12" s="323"/>
      <c r="J12" s="323"/>
      <c r="K12" s="323"/>
      <c r="L12" s="323"/>
      <c r="M12" s="323"/>
      <c r="N12" s="323"/>
      <c r="O12" s="323"/>
      <c r="P12" s="323"/>
      <c r="Q12" s="323"/>
      <c r="R12" s="323"/>
      <c r="S12" s="323"/>
      <c r="T12" s="104"/>
      <c r="U12" s="104"/>
      <c r="V12" s="104"/>
      <c r="W12" s="104"/>
      <c r="X12" s="104"/>
      <c r="Y12" s="104"/>
      <c r="Z12" s="104"/>
      <c r="AA12" s="104"/>
      <c r="AB12" s="104"/>
    </row>
    <row r="13" spans="1:28" s="13"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105"/>
      <c r="U13" s="105"/>
      <c r="V13" s="105"/>
      <c r="W13" s="105"/>
      <c r="X13" s="105"/>
      <c r="Y13" s="105"/>
      <c r="Z13" s="105"/>
      <c r="AA13" s="105"/>
      <c r="AB13" s="105"/>
    </row>
    <row r="14" spans="1:28" s="103" customFormat="1" ht="15.75" x14ac:dyDescent="0.2">
      <c r="A14" s="317" t="str">
        <f>'1. паспорт местоположение'!A15:C15</f>
        <v>Приобретение ВЛ-15кВ № 15-298 г. Светлый</v>
      </c>
      <c r="B14" s="317"/>
      <c r="C14" s="317"/>
      <c r="D14" s="317"/>
      <c r="E14" s="317"/>
      <c r="F14" s="317"/>
      <c r="G14" s="317"/>
      <c r="H14" s="317"/>
      <c r="I14" s="317"/>
      <c r="J14" s="317"/>
      <c r="K14" s="317"/>
      <c r="L14" s="317"/>
      <c r="M14" s="317"/>
      <c r="N14" s="317"/>
      <c r="O14" s="317"/>
      <c r="P14" s="317"/>
      <c r="Q14" s="317"/>
      <c r="R14" s="317"/>
      <c r="S14" s="317"/>
      <c r="T14" s="106"/>
      <c r="U14" s="106"/>
      <c r="V14" s="106"/>
      <c r="W14" s="106"/>
      <c r="X14" s="106"/>
      <c r="Y14" s="106"/>
      <c r="Z14" s="106"/>
      <c r="AA14" s="106"/>
      <c r="AB14" s="106"/>
    </row>
    <row r="15" spans="1:28" s="103" customFormat="1" ht="15" customHeight="1" x14ac:dyDescent="0.2">
      <c r="A15" s="323" t="s">
        <v>4</v>
      </c>
      <c r="B15" s="323"/>
      <c r="C15" s="323"/>
      <c r="D15" s="323"/>
      <c r="E15" s="323"/>
      <c r="F15" s="323"/>
      <c r="G15" s="323"/>
      <c r="H15" s="323"/>
      <c r="I15" s="323"/>
      <c r="J15" s="323"/>
      <c r="K15" s="323"/>
      <c r="L15" s="323"/>
      <c r="M15" s="323"/>
      <c r="N15" s="323"/>
      <c r="O15" s="323"/>
      <c r="P15" s="323"/>
      <c r="Q15" s="323"/>
      <c r="R15" s="323"/>
      <c r="S15" s="323"/>
      <c r="T15" s="107"/>
      <c r="U15" s="107"/>
      <c r="V15" s="107"/>
      <c r="W15" s="107"/>
      <c r="X15" s="107"/>
      <c r="Y15" s="107"/>
      <c r="Z15" s="107"/>
      <c r="AA15" s="107"/>
      <c r="AB15" s="107"/>
    </row>
    <row r="16" spans="1:28" s="103" customFormat="1" ht="15" customHeight="1" x14ac:dyDescent="0.2">
      <c r="A16" s="324"/>
      <c r="B16" s="324"/>
      <c r="C16" s="324"/>
      <c r="D16" s="324"/>
      <c r="E16" s="324"/>
      <c r="F16" s="324"/>
      <c r="G16" s="324"/>
      <c r="H16" s="324"/>
      <c r="I16" s="324"/>
      <c r="J16" s="324"/>
      <c r="K16" s="324"/>
      <c r="L16" s="324"/>
      <c r="M16" s="324"/>
      <c r="N16" s="324"/>
      <c r="O16" s="324"/>
      <c r="P16" s="324"/>
      <c r="Q16" s="324"/>
      <c r="R16" s="324"/>
      <c r="S16" s="324"/>
      <c r="T16" s="105"/>
      <c r="U16" s="105"/>
      <c r="V16" s="105"/>
      <c r="W16" s="105"/>
      <c r="X16" s="105"/>
      <c r="Y16" s="105"/>
    </row>
    <row r="17" spans="1:28" s="103" customFormat="1" ht="45.75" customHeight="1" x14ac:dyDescent="0.2">
      <c r="A17" s="325" t="s">
        <v>382</v>
      </c>
      <c r="B17" s="325"/>
      <c r="C17" s="325"/>
      <c r="D17" s="325"/>
      <c r="E17" s="325"/>
      <c r="F17" s="325"/>
      <c r="G17" s="325"/>
      <c r="H17" s="325"/>
      <c r="I17" s="325"/>
      <c r="J17" s="325"/>
      <c r="K17" s="325"/>
      <c r="L17" s="325"/>
      <c r="M17" s="325"/>
      <c r="N17" s="325"/>
      <c r="O17" s="325"/>
      <c r="P17" s="325"/>
      <c r="Q17" s="325"/>
      <c r="R17" s="325"/>
      <c r="S17" s="325"/>
      <c r="T17" s="108"/>
      <c r="U17" s="108"/>
      <c r="V17" s="108"/>
      <c r="W17" s="108"/>
      <c r="X17" s="108"/>
      <c r="Y17" s="108"/>
      <c r="Z17" s="108"/>
      <c r="AA17" s="108"/>
      <c r="AB17" s="108"/>
    </row>
    <row r="18" spans="1:28" s="10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105"/>
      <c r="U18" s="105"/>
      <c r="V18" s="105"/>
      <c r="W18" s="105"/>
      <c r="X18" s="105"/>
      <c r="Y18" s="105"/>
    </row>
    <row r="19" spans="1:28" s="103" customFormat="1" ht="54" customHeight="1" x14ac:dyDescent="0.2">
      <c r="A19" s="318" t="s">
        <v>3</v>
      </c>
      <c r="B19" s="318" t="s">
        <v>94</v>
      </c>
      <c r="C19" s="320" t="s">
        <v>303</v>
      </c>
      <c r="D19" s="318" t="s">
        <v>302</v>
      </c>
      <c r="E19" s="318" t="s">
        <v>93</v>
      </c>
      <c r="F19" s="318" t="s">
        <v>92</v>
      </c>
      <c r="G19" s="318" t="s">
        <v>298</v>
      </c>
      <c r="H19" s="318" t="s">
        <v>91</v>
      </c>
      <c r="I19" s="318" t="s">
        <v>90</v>
      </c>
      <c r="J19" s="318" t="s">
        <v>89</v>
      </c>
      <c r="K19" s="318" t="s">
        <v>88</v>
      </c>
      <c r="L19" s="318" t="s">
        <v>87</v>
      </c>
      <c r="M19" s="318" t="s">
        <v>86</v>
      </c>
      <c r="N19" s="318" t="s">
        <v>85</v>
      </c>
      <c r="O19" s="318" t="s">
        <v>84</v>
      </c>
      <c r="P19" s="318" t="s">
        <v>83</v>
      </c>
      <c r="Q19" s="318" t="s">
        <v>301</v>
      </c>
      <c r="R19" s="318"/>
      <c r="S19" s="322" t="s">
        <v>376</v>
      </c>
      <c r="T19" s="105"/>
      <c r="U19" s="105"/>
      <c r="V19" s="105"/>
      <c r="W19" s="105"/>
      <c r="X19" s="105"/>
      <c r="Y19" s="105"/>
    </row>
    <row r="20" spans="1:28" s="103" customFormat="1" ht="180.75" customHeight="1" x14ac:dyDescent="0.2">
      <c r="A20" s="318"/>
      <c r="B20" s="318"/>
      <c r="C20" s="321"/>
      <c r="D20" s="318"/>
      <c r="E20" s="318"/>
      <c r="F20" s="318"/>
      <c r="G20" s="318"/>
      <c r="H20" s="318"/>
      <c r="I20" s="318"/>
      <c r="J20" s="318"/>
      <c r="K20" s="318"/>
      <c r="L20" s="318"/>
      <c r="M20" s="318"/>
      <c r="N20" s="318"/>
      <c r="O20" s="318"/>
      <c r="P20" s="318"/>
      <c r="Q20" s="109" t="s">
        <v>299</v>
      </c>
      <c r="R20" s="110" t="s">
        <v>300</v>
      </c>
      <c r="S20" s="322"/>
      <c r="T20" s="105"/>
      <c r="U20" s="105"/>
      <c r="V20" s="105"/>
      <c r="W20" s="105"/>
      <c r="X20" s="105"/>
      <c r="Y20" s="105"/>
    </row>
    <row r="21" spans="1:28" s="103" customFormat="1" ht="18.75" x14ac:dyDescent="0.2">
      <c r="A21" s="109">
        <v>1</v>
      </c>
      <c r="B21" s="111">
        <v>2</v>
      </c>
      <c r="C21" s="109">
        <v>3</v>
      </c>
      <c r="D21" s="111">
        <v>4</v>
      </c>
      <c r="E21" s="109">
        <v>5</v>
      </c>
      <c r="F21" s="111">
        <v>6</v>
      </c>
      <c r="G21" s="109">
        <v>7</v>
      </c>
      <c r="H21" s="111">
        <v>8</v>
      </c>
      <c r="I21" s="109">
        <v>9</v>
      </c>
      <c r="J21" s="111">
        <v>10</v>
      </c>
      <c r="K21" s="109">
        <v>11</v>
      </c>
      <c r="L21" s="111">
        <v>12</v>
      </c>
      <c r="M21" s="109">
        <v>13</v>
      </c>
      <c r="N21" s="111">
        <v>14</v>
      </c>
      <c r="O21" s="109">
        <v>15</v>
      </c>
      <c r="P21" s="111">
        <v>16</v>
      </c>
      <c r="Q21" s="109">
        <v>17</v>
      </c>
      <c r="R21" s="111">
        <v>18</v>
      </c>
      <c r="S21" s="109">
        <v>19</v>
      </c>
      <c r="T21" s="105"/>
      <c r="U21" s="105"/>
      <c r="V21" s="105"/>
      <c r="W21" s="105"/>
      <c r="X21" s="105"/>
      <c r="Y21" s="105"/>
    </row>
    <row r="22" spans="1:28" s="103" customFormat="1" ht="49.5" customHeight="1" x14ac:dyDescent="0.2">
      <c r="A22" s="109" t="s">
        <v>540</v>
      </c>
      <c r="B22" s="109" t="s">
        <v>540</v>
      </c>
      <c r="C22" s="109" t="s">
        <v>540</v>
      </c>
      <c r="D22" s="109" t="s">
        <v>540</v>
      </c>
      <c r="E22" s="109" t="s">
        <v>540</v>
      </c>
      <c r="F22" s="109" t="s">
        <v>540</v>
      </c>
      <c r="G22" s="109" t="s">
        <v>540</v>
      </c>
      <c r="H22" s="109" t="s">
        <v>540</v>
      </c>
      <c r="I22" s="109" t="s">
        <v>540</v>
      </c>
      <c r="J22" s="109" t="s">
        <v>540</v>
      </c>
      <c r="K22" s="109" t="s">
        <v>540</v>
      </c>
      <c r="L22" s="109" t="s">
        <v>540</v>
      </c>
      <c r="M22" s="109" t="s">
        <v>540</v>
      </c>
      <c r="N22" s="109" t="s">
        <v>540</v>
      </c>
      <c r="O22" s="109" t="s">
        <v>540</v>
      </c>
      <c r="P22" s="109" t="s">
        <v>540</v>
      </c>
      <c r="Q22" s="109" t="s">
        <v>540</v>
      </c>
      <c r="R22" s="109" t="s">
        <v>540</v>
      </c>
      <c r="S22" s="109" t="s">
        <v>540</v>
      </c>
      <c r="T22" s="105"/>
      <c r="U22" s="105"/>
      <c r="V22" s="105"/>
      <c r="W22" s="105"/>
      <c r="X22" s="105"/>
      <c r="Y22" s="10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3"/>
  <sheetViews>
    <sheetView view="pageBreakPreview" topLeftCell="A19" zoomScale="80" zoomScaleNormal="60" zoomScaleSheetLayoutView="80" workbookViewId="0">
      <selection activeCell="O25" sqref="O25"/>
    </sheetView>
  </sheetViews>
  <sheetFormatPr defaultColWidth="10.7109375" defaultRowHeight="15.75" x14ac:dyDescent="0.25"/>
  <cols>
    <col min="1" max="1" width="9.5703125" style="25" customWidth="1"/>
    <col min="2" max="3" width="15.7109375" style="25" customWidth="1"/>
    <col min="4" max="4" width="26.140625" style="25" customWidth="1"/>
    <col min="5" max="5" width="11.140625" style="25" customWidth="1"/>
    <col min="6" max="6" width="22.28515625" style="25" customWidth="1"/>
    <col min="7" max="7" width="8.7109375" style="25" customWidth="1"/>
    <col min="8" max="8" width="19.7109375" style="25" customWidth="1"/>
    <col min="9" max="9" width="7.28515625" style="25" customWidth="1"/>
    <col min="10" max="10" width="9.28515625" style="25" customWidth="1"/>
    <col min="11" max="11" width="10.28515625" style="25" customWidth="1"/>
    <col min="12" max="15" width="8.7109375"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13" customFormat="1" ht="18.75" customHeight="1" x14ac:dyDescent="0.3">
      <c r="T3" s="11" t="s">
        <v>8</v>
      </c>
    </row>
    <row r="4" spans="1:20" s="13" customFormat="1" ht="18.75" customHeight="1" x14ac:dyDescent="0.3">
      <c r="T4" s="11" t="s">
        <v>65</v>
      </c>
    </row>
    <row r="5" spans="1:20" s="13" customFormat="1" ht="18.75" customHeight="1" x14ac:dyDescent="0.3">
      <c r="T5" s="11"/>
    </row>
    <row r="6" spans="1:20" s="13" customFormat="1" x14ac:dyDescent="0.2">
      <c r="A6" s="310" t="str">
        <f>'1. паспорт местоположение'!A5:C5</f>
        <v>Год раскрытия информации: 2023 год</v>
      </c>
      <c r="B6" s="310"/>
      <c r="C6" s="310"/>
      <c r="D6" s="310"/>
      <c r="E6" s="310"/>
      <c r="F6" s="310"/>
      <c r="G6" s="310"/>
      <c r="H6" s="310"/>
      <c r="I6" s="310"/>
      <c r="J6" s="310"/>
      <c r="K6" s="310"/>
      <c r="L6" s="310"/>
      <c r="M6" s="310"/>
      <c r="N6" s="310"/>
      <c r="O6" s="310"/>
      <c r="P6" s="310"/>
      <c r="Q6" s="310"/>
      <c r="R6" s="310"/>
      <c r="S6" s="310"/>
      <c r="T6" s="310"/>
    </row>
    <row r="7" spans="1:20" s="13" customFormat="1" x14ac:dyDescent="0.2">
      <c r="A7" s="102"/>
    </row>
    <row r="8" spans="1:20" s="13" customFormat="1" ht="18.75" x14ac:dyDescent="0.2">
      <c r="A8" s="319" t="s">
        <v>7</v>
      </c>
      <c r="B8" s="319"/>
      <c r="C8" s="319"/>
      <c r="D8" s="319"/>
      <c r="E8" s="319"/>
      <c r="F8" s="319"/>
      <c r="G8" s="319"/>
      <c r="H8" s="319"/>
      <c r="I8" s="319"/>
      <c r="J8" s="319"/>
      <c r="K8" s="319"/>
      <c r="L8" s="319"/>
      <c r="M8" s="319"/>
      <c r="N8" s="319"/>
      <c r="O8" s="319"/>
      <c r="P8" s="319"/>
      <c r="Q8" s="319"/>
      <c r="R8" s="319"/>
      <c r="S8" s="319"/>
      <c r="T8" s="319"/>
    </row>
    <row r="9" spans="1:20" s="13" customFormat="1" ht="18.75" x14ac:dyDescent="0.2">
      <c r="A9" s="319"/>
      <c r="B9" s="319"/>
      <c r="C9" s="319"/>
      <c r="D9" s="319"/>
      <c r="E9" s="319"/>
      <c r="F9" s="319"/>
      <c r="G9" s="319"/>
      <c r="H9" s="319"/>
      <c r="I9" s="319"/>
      <c r="J9" s="319"/>
      <c r="K9" s="319"/>
      <c r="L9" s="319"/>
      <c r="M9" s="319"/>
      <c r="N9" s="319"/>
      <c r="O9" s="319"/>
      <c r="P9" s="319"/>
      <c r="Q9" s="319"/>
      <c r="R9" s="319"/>
      <c r="S9" s="319"/>
      <c r="T9" s="319"/>
    </row>
    <row r="10" spans="1:20" s="13" customFormat="1" ht="18.75" customHeight="1" x14ac:dyDescent="0.2">
      <c r="A10" s="317" t="str">
        <f>'1. паспорт местоположение'!A9:C9</f>
        <v xml:space="preserve">Акционерное общество "Западная энергетическая компания" </v>
      </c>
      <c r="B10" s="317"/>
      <c r="C10" s="317"/>
      <c r="D10" s="317"/>
      <c r="E10" s="317"/>
      <c r="F10" s="317"/>
      <c r="G10" s="317"/>
      <c r="H10" s="317"/>
      <c r="I10" s="317"/>
      <c r="J10" s="317"/>
      <c r="K10" s="317"/>
      <c r="L10" s="317"/>
      <c r="M10" s="317"/>
      <c r="N10" s="317"/>
      <c r="O10" s="317"/>
      <c r="P10" s="317"/>
      <c r="Q10" s="317"/>
      <c r="R10" s="317"/>
      <c r="S10" s="317"/>
      <c r="T10" s="317"/>
    </row>
    <row r="11" spans="1:20" s="13" customFormat="1" ht="18.75" customHeight="1" x14ac:dyDescent="0.2">
      <c r="A11" s="323" t="s">
        <v>6</v>
      </c>
      <c r="B11" s="323"/>
      <c r="C11" s="323"/>
      <c r="D11" s="323"/>
      <c r="E11" s="323"/>
      <c r="F11" s="323"/>
      <c r="G11" s="323"/>
      <c r="H11" s="323"/>
      <c r="I11" s="323"/>
      <c r="J11" s="323"/>
      <c r="K11" s="323"/>
      <c r="L11" s="323"/>
      <c r="M11" s="323"/>
      <c r="N11" s="323"/>
      <c r="O11" s="323"/>
      <c r="P11" s="323"/>
      <c r="Q11" s="323"/>
      <c r="R11" s="323"/>
      <c r="S11" s="323"/>
      <c r="T11" s="323"/>
    </row>
    <row r="12" spans="1:20" s="13" customFormat="1" ht="18.75" x14ac:dyDescent="0.2">
      <c r="A12" s="319"/>
      <c r="B12" s="319"/>
      <c r="C12" s="319"/>
      <c r="D12" s="319"/>
      <c r="E12" s="319"/>
      <c r="F12" s="319"/>
      <c r="G12" s="319"/>
      <c r="H12" s="319"/>
      <c r="I12" s="319"/>
      <c r="J12" s="319"/>
      <c r="K12" s="319"/>
      <c r="L12" s="319"/>
      <c r="M12" s="319"/>
      <c r="N12" s="319"/>
      <c r="O12" s="319"/>
      <c r="P12" s="319"/>
      <c r="Q12" s="319"/>
      <c r="R12" s="319"/>
      <c r="S12" s="319"/>
      <c r="T12" s="319"/>
    </row>
    <row r="13" spans="1:20" s="13" customFormat="1" ht="18.75" customHeight="1" x14ac:dyDescent="0.2">
      <c r="A13" s="317" t="str">
        <f>'1. паспорт местоположение'!A12:C12</f>
        <v>M 22-28</v>
      </c>
      <c r="B13" s="317"/>
      <c r="C13" s="317"/>
      <c r="D13" s="317"/>
      <c r="E13" s="317"/>
      <c r="F13" s="317"/>
      <c r="G13" s="317"/>
      <c r="H13" s="317"/>
      <c r="I13" s="317"/>
      <c r="J13" s="317"/>
      <c r="K13" s="317"/>
      <c r="L13" s="317"/>
      <c r="M13" s="317"/>
      <c r="N13" s="317"/>
      <c r="O13" s="317"/>
      <c r="P13" s="317"/>
      <c r="Q13" s="317"/>
      <c r="R13" s="317"/>
      <c r="S13" s="317"/>
      <c r="T13" s="317"/>
    </row>
    <row r="14" spans="1:20" s="13" customFormat="1" ht="18.75" customHeight="1" x14ac:dyDescent="0.2">
      <c r="A14" s="323" t="s">
        <v>5</v>
      </c>
      <c r="B14" s="323"/>
      <c r="C14" s="323"/>
      <c r="D14" s="323"/>
      <c r="E14" s="323"/>
      <c r="F14" s="323"/>
      <c r="G14" s="323"/>
      <c r="H14" s="323"/>
      <c r="I14" s="323"/>
      <c r="J14" s="323"/>
      <c r="K14" s="323"/>
      <c r="L14" s="323"/>
      <c r="M14" s="323"/>
      <c r="N14" s="323"/>
      <c r="O14" s="323"/>
      <c r="P14" s="323"/>
      <c r="Q14" s="323"/>
      <c r="R14" s="323"/>
      <c r="S14" s="323"/>
      <c r="T14" s="323"/>
    </row>
    <row r="15" spans="1:20" s="13"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103" customFormat="1" x14ac:dyDescent="0.2">
      <c r="A16" s="317" t="str">
        <f>'1. паспорт местоположение'!A15:C15</f>
        <v>Приобретение ВЛ-15кВ № 15-298 г. Светлый</v>
      </c>
      <c r="B16" s="317"/>
      <c r="C16" s="317"/>
      <c r="D16" s="317"/>
      <c r="E16" s="317"/>
      <c r="F16" s="317"/>
      <c r="G16" s="317"/>
      <c r="H16" s="317"/>
      <c r="I16" s="317"/>
      <c r="J16" s="317"/>
      <c r="K16" s="317"/>
      <c r="L16" s="317"/>
      <c r="M16" s="317"/>
      <c r="N16" s="317"/>
      <c r="O16" s="317"/>
      <c r="P16" s="317"/>
      <c r="Q16" s="317"/>
      <c r="R16" s="317"/>
      <c r="S16" s="317"/>
      <c r="T16" s="317"/>
    </row>
    <row r="17" spans="1:20" s="103" customFormat="1" ht="15" customHeight="1" x14ac:dyDescent="0.2">
      <c r="A17" s="323" t="s">
        <v>4</v>
      </c>
      <c r="B17" s="323"/>
      <c r="C17" s="323"/>
      <c r="D17" s="323"/>
      <c r="E17" s="323"/>
      <c r="F17" s="323"/>
      <c r="G17" s="323"/>
      <c r="H17" s="323"/>
      <c r="I17" s="323"/>
      <c r="J17" s="323"/>
      <c r="K17" s="323"/>
      <c r="L17" s="323"/>
      <c r="M17" s="323"/>
      <c r="N17" s="323"/>
      <c r="O17" s="323"/>
      <c r="P17" s="323"/>
      <c r="Q17" s="323"/>
      <c r="R17" s="323"/>
      <c r="S17" s="323"/>
      <c r="T17" s="323"/>
    </row>
    <row r="18" spans="1:20" s="10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24"/>
    </row>
    <row r="19" spans="1:20" s="103" customFormat="1" ht="15" customHeight="1" x14ac:dyDescent="0.2">
      <c r="A19" s="341" t="s">
        <v>387</v>
      </c>
      <c r="B19" s="341"/>
      <c r="C19" s="341"/>
      <c r="D19" s="341"/>
      <c r="E19" s="341"/>
      <c r="F19" s="341"/>
      <c r="G19" s="341"/>
      <c r="H19" s="341"/>
      <c r="I19" s="341"/>
      <c r="J19" s="341"/>
      <c r="K19" s="341"/>
      <c r="L19" s="341"/>
      <c r="M19" s="341"/>
      <c r="N19" s="341"/>
      <c r="O19" s="341"/>
      <c r="P19" s="341"/>
      <c r="Q19" s="341"/>
      <c r="R19" s="341"/>
      <c r="S19" s="341"/>
      <c r="T19" s="341"/>
    </row>
    <row r="20" spans="1:20" s="26"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20" ht="46.5" customHeight="1" x14ac:dyDescent="0.25">
      <c r="A21" s="335" t="s">
        <v>3</v>
      </c>
      <c r="B21" s="328" t="s">
        <v>200</v>
      </c>
      <c r="C21" s="329"/>
      <c r="D21" s="332" t="s">
        <v>116</v>
      </c>
      <c r="E21" s="328" t="s">
        <v>415</v>
      </c>
      <c r="F21" s="329"/>
      <c r="G21" s="328" t="s">
        <v>239</v>
      </c>
      <c r="H21" s="329"/>
      <c r="I21" s="328" t="s">
        <v>115</v>
      </c>
      <c r="J21" s="329"/>
      <c r="K21" s="332" t="s">
        <v>114</v>
      </c>
      <c r="L21" s="328" t="s">
        <v>113</v>
      </c>
      <c r="M21" s="329"/>
      <c r="N21" s="328" t="s">
        <v>444</v>
      </c>
      <c r="O21" s="329"/>
      <c r="P21" s="332" t="s">
        <v>112</v>
      </c>
      <c r="Q21" s="338" t="s">
        <v>111</v>
      </c>
      <c r="R21" s="339"/>
      <c r="S21" s="338" t="s">
        <v>110</v>
      </c>
      <c r="T21" s="340"/>
    </row>
    <row r="22" spans="1:20" ht="204.75" customHeight="1" x14ac:dyDescent="0.25">
      <c r="A22" s="336"/>
      <c r="B22" s="330"/>
      <c r="C22" s="331"/>
      <c r="D22" s="334"/>
      <c r="E22" s="330"/>
      <c r="F22" s="331"/>
      <c r="G22" s="330"/>
      <c r="H22" s="331"/>
      <c r="I22" s="330"/>
      <c r="J22" s="331"/>
      <c r="K22" s="333"/>
      <c r="L22" s="330"/>
      <c r="M22" s="331"/>
      <c r="N22" s="330"/>
      <c r="O22" s="331"/>
      <c r="P22" s="333"/>
      <c r="Q22" s="53" t="s">
        <v>109</v>
      </c>
      <c r="R22" s="53" t="s">
        <v>386</v>
      </c>
      <c r="S22" s="53" t="s">
        <v>108</v>
      </c>
      <c r="T22" s="53" t="s">
        <v>107</v>
      </c>
    </row>
    <row r="23" spans="1:20" ht="51.75" customHeight="1" x14ac:dyDescent="0.25">
      <c r="A23" s="337"/>
      <c r="B23" s="53" t="s">
        <v>105</v>
      </c>
      <c r="C23" s="53" t="s">
        <v>106</v>
      </c>
      <c r="D23" s="333"/>
      <c r="E23" s="53" t="s">
        <v>105</v>
      </c>
      <c r="F23" s="53" t="s">
        <v>106</v>
      </c>
      <c r="G23" s="53" t="s">
        <v>105</v>
      </c>
      <c r="H23" s="53" t="s">
        <v>106</v>
      </c>
      <c r="I23" s="53" t="s">
        <v>105</v>
      </c>
      <c r="J23" s="53" t="s">
        <v>106</v>
      </c>
      <c r="K23" s="53" t="s">
        <v>105</v>
      </c>
      <c r="L23" s="53" t="s">
        <v>105</v>
      </c>
      <c r="M23" s="53" t="s">
        <v>106</v>
      </c>
      <c r="N23" s="53" t="s">
        <v>105</v>
      </c>
      <c r="O23" s="53" t="s">
        <v>106</v>
      </c>
      <c r="P23" s="100" t="s">
        <v>105</v>
      </c>
      <c r="Q23" s="53" t="s">
        <v>105</v>
      </c>
      <c r="R23" s="53" t="s">
        <v>105</v>
      </c>
      <c r="S23" s="53" t="s">
        <v>105</v>
      </c>
      <c r="T23" s="53" t="s">
        <v>105</v>
      </c>
    </row>
    <row r="24" spans="1:20"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20" s="26" customFormat="1" x14ac:dyDescent="0.25">
      <c r="A25" s="180"/>
      <c r="B25" s="180"/>
      <c r="C25" s="180"/>
      <c r="D25" s="180"/>
      <c r="E25" s="180"/>
      <c r="F25" s="180"/>
      <c r="G25" s="180"/>
      <c r="H25" s="180"/>
      <c r="I25" s="180"/>
      <c r="J25" s="182"/>
      <c r="K25" s="180"/>
      <c r="L25" s="180"/>
      <c r="M25" s="180"/>
      <c r="N25" s="180"/>
      <c r="O25" s="180" t="e">
        <f>SUM(#REF!)</f>
        <v>#REF!</v>
      </c>
      <c r="P25" s="180"/>
      <c r="Q25" s="180"/>
      <c r="R25" s="180"/>
      <c r="S25" s="180"/>
      <c r="T25" s="180"/>
    </row>
    <row r="26" spans="1:20" s="26" customFormat="1" x14ac:dyDescent="0.25">
      <c r="A26" s="180"/>
      <c r="B26" s="180"/>
      <c r="C26" s="180"/>
      <c r="D26" s="180"/>
      <c r="E26" s="180"/>
      <c r="F26" s="180"/>
      <c r="G26" s="180"/>
      <c r="H26" s="180"/>
      <c r="I26" s="180"/>
      <c r="J26" s="182"/>
      <c r="K26" s="180"/>
      <c r="L26" s="180"/>
      <c r="M26" s="180"/>
      <c r="N26" s="180"/>
      <c r="O26" s="180"/>
      <c r="P26" s="180"/>
      <c r="Q26" s="180"/>
      <c r="R26" s="180"/>
      <c r="S26" s="180"/>
      <c r="T26" s="180"/>
    </row>
    <row r="27" spans="1:20" s="26" customFormat="1" x14ac:dyDescent="0.25">
      <c r="A27" s="180"/>
      <c r="B27" s="180"/>
      <c r="C27" s="180"/>
      <c r="D27" s="180"/>
      <c r="E27" s="180"/>
      <c r="F27" s="180"/>
      <c r="G27" s="180"/>
      <c r="H27" s="180"/>
      <c r="I27" s="180"/>
      <c r="J27" s="182"/>
      <c r="K27" s="180"/>
      <c r="L27" s="180"/>
      <c r="M27" s="180"/>
      <c r="N27" s="180"/>
      <c r="O27" s="180"/>
      <c r="P27" s="180"/>
      <c r="Q27" s="180"/>
      <c r="R27" s="180"/>
      <c r="S27" s="180"/>
      <c r="T27" s="180"/>
    </row>
    <row r="28" spans="1:20" s="26" customFormat="1" x14ac:dyDescent="0.25">
      <c r="A28" s="180"/>
      <c r="B28" s="180"/>
      <c r="C28" s="180"/>
      <c r="D28" s="180"/>
      <c r="E28" s="180"/>
      <c r="F28" s="180"/>
      <c r="G28" s="180"/>
      <c r="H28" s="180"/>
      <c r="I28" s="180"/>
      <c r="J28" s="182"/>
      <c r="K28" s="180"/>
      <c r="L28" s="180"/>
      <c r="M28" s="180"/>
      <c r="N28" s="180"/>
      <c r="O28" s="180"/>
      <c r="P28" s="180"/>
      <c r="Q28" s="180"/>
      <c r="R28" s="180"/>
      <c r="S28" s="180"/>
      <c r="T28" s="180"/>
    </row>
    <row r="29" spans="1:20" s="26" customFormat="1" x14ac:dyDescent="0.25">
      <c r="A29" s="180"/>
      <c r="B29" s="180"/>
      <c r="C29" s="180"/>
      <c r="D29" s="180"/>
      <c r="E29" s="180"/>
      <c r="F29" s="180"/>
      <c r="G29" s="180"/>
      <c r="H29" s="180"/>
      <c r="I29" s="180"/>
      <c r="J29" s="182"/>
      <c r="K29" s="180"/>
      <c r="L29" s="180"/>
      <c r="M29" s="180"/>
      <c r="N29" s="180"/>
      <c r="O29" s="180"/>
      <c r="P29" s="180"/>
      <c r="Q29" s="180"/>
      <c r="R29" s="180"/>
      <c r="S29" s="180"/>
      <c r="T29" s="180"/>
    </row>
    <row r="30" spans="1:20" s="26" customFormat="1" x14ac:dyDescent="0.25">
      <c r="A30" s="180"/>
      <c r="B30" s="180"/>
      <c r="C30" s="180"/>
      <c r="D30" s="180"/>
      <c r="E30" s="180"/>
      <c r="F30" s="180"/>
      <c r="G30" s="180"/>
      <c r="H30" s="180"/>
      <c r="I30" s="180"/>
      <c r="J30" s="182"/>
      <c r="K30" s="180"/>
      <c r="L30" s="180"/>
      <c r="M30" s="180"/>
      <c r="N30" s="180"/>
      <c r="O30" s="180"/>
      <c r="P30" s="180"/>
      <c r="Q30" s="180"/>
      <c r="R30" s="180"/>
      <c r="S30" s="180"/>
      <c r="T30" s="180"/>
    </row>
    <row r="31" spans="1:20" s="26" customFormat="1" x14ac:dyDescent="0.25">
      <c r="A31" s="180"/>
      <c r="B31" s="180"/>
      <c r="C31" s="180"/>
      <c r="D31" s="180"/>
      <c r="E31" s="180"/>
      <c r="F31" s="180"/>
      <c r="G31" s="180"/>
      <c r="H31" s="180"/>
      <c r="I31" s="180"/>
      <c r="J31" s="182"/>
      <c r="K31" s="180"/>
      <c r="L31" s="180"/>
      <c r="M31" s="180"/>
      <c r="N31" s="180"/>
      <c r="O31" s="180"/>
      <c r="P31" s="180"/>
      <c r="Q31" s="180"/>
      <c r="R31" s="180"/>
      <c r="S31" s="180"/>
      <c r="T31" s="180"/>
    </row>
    <row r="32" spans="1:20" s="26" customFormat="1" x14ac:dyDescent="0.25">
      <c r="A32" s="180"/>
      <c r="B32" s="180"/>
      <c r="C32" s="180"/>
      <c r="D32" s="180"/>
      <c r="E32" s="180"/>
      <c r="F32" s="180"/>
      <c r="G32" s="180"/>
      <c r="H32" s="180"/>
      <c r="I32" s="180"/>
      <c r="J32" s="182"/>
      <c r="K32" s="180"/>
      <c r="L32" s="180"/>
      <c r="M32" s="180"/>
      <c r="N32" s="180"/>
      <c r="O32" s="180"/>
      <c r="P32" s="180"/>
      <c r="Q32" s="180"/>
      <c r="R32" s="180"/>
      <c r="S32" s="180"/>
      <c r="T32" s="180"/>
    </row>
    <row r="33" spans="1:20" s="26" customFormat="1" x14ac:dyDescent="0.25">
      <c r="A33" s="180"/>
      <c r="B33" s="180"/>
      <c r="C33" s="180"/>
      <c r="D33" s="180"/>
      <c r="E33" s="180"/>
      <c r="F33" s="180"/>
      <c r="G33" s="180"/>
      <c r="H33" s="180"/>
      <c r="I33" s="180"/>
      <c r="J33" s="182"/>
      <c r="K33" s="180"/>
      <c r="L33" s="180"/>
      <c r="M33" s="180"/>
      <c r="N33" s="180"/>
      <c r="O33" s="180"/>
      <c r="P33" s="180"/>
      <c r="Q33" s="180"/>
      <c r="R33" s="180"/>
      <c r="S33" s="180"/>
      <c r="T33" s="180"/>
    </row>
    <row r="34" spans="1:20" s="26" customFormat="1" x14ac:dyDescent="0.25">
      <c r="A34" s="180"/>
      <c r="B34" s="180"/>
      <c r="C34" s="180"/>
      <c r="D34" s="180"/>
      <c r="E34" s="180"/>
      <c r="F34" s="180"/>
      <c r="G34" s="180"/>
      <c r="H34" s="180"/>
      <c r="I34" s="180"/>
      <c r="J34" s="182"/>
      <c r="K34" s="180"/>
      <c r="L34" s="180"/>
      <c r="M34" s="180"/>
      <c r="N34" s="180"/>
      <c r="O34" s="180"/>
      <c r="P34" s="180"/>
      <c r="Q34" s="180"/>
      <c r="R34" s="180"/>
      <c r="S34" s="180"/>
      <c r="T34" s="180"/>
    </row>
    <row r="35" spans="1:20" s="26" customFormat="1" x14ac:dyDescent="0.25">
      <c r="A35" s="180"/>
      <c r="B35" s="180"/>
      <c r="C35" s="180"/>
      <c r="D35" s="180"/>
      <c r="E35" s="180"/>
      <c r="F35" s="180"/>
      <c r="G35" s="180"/>
      <c r="H35" s="180"/>
      <c r="I35" s="180"/>
      <c r="J35" s="182"/>
      <c r="K35" s="180"/>
      <c r="L35" s="180"/>
      <c r="M35" s="180"/>
      <c r="N35" s="180"/>
      <c r="O35" s="180"/>
      <c r="P35" s="180"/>
      <c r="Q35" s="180"/>
      <c r="R35" s="180"/>
      <c r="S35" s="180"/>
      <c r="T35" s="180"/>
    </row>
    <row r="36" spans="1:20" s="26" customFormat="1" x14ac:dyDescent="0.25">
      <c r="A36" s="180"/>
      <c r="B36" s="180"/>
      <c r="C36" s="180"/>
      <c r="D36" s="180"/>
      <c r="E36" s="180"/>
      <c r="F36" s="180"/>
      <c r="G36" s="180"/>
      <c r="H36" s="180"/>
      <c r="I36" s="180"/>
      <c r="J36" s="182"/>
      <c r="K36" s="180"/>
      <c r="L36" s="180"/>
      <c r="M36" s="180"/>
      <c r="N36" s="180"/>
      <c r="O36" s="180"/>
      <c r="P36" s="180"/>
      <c r="Q36" s="180"/>
      <c r="R36" s="180"/>
      <c r="S36" s="180"/>
      <c r="T36" s="180"/>
    </row>
    <row r="37" spans="1:20" s="26" customFormat="1" x14ac:dyDescent="0.25">
      <c r="A37" s="180"/>
      <c r="B37" s="180"/>
      <c r="C37" s="180"/>
      <c r="D37" s="180"/>
      <c r="E37" s="180"/>
      <c r="F37" s="180"/>
      <c r="G37" s="180"/>
      <c r="H37" s="180"/>
      <c r="I37" s="180"/>
      <c r="J37" s="182"/>
      <c r="K37" s="180"/>
      <c r="L37" s="180"/>
      <c r="M37" s="180"/>
      <c r="N37" s="180"/>
      <c r="O37" s="180"/>
      <c r="P37" s="180"/>
      <c r="Q37" s="180"/>
      <c r="R37" s="180"/>
      <c r="S37" s="180"/>
      <c r="T37" s="180"/>
    </row>
    <row r="38" spans="1:20" s="26" customFormat="1" x14ac:dyDescent="0.25">
      <c r="A38" s="180"/>
      <c r="B38" s="180"/>
      <c r="C38" s="180"/>
      <c r="D38" s="180"/>
      <c r="E38" s="180"/>
      <c r="F38" s="180"/>
      <c r="G38" s="180"/>
      <c r="H38" s="180"/>
      <c r="I38" s="180"/>
      <c r="J38" s="182"/>
      <c r="K38" s="180"/>
      <c r="L38" s="180"/>
      <c r="M38" s="180"/>
      <c r="N38" s="180"/>
      <c r="O38" s="180"/>
      <c r="P38" s="180"/>
      <c r="Q38" s="180"/>
      <c r="R38" s="180"/>
      <c r="S38" s="180"/>
      <c r="T38" s="180"/>
    </row>
    <row r="39" spans="1:20" s="26" customFormat="1" x14ac:dyDescent="0.25">
      <c r="A39" s="180"/>
      <c r="B39" s="180"/>
      <c r="C39" s="180"/>
      <c r="D39" s="180"/>
      <c r="E39" s="180"/>
      <c r="F39" s="180"/>
      <c r="G39" s="180"/>
      <c r="H39" s="180"/>
      <c r="I39" s="180"/>
      <c r="J39" s="182"/>
      <c r="K39" s="180"/>
      <c r="L39" s="180"/>
      <c r="M39" s="180"/>
      <c r="N39" s="180"/>
      <c r="O39" s="180"/>
      <c r="P39" s="180"/>
      <c r="Q39" s="180"/>
      <c r="R39" s="180"/>
      <c r="S39" s="180"/>
      <c r="T39" s="180"/>
    </row>
    <row r="40" spans="1:20" s="26" customFormat="1" x14ac:dyDescent="0.25">
      <c r="A40" s="180"/>
      <c r="B40" s="180"/>
      <c r="C40" s="180"/>
      <c r="D40" s="180"/>
      <c r="E40" s="180"/>
      <c r="F40" s="180"/>
      <c r="G40" s="180"/>
      <c r="H40" s="180"/>
      <c r="I40" s="180"/>
      <c r="J40" s="182"/>
      <c r="K40" s="180"/>
      <c r="L40" s="180"/>
      <c r="M40" s="180"/>
      <c r="N40" s="180"/>
      <c r="O40" s="180"/>
      <c r="P40" s="180"/>
      <c r="Q40" s="180"/>
      <c r="R40" s="180"/>
      <c r="S40" s="180"/>
      <c r="T40" s="180"/>
    </row>
    <row r="41" spans="1:20" s="26" customFormat="1" x14ac:dyDescent="0.25">
      <c r="A41" s="180"/>
      <c r="B41" s="180"/>
      <c r="C41" s="180"/>
      <c r="D41" s="180"/>
      <c r="E41" s="180"/>
      <c r="F41" s="180"/>
      <c r="G41" s="180"/>
      <c r="H41" s="180"/>
      <c r="I41" s="180"/>
      <c r="J41" s="182"/>
      <c r="K41" s="180"/>
      <c r="L41" s="180"/>
      <c r="M41" s="180"/>
      <c r="N41" s="180"/>
      <c r="O41" s="180"/>
      <c r="P41" s="180"/>
      <c r="Q41" s="180"/>
      <c r="R41" s="180"/>
      <c r="S41" s="180"/>
      <c r="T41" s="180"/>
    </row>
    <row r="42" spans="1:20" s="26" customFormat="1" x14ac:dyDescent="0.25">
      <c r="A42" s="180"/>
      <c r="B42" s="180"/>
      <c r="C42" s="180"/>
      <c r="D42" s="180"/>
      <c r="E42" s="180"/>
      <c r="F42" s="181"/>
      <c r="G42" s="181"/>
      <c r="H42" s="181"/>
      <c r="I42" s="181"/>
      <c r="J42" s="182"/>
      <c r="K42" s="180"/>
      <c r="L42" s="180"/>
      <c r="M42" s="180"/>
      <c r="N42" s="180"/>
      <c r="O42" s="180"/>
      <c r="P42" s="180"/>
      <c r="Q42" s="180"/>
      <c r="R42" s="180"/>
      <c r="S42" s="180"/>
      <c r="T42" s="180"/>
    </row>
    <row r="43" spans="1:20" s="26" customFormat="1" x14ac:dyDescent="0.25">
      <c r="A43" s="180"/>
      <c r="B43" s="180"/>
      <c r="C43" s="180"/>
      <c r="D43" s="180"/>
      <c r="E43" s="180"/>
      <c r="F43" s="181"/>
      <c r="G43" s="181"/>
      <c r="H43" s="181"/>
      <c r="I43" s="181"/>
      <c r="J43" s="182"/>
      <c r="K43" s="180"/>
      <c r="L43" s="180"/>
      <c r="M43" s="180"/>
      <c r="N43" s="180"/>
      <c r="O43" s="180"/>
      <c r="P43" s="180"/>
      <c r="Q43" s="180"/>
      <c r="R43" s="180"/>
      <c r="S43" s="180"/>
      <c r="T43" s="180"/>
    </row>
    <row r="44" spans="1:20" s="26" customFormat="1" x14ac:dyDescent="0.25">
      <c r="A44" s="180"/>
      <c r="B44" s="180"/>
      <c r="C44" s="180"/>
      <c r="D44" s="180"/>
      <c r="E44" s="180"/>
      <c r="F44" s="181"/>
      <c r="G44" s="181"/>
      <c r="H44" s="181"/>
      <c r="I44" s="181"/>
      <c r="J44" s="182"/>
      <c r="K44" s="180"/>
      <c r="L44" s="180"/>
      <c r="M44" s="180"/>
      <c r="N44" s="180"/>
      <c r="O44" s="180"/>
      <c r="P44" s="180"/>
      <c r="Q44" s="180"/>
      <c r="R44" s="180"/>
      <c r="S44" s="180"/>
      <c r="T44" s="180"/>
    </row>
    <row r="45" spans="1:20" s="26" customFormat="1" x14ac:dyDescent="0.25">
      <c r="A45" s="180"/>
      <c r="B45" s="180"/>
      <c r="C45" s="180"/>
      <c r="D45" s="180"/>
      <c r="E45" s="180"/>
      <c r="F45" s="181"/>
      <c r="G45" s="181"/>
      <c r="H45" s="181"/>
      <c r="I45" s="181"/>
      <c r="J45" s="182"/>
      <c r="K45" s="180"/>
      <c r="L45" s="180"/>
      <c r="M45" s="180"/>
      <c r="N45" s="180"/>
      <c r="O45" s="180"/>
      <c r="P45" s="180"/>
      <c r="Q45" s="180"/>
      <c r="R45" s="180"/>
      <c r="S45" s="180"/>
      <c r="T45" s="180"/>
    </row>
    <row r="46" spans="1:20" s="26" customFormat="1" x14ac:dyDescent="0.25">
      <c r="A46" s="180"/>
      <c r="B46" s="180"/>
      <c r="C46" s="180"/>
      <c r="D46" s="180"/>
      <c r="E46" s="180"/>
      <c r="F46" s="181"/>
      <c r="G46" s="181"/>
      <c r="H46" s="181"/>
      <c r="I46" s="181"/>
      <c r="J46" s="182"/>
      <c r="K46" s="180"/>
      <c r="L46" s="180"/>
      <c r="M46" s="180"/>
      <c r="N46" s="180"/>
      <c r="O46" s="180"/>
      <c r="P46" s="180"/>
      <c r="Q46" s="180"/>
      <c r="R46" s="180"/>
      <c r="S46" s="180"/>
      <c r="T46" s="180"/>
    </row>
    <row r="47" spans="1:20" s="26" customFormat="1" x14ac:dyDescent="0.25">
      <c r="A47" s="180"/>
      <c r="B47" s="180"/>
      <c r="C47" s="180"/>
      <c r="D47" s="180"/>
      <c r="E47" s="180"/>
      <c r="F47" s="181"/>
      <c r="G47" s="181"/>
      <c r="H47" s="181"/>
      <c r="I47" s="181"/>
      <c r="J47" s="182"/>
      <c r="K47" s="180"/>
      <c r="L47" s="180"/>
      <c r="M47" s="180"/>
      <c r="N47" s="180"/>
      <c r="O47" s="180"/>
      <c r="P47" s="180"/>
      <c r="Q47" s="180"/>
      <c r="R47" s="180"/>
      <c r="S47" s="180"/>
      <c r="T47" s="180"/>
    </row>
    <row r="48" spans="1:20" s="29" customFormat="1" ht="12.75" x14ac:dyDescent="0.2"/>
    <row r="49" spans="2:113" s="29" customFormat="1" x14ac:dyDescent="0.25">
      <c r="B49" s="25" t="s">
        <v>104</v>
      </c>
      <c r="C49" s="25"/>
      <c r="D49" s="25"/>
      <c r="E49" s="25"/>
      <c r="F49" s="25"/>
      <c r="G49" s="25"/>
      <c r="H49" s="25"/>
      <c r="I49" s="25"/>
      <c r="J49" s="25"/>
      <c r="K49" s="25"/>
      <c r="L49" s="25"/>
      <c r="M49" s="25"/>
      <c r="N49" s="25"/>
      <c r="O49" s="25"/>
      <c r="P49" s="25"/>
      <c r="Q49" s="25"/>
      <c r="R49" s="25"/>
    </row>
    <row r="50" spans="2:113" x14ac:dyDescent="0.25">
      <c r="B50" s="327" t="s">
        <v>421</v>
      </c>
      <c r="C50" s="327"/>
      <c r="D50" s="327"/>
      <c r="E50" s="327"/>
      <c r="F50" s="327"/>
      <c r="G50" s="327"/>
      <c r="H50" s="327"/>
      <c r="I50" s="327"/>
      <c r="J50" s="327"/>
      <c r="K50" s="327"/>
      <c r="L50" s="327"/>
      <c r="M50" s="327"/>
      <c r="N50" s="327"/>
      <c r="O50" s="327"/>
      <c r="P50" s="327"/>
      <c r="Q50" s="327"/>
      <c r="R50" s="327"/>
    </row>
    <row r="52" spans="2:113" x14ac:dyDescent="0.25">
      <c r="B52" s="27" t="s">
        <v>385</v>
      </c>
      <c r="C52" s="27"/>
      <c r="D52" s="27"/>
      <c r="E52" s="27"/>
      <c r="H52" s="27"/>
      <c r="I52" s="27"/>
      <c r="J52" s="27"/>
      <c r="K52" s="27"/>
      <c r="L52" s="27"/>
      <c r="M52" s="27"/>
      <c r="N52" s="27"/>
      <c r="O52" s="27"/>
      <c r="P52" s="27"/>
      <c r="Q52" s="27"/>
      <c r="R52" s="27"/>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row>
    <row r="53" spans="2:113" x14ac:dyDescent="0.25">
      <c r="B53" s="27" t="s">
        <v>103</v>
      </c>
      <c r="C53" s="27"/>
      <c r="D53" s="27"/>
      <c r="E53" s="27"/>
      <c r="H53" s="27"/>
      <c r="I53" s="27"/>
      <c r="J53" s="27"/>
      <c r="K53" s="27"/>
      <c r="L53" s="27"/>
      <c r="M53" s="27"/>
      <c r="N53" s="27"/>
      <c r="O53" s="27"/>
      <c r="P53" s="27"/>
      <c r="Q53" s="27"/>
      <c r="R53" s="27"/>
    </row>
    <row r="54" spans="2:113" x14ac:dyDescent="0.25">
      <c r="B54" s="27" t="s">
        <v>102</v>
      </c>
      <c r="C54" s="27"/>
      <c r="D54" s="27"/>
      <c r="E54" s="27"/>
      <c r="H54" s="27"/>
      <c r="I54" s="27"/>
      <c r="J54" s="27"/>
      <c r="K54" s="27"/>
      <c r="L54" s="27"/>
      <c r="M54" s="27"/>
      <c r="N54" s="27"/>
      <c r="O54" s="27"/>
      <c r="P54" s="27"/>
      <c r="Q54" s="27"/>
      <c r="R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row>
    <row r="55" spans="2:113" x14ac:dyDescent="0.25">
      <c r="B55" s="27" t="s">
        <v>101</v>
      </c>
      <c r="C55" s="27"/>
      <c r="D55" s="27"/>
      <c r="E55" s="27"/>
      <c r="H55" s="27"/>
      <c r="I55" s="27"/>
      <c r="J55" s="27"/>
      <c r="K55" s="27"/>
      <c r="L55" s="27"/>
      <c r="M55" s="27"/>
      <c r="N55" s="27"/>
      <c r="O55" s="27"/>
      <c r="P55" s="27"/>
      <c r="Q55" s="27"/>
      <c r="R55" s="27"/>
      <c r="S55" s="27"/>
      <c r="T55" s="27"/>
      <c r="U55" s="27"/>
      <c r="V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row>
    <row r="56" spans="2:113" x14ac:dyDescent="0.25">
      <c r="B56" s="27" t="s">
        <v>100</v>
      </c>
      <c r="C56" s="27"/>
      <c r="D56" s="27"/>
      <c r="E56" s="27"/>
      <c r="H56" s="27"/>
      <c r="I56" s="27"/>
      <c r="J56" s="27"/>
      <c r="K56" s="27"/>
      <c r="L56" s="27"/>
      <c r="M56" s="27"/>
      <c r="N56" s="27"/>
      <c r="O56" s="27"/>
      <c r="P56" s="27"/>
      <c r="Q56" s="27"/>
      <c r="R56" s="27"/>
      <c r="S56" s="27"/>
      <c r="T56" s="27"/>
      <c r="U56" s="27"/>
      <c r="V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row>
    <row r="57" spans="2:113" x14ac:dyDescent="0.25">
      <c r="B57" s="27" t="s">
        <v>99</v>
      </c>
      <c r="C57" s="27"/>
      <c r="D57" s="27"/>
      <c r="E57" s="27"/>
      <c r="H57" s="27"/>
      <c r="I57" s="27"/>
      <c r="J57" s="27"/>
      <c r="K57" s="27"/>
      <c r="L57" s="27"/>
      <c r="M57" s="27"/>
      <c r="N57" s="27"/>
      <c r="O57" s="27"/>
      <c r="P57" s="27"/>
      <c r="Q57" s="27"/>
      <c r="R57" s="27"/>
      <c r="S57" s="27"/>
      <c r="T57" s="27"/>
      <c r="U57" s="27"/>
      <c r="V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row>
    <row r="58" spans="2:113" x14ac:dyDescent="0.25">
      <c r="B58" s="27" t="s">
        <v>98</v>
      </c>
      <c r="C58" s="27"/>
      <c r="D58" s="27"/>
      <c r="E58" s="27"/>
      <c r="H58" s="27"/>
      <c r="I58" s="27"/>
      <c r="J58" s="27"/>
      <c r="K58" s="27"/>
      <c r="L58" s="27"/>
      <c r="M58" s="27"/>
      <c r="N58" s="27"/>
      <c r="O58" s="27"/>
      <c r="P58" s="27"/>
      <c r="Q58" s="27"/>
      <c r="R58" s="27"/>
      <c r="S58" s="27"/>
      <c r="T58" s="27"/>
      <c r="U58" s="27"/>
      <c r="V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row>
    <row r="59" spans="2:113" x14ac:dyDescent="0.25">
      <c r="B59" s="27" t="s">
        <v>97</v>
      </c>
      <c r="C59" s="27"/>
      <c r="D59" s="27"/>
      <c r="E59" s="27"/>
      <c r="H59" s="27"/>
      <c r="I59" s="27"/>
      <c r="J59" s="27"/>
      <c r="K59" s="27"/>
      <c r="L59" s="27"/>
      <c r="M59" s="27"/>
      <c r="N59" s="27"/>
      <c r="O59" s="27"/>
      <c r="P59" s="27"/>
      <c r="Q59" s="27"/>
      <c r="R59" s="27"/>
      <c r="S59" s="27"/>
      <c r="T59" s="27"/>
      <c r="U59" s="27"/>
      <c r="V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row>
    <row r="60" spans="2:113" x14ac:dyDescent="0.25">
      <c r="B60" s="27" t="s">
        <v>96</v>
      </c>
      <c r="C60" s="27"/>
      <c r="D60" s="27"/>
      <c r="E60" s="27"/>
      <c r="H60" s="27"/>
      <c r="I60" s="27"/>
      <c r="J60" s="27"/>
      <c r="K60" s="27"/>
      <c r="L60" s="27"/>
      <c r="M60" s="27"/>
      <c r="N60" s="27"/>
      <c r="O60" s="27"/>
      <c r="P60" s="27"/>
      <c r="Q60" s="27"/>
      <c r="R60" s="27"/>
      <c r="S60" s="27"/>
      <c r="T60" s="27"/>
      <c r="U60" s="27"/>
      <c r="V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row>
    <row r="61" spans="2:113" x14ac:dyDescent="0.25">
      <c r="B61" s="27" t="s">
        <v>95</v>
      </c>
      <c r="C61" s="27"/>
      <c r="D61" s="27"/>
      <c r="E61" s="27"/>
      <c r="H61" s="27"/>
      <c r="I61" s="27"/>
      <c r="J61" s="27"/>
      <c r="K61" s="27"/>
      <c r="L61" s="27"/>
      <c r="M61" s="27"/>
      <c r="N61" s="27"/>
      <c r="O61" s="27"/>
      <c r="P61" s="27"/>
      <c r="Q61" s="27"/>
      <c r="R61" s="27"/>
      <c r="S61" s="27"/>
      <c r="T61" s="27"/>
      <c r="U61" s="27"/>
      <c r="V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row>
    <row r="62" spans="2:113" x14ac:dyDescent="0.25">
      <c r="Q62" s="27"/>
      <c r="R62" s="27"/>
      <c r="S62" s="27"/>
      <c r="T62" s="27"/>
      <c r="U62" s="27"/>
      <c r="V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row>
    <row r="63" spans="2:113" x14ac:dyDescent="0.25">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0:R50"/>
    <mergeCell ref="L21:M22"/>
    <mergeCell ref="N21:O22"/>
    <mergeCell ref="P21:P22"/>
    <mergeCell ref="D21:D23"/>
    <mergeCell ref="B21:C22"/>
  </mergeCells>
  <phoneticPr fontId="84"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E17" zoomScale="73" zoomScaleSheetLayoutView="73" workbookViewId="0">
      <selection activeCell="R25" sqref="R25"/>
    </sheetView>
  </sheetViews>
  <sheetFormatPr defaultColWidth="10.7109375" defaultRowHeight="15.75" x14ac:dyDescent="0.25"/>
  <cols>
    <col min="1" max="2" width="10.7109375" style="25"/>
    <col min="3" max="3" width="26.7109375" style="25" customWidth="1"/>
    <col min="4" max="4" width="11.5703125" style="25" customWidth="1"/>
    <col min="5" max="5" width="28.7109375" style="25" customWidth="1"/>
    <col min="6" max="6" width="12.7109375" style="25" customWidth="1"/>
    <col min="7" max="7" width="12.85546875" style="25" customWidth="1"/>
    <col min="8" max="8" width="8.7109375" style="25" customWidth="1"/>
    <col min="9" max="9" width="12.85546875" style="25" customWidth="1"/>
    <col min="10" max="10" width="20.140625" style="25" customWidth="1"/>
    <col min="11" max="11" width="11.140625" style="25" customWidth="1"/>
    <col min="12" max="12" width="8.85546875" style="25" customWidth="1"/>
    <col min="13" max="13" width="8.7109375" style="25" customWidth="1"/>
    <col min="14" max="14" width="26.570312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26.7109375" style="25" customWidth="1"/>
    <col min="22" max="22" width="14.42578125" style="25" customWidth="1"/>
    <col min="23" max="23" width="20.7109375" style="25" customWidth="1"/>
    <col min="24" max="24" width="24.5703125" style="25" customWidth="1"/>
    <col min="25" max="25" width="15.28515625" style="25" customWidth="1"/>
    <col min="26" max="26" width="18.5703125" style="25" customWidth="1"/>
    <col min="27" max="27" width="19.14062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13" customFormat="1" ht="18.75" customHeight="1" x14ac:dyDescent="0.3">
      <c r="AA2" s="11" t="s">
        <v>8</v>
      </c>
    </row>
    <row r="3" spans="1:27" s="13" customFormat="1" ht="18.75" customHeight="1" x14ac:dyDescent="0.3">
      <c r="AA3" s="11" t="s">
        <v>65</v>
      </c>
    </row>
    <row r="4" spans="1:27" s="13" customFormat="1" x14ac:dyDescent="0.2">
      <c r="E4" s="102"/>
    </row>
    <row r="5" spans="1:27" s="13" customFormat="1" x14ac:dyDescent="0.2">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3" customFormat="1" x14ac:dyDescent="0.2">
      <c r="A6" s="99"/>
      <c r="B6" s="99"/>
      <c r="C6" s="99"/>
      <c r="D6" s="99"/>
      <c r="E6" s="99"/>
      <c r="F6" s="99"/>
      <c r="G6" s="99"/>
      <c r="H6" s="99"/>
      <c r="I6" s="99"/>
      <c r="J6" s="99"/>
      <c r="K6" s="99"/>
      <c r="L6" s="99"/>
      <c r="M6" s="99"/>
      <c r="N6" s="99"/>
      <c r="O6" s="99"/>
      <c r="P6" s="99"/>
      <c r="Q6" s="99"/>
      <c r="R6" s="99"/>
      <c r="S6" s="99"/>
      <c r="T6" s="99"/>
    </row>
    <row r="7" spans="1:27" s="13" customFormat="1" ht="18.75" x14ac:dyDescent="0.2">
      <c r="E7" s="319" t="s">
        <v>7</v>
      </c>
      <c r="F7" s="319"/>
      <c r="G7" s="319"/>
      <c r="H7" s="319"/>
      <c r="I7" s="319"/>
      <c r="J7" s="319"/>
      <c r="K7" s="319"/>
      <c r="L7" s="319"/>
      <c r="M7" s="319"/>
      <c r="N7" s="319"/>
      <c r="O7" s="319"/>
      <c r="P7" s="319"/>
      <c r="Q7" s="319"/>
      <c r="R7" s="319"/>
      <c r="S7" s="319"/>
      <c r="T7" s="319"/>
      <c r="U7" s="319"/>
      <c r="V7" s="319"/>
      <c r="W7" s="319"/>
      <c r="X7" s="319"/>
      <c r="Y7" s="319"/>
    </row>
    <row r="8" spans="1:27" s="13" customFormat="1" ht="18.75" x14ac:dyDescent="0.2">
      <c r="E8" s="115"/>
      <c r="F8" s="115"/>
      <c r="G8" s="115"/>
      <c r="H8" s="115"/>
      <c r="I8" s="115"/>
      <c r="J8" s="115"/>
      <c r="K8" s="115"/>
      <c r="L8" s="115"/>
      <c r="M8" s="115"/>
      <c r="N8" s="115"/>
      <c r="O8" s="115"/>
      <c r="P8" s="115"/>
      <c r="Q8" s="115"/>
      <c r="R8" s="115"/>
      <c r="S8" s="104"/>
      <c r="T8" s="104"/>
      <c r="U8" s="104"/>
      <c r="V8" s="104"/>
      <c r="W8" s="104"/>
    </row>
    <row r="9" spans="1:27" s="13" customFormat="1" ht="18.75" customHeight="1" x14ac:dyDescent="0.2">
      <c r="E9" s="317" t="str">
        <f>'1. паспорт местоположение'!A9</f>
        <v xml:space="preserve">Акционерное общество "Западная энергетическая компания" </v>
      </c>
      <c r="F9" s="317"/>
      <c r="G9" s="317"/>
      <c r="H9" s="317"/>
      <c r="I9" s="317"/>
      <c r="J9" s="317"/>
      <c r="K9" s="317"/>
      <c r="L9" s="317"/>
      <c r="M9" s="317"/>
      <c r="N9" s="317"/>
      <c r="O9" s="317"/>
      <c r="P9" s="317"/>
      <c r="Q9" s="317"/>
      <c r="R9" s="317"/>
      <c r="S9" s="317"/>
      <c r="T9" s="317"/>
      <c r="U9" s="317"/>
      <c r="V9" s="317"/>
      <c r="W9" s="317"/>
      <c r="X9" s="317"/>
      <c r="Y9" s="317"/>
    </row>
    <row r="10" spans="1:27" s="13" customFormat="1" ht="18.75" customHeight="1" x14ac:dyDescent="0.2">
      <c r="E10" s="323" t="s">
        <v>6</v>
      </c>
      <c r="F10" s="323"/>
      <c r="G10" s="323"/>
      <c r="H10" s="323"/>
      <c r="I10" s="323"/>
      <c r="J10" s="323"/>
      <c r="K10" s="323"/>
      <c r="L10" s="323"/>
      <c r="M10" s="323"/>
      <c r="N10" s="323"/>
      <c r="O10" s="323"/>
      <c r="P10" s="323"/>
      <c r="Q10" s="323"/>
      <c r="R10" s="323"/>
      <c r="S10" s="323"/>
      <c r="T10" s="323"/>
      <c r="U10" s="323"/>
      <c r="V10" s="323"/>
      <c r="W10" s="323"/>
      <c r="X10" s="323"/>
      <c r="Y10" s="323"/>
    </row>
    <row r="11" spans="1:27" s="13" customFormat="1" ht="18.75" x14ac:dyDescent="0.2">
      <c r="E11" s="115"/>
      <c r="F11" s="115"/>
      <c r="G11" s="115"/>
      <c r="H11" s="115"/>
      <c r="I11" s="115"/>
      <c r="J11" s="115"/>
      <c r="K11" s="115"/>
      <c r="L11" s="115"/>
      <c r="M11" s="115"/>
      <c r="N11" s="115"/>
      <c r="O11" s="115"/>
      <c r="P11" s="115"/>
      <c r="Q11" s="115"/>
      <c r="R11" s="115"/>
      <c r="S11" s="104"/>
      <c r="T11" s="104"/>
      <c r="U11" s="104"/>
      <c r="V11" s="104"/>
      <c r="W11" s="104"/>
    </row>
    <row r="12" spans="1:27" s="13" customFormat="1" ht="18.75" customHeight="1" x14ac:dyDescent="0.2">
      <c r="E12" s="317" t="str">
        <f>'1. паспорт местоположение'!A12</f>
        <v>M 22-28</v>
      </c>
      <c r="F12" s="317"/>
      <c r="G12" s="317"/>
      <c r="H12" s="317"/>
      <c r="I12" s="317"/>
      <c r="J12" s="317"/>
      <c r="K12" s="317"/>
      <c r="L12" s="317"/>
      <c r="M12" s="317"/>
      <c r="N12" s="317"/>
      <c r="O12" s="317"/>
      <c r="P12" s="317"/>
      <c r="Q12" s="317"/>
      <c r="R12" s="317"/>
      <c r="S12" s="317"/>
      <c r="T12" s="317"/>
      <c r="U12" s="317"/>
      <c r="V12" s="317"/>
      <c r="W12" s="317"/>
      <c r="X12" s="317"/>
      <c r="Y12" s="317"/>
    </row>
    <row r="13" spans="1:27" s="13" customFormat="1" ht="18.75" customHeight="1" x14ac:dyDescent="0.2">
      <c r="E13" s="323" t="s">
        <v>5</v>
      </c>
      <c r="F13" s="323"/>
      <c r="G13" s="323"/>
      <c r="H13" s="323"/>
      <c r="I13" s="323"/>
      <c r="J13" s="323"/>
      <c r="K13" s="323"/>
      <c r="L13" s="323"/>
      <c r="M13" s="323"/>
      <c r="N13" s="323"/>
      <c r="O13" s="323"/>
      <c r="P13" s="323"/>
      <c r="Q13" s="323"/>
      <c r="R13" s="323"/>
      <c r="S13" s="323"/>
      <c r="T13" s="323"/>
      <c r="U13" s="323"/>
      <c r="V13" s="323"/>
      <c r="W13" s="323"/>
      <c r="X13" s="323"/>
      <c r="Y13" s="323"/>
    </row>
    <row r="14" spans="1:27" s="13" customFormat="1" ht="15.75" customHeight="1" x14ac:dyDescent="0.2">
      <c r="E14" s="105"/>
      <c r="F14" s="105"/>
      <c r="G14" s="105"/>
      <c r="H14" s="105"/>
      <c r="I14" s="105"/>
      <c r="J14" s="105"/>
      <c r="K14" s="105"/>
      <c r="L14" s="105"/>
      <c r="M14" s="105"/>
      <c r="N14" s="105"/>
      <c r="O14" s="105"/>
      <c r="P14" s="105"/>
      <c r="Q14" s="105"/>
      <c r="R14" s="105"/>
      <c r="S14" s="105"/>
      <c r="T14" s="105"/>
      <c r="U14" s="105"/>
      <c r="V14" s="105"/>
      <c r="W14" s="105"/>
    </row>
    <row r="15" spans="1:27" s="103" customFormat="1" x14ac:dyDescent="0.2">
      <c r="E15" s="317" t="str">
        <f>'1. паспорт местоположение'!A15</f>
        <v>Приобретение ВЛ-15кВ № 15-298 г. Светлый</v>
      </c>
      <c r="F15" s="317"/>
      <c r="G15" s="317"/>
      <c r="H15" s="317"/>
      <c r="I15" s="317"/>
      <c r="J15" s="317"/>
      <c r="K15" s="317"/>
      <c r="L15" s="317"/>
      <c r="M15" s="317"/>
      <c r="N15" s="317"/>
      <c r="O15" s="317"/>
      <c r="P15" s="317"/>
      <c r="Q15" s="317"/>
      <c r="R15" s="317"/>
      <c r="S15" s="317"/>
      <c r="T15" s="317"/>
      <c r="U15" s="317"/>
      <c r="V15" s="317"/>
      <c r="W15" s="317"/>
      <c r="X15" s="317"/>
      <c r="Y15" s="317"/>
    </row>
    <row r="16" spans="1:27" s="103" customFormat="1" ht="15" customHeight="1" x14ac:dyDescent="0.2">
      <c r="E16" s="323" t="s">
        <v>4</v>
      </c>
      <c r="F16" s="323"/>
      <c r="G16" s="323"/>
      <c r="H16" s="323"/>
      <c r="I16" s="323"/>
      <c r="J16" s="323"/>
      <c r="K16" s="323"/>
      <c r="L16" s="323"/>
      <c r="M16" s="323"/>
      <c r="N16" s="323"/>
      <c r="O16" s="323"/>
      <c r="P16" s="323"/>
      <c r="Q16" s="323"/>
      <c r="R16" s="323"/>
      <c r="S16" s="323"/>
      <c r="T16" s="323"/>
      <c r="U16" s="323"/>
      <c r="V16" s="323"/>
      <c r="W16" s="323"/>
      <c r="X16" s="323"/>
      <c r="Y16" s="323"/>
    </row>
    <row r="17" spans="1:27" s="103" customFormat="1" ht="15" customHeight="1" x14ac:dyDescent="0.2">
      <c r="E17" s="105"/>
      <c r="F17" s="105"/>
      <c r="G17" s="105"/>
      <c r="H17" s="105"/>
      <c r="I17" s="105"/>
      <c r="J17" s="105"/>
      <c r="K17" s="105"/>
      <c r="L17" s="105"/>
      <c r="M17" s="105"/>
      <c r="N17" s="105"/>
      <c r="O17" s="105"/>
      <c r="P17" s="105"/>
      <c r="Q17" s="105"/>
      <c r="R17" s="105"/>
      <c r="S17" s="105"/>
      <c r="T17" s="105"/>
      <c r="U17" s="105"/>
      <c r="V17" s="105"/>
      <c r="W17" s="105"/>
    </row>
    <row r="18" spans="1:27" s="103" customFormat="1" ht="15" customHeight="1" x14ac:dyDescent="0.2">
      <c r="E18" s="341"/>
      <c r="F18" s="341"/>
      <c r="G18" s="341"/>
      <c r="H18" s="341"/>
      <c r="I18" s="341"/>
      <c r="J18" s="341"/>
      <c r="K18" s="341"/>
      <c r="L18" s="341"/>
      <c r="M18" s="341"/>
      <c r="N18" s="341"/>
      <c r="O18" s="341"/>
      <c r="P18" s="341"/>
      <c r="Q18" s="341"/>
      <c r="R18" s="341"/>
      <c r="S18" s="341"/>
      <c r="T18" s="341"/>
      <c r="U18" s="341"/>
      <c r="V18" s="341"/>
      <c r="W18" s="341"/>
      <c r="X18" s="341"/>
      <c r="Y18" s="341"/>
    </row>
    <row r="19" spans="1:27" ht="25.5" customHeight="1" x14ac:dyDescent="0.25">
      <c r="A19" s="341" t="s">
        <v>389</v>
      </c>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26" customFormat="1" ht="21" customHeight="1" x14ac:dyDescent="0.25"/>
    <row r="21" spans="1:27" ht="15.75" customHeight="1" x14ac:dyDescent="0.25">
      <c r="A21" s="332" t="s">
        <v>3</v>
      </c>
      <c r="B21" s="328" t="s">
        <v>396</v>
      </c>
      <c r="C21" s="329"/>
      <c r="D21" s="328" t="s">
        <v>398</v>
      </c>
      <c r="E21" s="329"/>
      <c r="F21" s="338" t="s">
        <v>88</v>
      </c>
      <c r="G21" s="340"/>
      <c r="H21" s="340"/>
      <c r="I21" s="339"/>
      <c r="J21" s="332" t="s">
        <v>399</v>
      </c>
      <c r="K21" s="328" t="s">
        <v>400</v>
      </c>
      <c r="L21" s="329"/>
      <c r="M21" s="328" t="s">
        <v>401</v>
      </c>
      <c r="N21" s="329"/>
      <c r="O21" s="328" t="s">
        <v>388</v>
      </c>
      <c r="P21" s="329"/>
      <c r="Q21" s="328" t="s">
        <v>121</v>
      </c>
      <c r="R21" s="329"/>
      <c r="S21" s="332" t="s">
        <v>120</v>
      </c>
      <c r="T21" s="332" t="s">
        <v>402</v>
      </c>
      <c r="U21" s="332" t="s">
        <v>397</v>
      </c>
      <c r="V21" s="328" t="s">
        <v>119</v>
      </c>
      <c r="W21" s="329"/>
      <c r="X21" s="338" t="s">
        <v>111</v>
      </c>
      <c r="Y21" s="340"/>
      <c r="Z21" s="338" t="s">
        <v>110</v>
      </c>
      <c r="AA21" s="340"/>
    </row>
    <row r="22" spans="1:27" ht="216" customHeight="1" x14ac:dyDescent="0.25">
      <c r="A22" s="334"/>
      <c r="B22" s="330"/>
      <c r="C22" s="331"/>
      <c r="D22" s="330"/>
      <c r="E22" s="331"/>
      <c r="F22" s="338" t="s">
        <v>118</v>
      </c>
      <c r="G22" s="339"/>
      <c r="H22" s="338" t="s">
        <v>117</v>
      </c>
      <c r="I22" s="339"/>
      <c r="J22" s="333"/>
      <c r="K22" s="330"/>
      <c r="L22" s="331"/>
      <c r="M22" s="330"/>
      <c r="N22" s="331"/>
      <c r="O22" s="330"/>
      <c r="P22" s="331"/>
      <c r="Q22" s="330"/>
      <c r="R22" s="331"/>
      <c r="S22" s="333"/>
      <c r="T22" s="333"/>
      <c r="U22" s="333"/>
      <c r="V22" s="330"/>
      <c r="W22" s="331"/>
      <c r="X22" s="53" t="s">
        <v>109</v>
      </c>
      <c r="Y22" s="53" t="s">
        <v>386</v>
      </c>
      <c r="Z22" s="53" t="s">
        <v>108</v>
      </c>
      <c r="AA22" s="53" t="s">
        <v>107</v>
      </c>
    </row>
    <row r="23" spans="1:27" ht="60" customHeight="1" x14ac:dyDescent="0.25">
      <c r="A23" s="333"/>
      <c r="B23" s="100" t="s">
        <v>105</v>
      </c>
      <c r="C23" s="100"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53" t="s">
        <v>105</v>
      </c>
      <c r="AA23" s="53" t="s">
        <v>105</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x14ac:dyDescent="0.25">
      <c r="R25" s="25" t="e">
        <f>SUM(#REF!)</f>
        <v>#REF!</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SheetLayoutView="100" workbookViewId="0">
      <selection activeCell="C22" sqref="C22"/>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3" customFormat="1" ht="18.75" customHeight="1" x14ac:dyDescent="0.2">
      <c r="C1" s="20" t="s">
        <v>66</v>
      </c>
    </row>
    <row r="2" spans="1:29" s="13" customFormat="1" ht="18.75" customHeight="1" x14ac:dyDescent="0.3">
      <c r="C2" s="11" t="s">
        <v>8</v>
      </c>
    </row>
    <row r="3" spans="1:29" s="13" customFormat="1" ht="18.75" x14ac:dyDescent="0.3">
      <c r="A3" s="102"/>
      <c r="C3" s="11" t="s">
        <v>65</v>
      </c>
    </row>
    <row r="4" spans="1:29" s="13" customFormat="1" ht="18.75" x14ac:dyDescent="0.3">
      <c r="A4" s="102"/>
      <c r="C4" s="11"/>
    </row>
    <row r="5" spans="1:29" s="13" customFormat="1" ht="15.75" x14ac:dyDescent="0.2">
      <c r="A5" s="310" t="str">
        <f>'1. паспорт местоположение'!A5:C5</f>
        <v>Год раскрытия информации: 2023 год</v>
      </c>
      <c r="B5" s="310"/>
      <c r="C5" s="310"/>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3" customFormat="1" ht="18.75" x14ac:dyDescent="0.3">
      <c r="A6" s="102"/>
      <c r="G6" s="11"/>
    </row>
    <row r="7" spans="1:29" s="13" customFormat="1" ht="18.75" x14ac:dyDescent="0.2">
      <c r="A7" s="319" t="s">
        <v>7</v>
      </c>
      <c r="B7" s="319"/>
      <c r="C7" s="319"/>
      <c r="D7" s="104"/>
      <c r="E7" s="104"/>
      <c r="F7" s="104"/>
      <c r="G7" s="104"/>
      <c r="H7" s="104"/>
      <c r="I7" s="104"/>
      <c r="J7" s="104"/>
      <c r="K7" s="104"/>
      <c r="L7" s="104"/>
      <c r="M7" s="104"/>
      <c r="N7" s="104"/>
      <c r="O7" s="104"/>
      <c r="P7" s="104"/>
      <c r="Q7" s="104"/>
      <c r="R7" s="104"/>
      <c r="S7" s="104"/>
      <c r="T7" s="104"/>
      <c r="U7" s="104"/>
    </row>
    <row r="8" spans="1:29" s="13" customFormat="1" ht="18.75" x14ac:dyDescent="0.2">
      <c r="A8" s="319"/>
      <c r="B8" s="319"/>
      <c r="C8" s="319"/>
      <c r="D8" s="115"/>
      <c r="E8" s="115"/>
      <c r="F8" s="115"/>
      <c r="G8" s="115"/>
      <c r="H8" s="104"/>
      <c r="I8" s="104"/>
      <c r="J8" s="104"/>
      <c r="K8" s="104"/>
      <c r="L8" s="104"/>
      <c r="M8" s="104"/>
      <c r="N8" s="104"/>
      <c r="O8" s="104"/>
      <c r="P8" s="104"/>
      <c r="Q8" s="104"/>
      <c r="R8" s="104"/>
      <c r="S8" s="104"/>
      <c r="T8" s="104"/>
      <c r="U8" s="104"/>
    </row>
    <row r="9" spans="1:29" s="13" customFormat="1" ht="18.75" x14ac:dyDescent="0.2">
      <c r="A9" s="317" t="str">
        <f>'1. паспорт местоположение'!A9:C9</f>
        <v xml:space="preserve">Акционерное общество "Западная энергетическая компания" </v>
      </c>
      <c r="B9" s="317"/>
      <c r="C9" s="317"/>
      <c r="D9" s="106"/>
      <c r="E9" s="106"/>
      <c r="F9" s="106"/>
      <c r="G9" s="106"/>
      <c r="H9" s="104"/>
      <c r="I9" s="104"/>
      <c r="J9" s="104"/>
      <c r="K9" s="104"/>
      <c r="L9" s="104"/>
      <c r="M9" s="104"/>
      <c r="N9" s="104"/>
      <c r="O9" s="104"/>
      <c r="P9" s="104"/>
      <c r="Q9" s="104"/>
      <c r="R9" s="104"/>
      <c r="S9" s="104"/>
      <c r="T9" s="104"/>
      <c r="U9" s="104"/>
    </row>
    <row r="10" spans="1:29" s="13" customFormat="1" ht="18.75" x14ac:dyDescent="0.2">
      <c r="A10" s="323" t="s">
        <v>6</v>
      </c>
      <c r="B10" s="323"/>
      <c r="C10" s="323"/>
      <c r="D10" s="107"/>
      <c r="E10" s="107"/>
      <c r="F10" s="107"/>
      <c r="G10" s="107"/>
      <c r="H10" s="104"/>
      <c r="I10" s="104"/>
      <c r="J10" s="104"/>
      <c r="K10" s="104"/>
      <c r="L10" s="104"/>
      <c r="M10" s="104"/>
      <c r="N10" s="104"/>
      <c r="O10" s="104"/>
      <c r="P10" s="104"/>
      <c r="Q10" s="104"/>
      <c r="R10" s="104"/>
      <c r="S10" s="104"/>
      <c r="T10" s="104"/>
      <c r="U10" s="104"/>
    </row>
    <row r="11" spans="1:29" s="13" customFormat="1" ht="18.75" x14ac:dyDescent="0.2">
      <c r="A11" s="319"/>
      <c r="B11" s="319"/>
      <c r="C11" s="319"/>
      <c r="D11" s="115"/>
      <c r="E11" s="115"/>
      <c r="F11" s="115"/>
      <c r="G11" s="115"/>
      <c r="H11" s="104"/>
      <c r="I11" s="104"/>
      <c r="J11" s="104"/>
      <c r="K11" s="104"/>
      <c r="L11" s="104"/>
      <c r="M11" s="104"/>
      <c r="N11" s="104"/>
      <c r="O11" s="104"/>
      <c r="P11" s="104"/>
      <c r="Q11" s="104"/>
      <c r="R11" s="104"/>
      <c r="S11" s="104"/>
      <c r="T11" s="104"/>
      <c r="U11" s="104"/>
    </row>
    <row r="12" spans="1:29" s="13" customFormat="1" ht="18.75" x14ac:dyDescent="0.2">
      <c r="A12" s="317" t="str">
        <f>'1. паспорт местоположение'!A12:C12</f>
        <v>M 22-28</v>
      </c>
      <c r="B12" s="317"/>
      <c r="C12" s="317"/>
      <c r="D12" s="106"/>
      <c r="E12" s="106"/>
      <c r="F12" s="106"/>
      <c r="G12" s="106"/>
      <c r="H12" s="104"/>
      <c r="I12" s="104"/>
      <c r="J12" s="104"/>
      <c r="K12" s="104"/>
      <c r="L12" s="104"/>
      <c r="M12" s="104"/>
      <c r="N12" s="104"/>
      <c r="O12" s="104"/>
      <c r="P12" s="104"/>
      <c r="Q12" s="104"/>
      <c r="R12" s="104"/>
      <c r="S12" s="104"/>
      <c r="T12" s="104"/>
      <c r="U12" s="104"/>
    </row>
    <row r="13" spans="1:29" s="13" customFormat="1" ht="18.75" x14ac:dyDescent="0.2">
      <c r="A13" s="323" t="s">
        <v>5</v>
      </c>
      <c r="B13" s="323"/>
      <c r="C13" s="323"/>
      <c r="D13" s="107"/>
      <c r="E13" s="107"/>
      <c r="F13" s="107"/>
      <c r="G13" s="107"/>
      <c r="H13" s="104"/>
      <c r="I13" s="104"/>
      <c r="J13" s="104"/>
      <c r="K13" s="104"/>
      <c r="L13" s="104"/>
      <c r="M13" s="104"/>
      <c r="N13" s="104"/>
      <c r="O13" s="104"/>
      <c r="P13" s="104"/>
      <c r="Q13" s="104"/>
      <c r="R13" s="104"/>
      <c r="S13" s="104"/>
      <c r="T13" s="104"/>
      <c r="U13" s="104"/>
    </row>
    <row r="14" spans="1:29" s="13" customFormat="1" ht="15.75" customHeight="1" x14ac:dyDescent="0.2">
      <c r="A14" s="324"/>
      <c r="B14" s="324"/>
      <c r="C14" s="324"/>
      <c r="D14" s="105"/>
      <c r="E14" s="105"/>
      <c r="F14" s="105"/>
      <c r="G14" s="105"/>
      <c r="H14" s="105"/>
      <c r="I14" s="105"/>
      <c r="J14" s="105"/>
      <c r="K14" s="105"/>
      <c r="L14" s="105"/>
      <c r="M14" s="105"/>
      <c r="N14" s="105"/>
      <c r="O14" s="105"/>
      <c r="P14" s="105"/>
      <c r="Q14" s="105"/>
      <c r="R14" s="105"/>
      <c r="S14" s="105"/>
      <c r="T14" s="105"/>
      <c r="U14" s="105"/>
    </row>
    <row r="15" spans="1:29" s="103" customFormat="1" ht="45.75" customHeight="1" x14ac:dyDescent="0.2">
      <c r="A15" s="343" t="str">
        <f>'1. паспорт местоположение'!A15:C15</f>
        <v>Приобретение ВЛ-15кВ № 15-298 г. Светлый</v>
      </c>
      <c r="B15" s="343"/>
      <c r="C15" s="343"/>
      <c r="D15" s="106"/>
      <c r="E15" s="106"/>
      <c r="F15" s="106"/>
      <c r="G15" s="106"/>
      <c r="H15" s="106"/>
      <c r="I15" s="106"/>
      <c r="J15" s="106"/>
      <c r="K15" s="106"/>
      <c r="L15" s="106"/>
      <c r="M15" s="106"/>
      <c r="N15" s="106"/>
      <c r="O15" s="106"/>
      <c r="P15" s="106"/>
      <c r="Q15" s="106"/>
      <c r="R15" s="106"/>
      <c r="S15" s="106"/>
      <c r="T15" s="106"/>
      <c r="U15" s="106"/>
    </row>
    <row r="16" spans="1:29" s="103" customFormat="1" ht="15" customHeight="1" x14ac:dyDescent="0.2">
      <c r="A16" s="323" t="s">
        <v>4</v>
      </c>
      <c r="B16" s="323"/>
      <c r="C16" s="323"/>
      <c r="D16" s="107"/>
      <c r="E16" s="107"/>
      <c r="F16" s="107"/>
      <c r="G16" s="107"/>
      <c r="H16" s="107"/>
      <c r="I16" s="107"/>
      <c r="J16" s="107"/>
      <c r="K16" s="107"/>
      <c r="L16" s="107"/>
      <c r="M16" s="107"/>
      <c r="N16" s="107"/>
      <c r="O16" s="107"/>
      <c r="P16" s="107"/>
      <c r="Q16" s="107"/>
      <c r="R16" s="107"/>
      <c r="S16" s="107"/>
      <c r="T16" s="107"/>
      <c r="U16" s="107"/>
    </row>
    <row r="17" spans="1:21" s="103" customFormat="1" ht="15" customHeight="1" x14ac:dyDescent="0.2">
      <c r="A17" s="324"/>
      <c r="B17" s="324"/>
      <c r="C17" s="324"/>
      <c r="D17" s="105"/>
      <c r="E17" s="105"/>
      <c r="F17" s="105"/>
      <c r="G17" s="105"/>
      <c r="H17" s="105"/>
      <c r="I17" s="105"/>
      <c r="J17" s="105"/>
      <c r="K17" s="105"/>
      <c r="L17" s="105"/>
      <c r="M17" s="105"/>
      <c r="N17" s="105"/>
      <c r="O17" s="105"/>
      <c r="P17" s="105"/>
      <c r="Q17" s="105"/>
      <c r="R17" s="105"/>
    </row>
    <row r="18" spans="1:21" s="103" customFormat="1" ht="27.75" customHeight="1" x14ac:dyDescent="0.2">
      <c r="A18" s="325" t="s">
        <v>381</v>
      </c>
      <c r="B18" s="325"/>
      <c r="C18" s="325"/>
      <c r="D18" s="108"/>
      <c r="E18" s="108"/>
      <c r="F18" s="108"/>
      <c r="G18" s="108"/>
      <c r="H18" s="108"/>
      <c r="I18" s="108"/>
      <c r="J18" s="108"/>
      <c r="K18" s="108"/>
      <c r="L18" s="108"/>
      <c r="M18" s="108"/>
      <c r="N18" s="108"/>
      <c r="O18" s="108"/>
      <c r="P18" s="108"/>
      <c r="Q18" s="108"/>
      <c r="R18" s="108"/>
      <c r="S18" s="108"/>
      <c r="T18" s="108"/>
      <c r="U18" s="108"/>
    </row>
    <row r="19" spans="1:21" s="103" customFormat="1" ht="15" customHeight="1" x14ac:dyDescent="0.2">
      <c r="A19" s="107"/>
      <c r="B19" s="107"/>
      <c r="C19" s="107"/>
      <c r="D19" s="107"/>
      <c r="E19" s="107"/>
      <c r="F19" s="107"/>
      <c r="G19" s="107"/>
      <c r="H19" s="105"/>
      <c r="I19" s="105"/>
      <c r="J19" s="105"/>
      <c r="K19" s="105"/>
      <c r="L19" s="105"/>
      <c r="M19" s="105"/>
      <c r="N19" s="105"/>
      <c r="O19" s="105"/>
      <c r="P19" s="105"/>
      <c r="Q19" s="105"/>
      <c r="R19" s="105"/>
    </row>
    <row r="20" spans="1:21" s="103" customFormat="1" ht="39.75" customHeight="1" x14ac:dyDescent="0.2">
      <c r="A20" s="116" t="s">
        <v>3</v>
      </c>
      <c r="B20" s="112" t="s">
        <v>64</v>
      </c>
      <c r="C20" s="113" t="s">
        <v>63</v>
      </c>
      <c r="D20" s="107"/>
      <c r="E20" s="107"/>
      <c r="F20" s="107"/>
      <c r="G20" s="107"/>
      <c r="H20" s="105"/>
      <c r="I20" s="105"/>
      <c r="J20" s="105"/>
      <c r="K20" s="105"/>
      <c r="L20" s="105"/>
      <c r="M20" s="105"/>
      <c r="N20" s="105"/>
      <c r="O20" s="105"/>
      <c r="P20" s="105"/>
      <c r="Q20" s="105"/>
      <c r="R20" s="105"/>
    </row>
    <row r="21" spans="1:21" s="103" customFormat="1" ht="16.5" customHeight="1" x14ac:dyDescent="0.2">
      <c r="A21" s="113">
        <v>1</v>
      </c>
      <c r="B21" s="112">
        <v>2</v>
      </c>
      <c r="C21" s="113">
        <v>3</v>
      </c>
      <c r="D21" s="107"/>
      <c r="E21" s="107"/>
      <c r="F21" s="107"/>
      <c r="G21" s="107"/>
      <c r="H21" s="105"/>
      <c r="I21" s="105"/>
      <c r="J21" s="105"/>
      <c r="K21" s="105"/>
      <c r="L21" s="105"/>
      <c r="M21" s="105"/>
      <c r="N21" s="105"/>
      <c r="O21" s="105"/>
      <c r="P21" s="105"/>
      <c r="Q21" s="105"/>
      <c r="R21" s="105"/>
    </row>
    <row r="22" spans="1:21" s="103" customFormat="1" ht="41.25" customHeight="1" x14ac:dyDescent="0.2">
      <c r="A22" s="117" t="s">
        <v>62</v>
      </c>
      <c r="B22" s="16" t="s">
        <v>394</v>
      </c>
      <c r="C22" s="177" t="s">
        <v>563</v>
      </c>
      <c r="D22" s="107"/>
      <c r="E22" s="107"/>
      <c r="F22" s="105"/>
      <c r="G22" s="105"/>
      <c r="H22" s="105"/>
      <c r="I22" s="105"/>
      <c r="J22" s="105"/>
      <c r="K22" s="105"/>
      <c r="L22" s="105"/>
      <c r="M22" s="105"/>
      <c r="N22" s="105"/>
      <c r="O22" s="105"/>
      <c r="P22" s="105"/>
    </row>
    <row r="23" spans="1:21" ht="63" customHeight="1" x14ac:dyDescent="0.25">
      <c r="A23" s="117" t="s">
        <v>61</v>
      </c>
      <c r="B23" s="118" t="s">
        <v>58</v>
      </c>
      <c r="C23" s="119" t="str">
        <f>A15</f>
        <v>Приобретение ВЛ-15кВ № 15-298 г. Светлый</v>
      </c>
    </row>
    <row r="24" spans="1:21" ht="153.75" customHeight="1" x14ac:dyDescent="0.25">
      <c r="A24" s="117" t="s">
        <v>60</v>
      </c>
      <c r="B24" s="118" t="s">
        <v>413</v>
      </c>
      <c r="C24" s="24" t="str">
        <f>A15</f>
        <v>Приобретение ВЛ-15кВ № 15-298 г. Светлый</v>
      </c>
    </row>
    <row r="25" spans="1:21" ht="63" customHeight="1" x14ac:dyDescent="0.25">
      <c r="A25" s="117" t="s">
        <v>59</v>
      </c>
      <c r="B25" s="118" t="s">
        <v>414</v>
      </c>
      <c r="C25" s="119" t="s">
        <v>540</v>
      </c>
    </row>
    <row r="26" spans="1:21" ht="42.75" customHeight="1" x14ac:dyDescent="0.25">
      <c r="A26" s="117" t="s">
        <v>57</v>
      </c>
      <c r="B26" s="118" t="s">
        <v>208</v>
      </c>
      <c r="C26" s="116" t="s">
        <v>438</v>
      </c>
    </row>
    <row r="27" spans="1:21" ht="31.5" x14ac:dyDescent="0.25">
      <c r="A27" s="117" t="s">
        <v>56</v>
      </c>
      <c r="B27" s="118" t="s">
        <v>395</v>
      </c>
      <c r="C27" s="116" t="s">
        <v>562</v>
      </c>
    </row>
    <row r="28" spans="1:21" ht="42.75" customHeight="1" x14ac:dyDescent="0.25">
      <c r="A28" s="117" t="s">
        <v>54</v>
      </c>
      <c r="B28" s="118" t="s">
        <v>55</v>
      </c>
      <c r="C28" s="119">
        <v>2022</v>
      </c>
    </row>
    <row r="29" spans="1:21" ht="42.75" customHeight="1" x14ac:dyDescent="0.25">
      <c r="A29" s="117" t="s">
        <v>52</v>
      </c>
      <c r="B29" s="116" t="s">
        <v>53</v>
      </c>
      <c r="C29" s="119">
        <v>2022</v>
      </c>
    </row>
    <row r="30" spans="1:21" ht="42.75" customHeight="1" x14ac:dyDescent="0.25">
      <c r="A30" s="117" t="s">
        <v>70</v>
      </c>
      <c r="B30" s="116" t="s">
        <v>51</v>
      </c>
      <c r="C30" s="116" t="s">
        <v>582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0" zoomScale="90" zoomScaleNormal="80" zoomScaleSheetLayoutView="90" workbookViewId="0">
      <selection activeCell="A12" sqref="A12:Z12"/>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2.7109375" style="120" customWidth="1"/>
    <col min="18" max="18" width="9.140625" style="120"/>
    <col min="19" max="19" width="17" style="120" customWidth="1"/>
    <col min="20" max="21" width="12" style="120" customWidth="1"/>
    <col min="22" max="22" width="11" style="120" customWidth="1"/>
    <col min="23" max="25" width="17.7109375" style="120" customWidth="1"/>
    <col min="26" max="26" width="46.5703125" style="120" customWidth="1"/>
    <col min="27" max="28" width="12.28515625" style="120" customWidth="1"/>
    <col min="29" max="16384" width="9.140625" style="120"/>
  </cols>
  <sheetData>
    <row r="1" spans="1:28" ht="18.75" x14ac:dyDescent="0.25">
      <c r="Z1" s="20" t="s">
        <v>66</v>
      </c>
    </row>
    <row r="2" spans="1:28" ht="18.75" x14ac:dyDescent="0.3">
      <c r="Z2" s="11" t="s">
        <v>8</v>
      </c>
    </row>
    <row r="3" spans="1:28" ht="18.75" x14ac:dyDescent="0.3">
      <c r="Z3" s="11" t="s">
        <v>65</v>
      </c>
    </row>
    <row r="4" spans="1:28" ht="18.75" customHeight="1" x14ac:dyDescent="0.25">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x14ac:dyDescent="0.25">
      <c r="A6" s="319" t="s">
        <v>7</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104"/>
      <c r="AB6" s="104"/>
    </row>
    <row r="7" spans="1:28" ht="18.75"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04"/>
      <c r="AB7" s="104"/>
    </row>
    <row r="8" spans="1:28" ht="15.75" x14ac:dyDescent="0.25">
      <c r="A8" s="317" t="str">
        <f>'1. паспорт местоположение'!A9:C9</f>
        <v xml:space="preserve">Акционерное общество "Западная энергетическая компания" </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106"/>
      <c r="AB8" s="106"/>
    </row>
    <row r="9" spans="1:28" ht="15.75" x14ac:dyDescent="0.25">
      <c r="A9" s="323" t="s">
        <v>6</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107"/>
      <c r="AB9" s="107"/>
    </row>
    <row r="10" spans="1:28" ht="18.75" x14ac:dyDescent="0.2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104"/>
      <c r="AB10" s="104"/>
    </row>
    <row r="11" spans="1:28" ht="15.75" x14ac:dyDescent="0.25">
      <c r="A11" s="317" t="str">
        <f>'1. паспорт местоположение'!A12:C12</f>
        <v>M 22-28</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106"/>
      <c r="AB11" s="106"/>
    </row>
    <row r="12" spans="1:28" ht="15.75"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107"/>
      <c r="AB12" s="107"/>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121"/>
      <c r="AB13" s="121"/>
    </row>
    <row r="14" spans="1:28" ht="15.75" x14ac:dyDescent="0.25">
      <c r="A14" s="317" t="str">
        <f>'1. паспорт местоположение'!A15:C15</f>
        <v>Приобретение ВЛ-15кВ № 15-298 г. Светлый</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06"/>
      <c r="AB14" s="106"/>
    </row>
    <row r="15" spans="1:28" ht="15.75"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107"/>
      <c r="AB15" s="107"/>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22"/>
      <c r="AB16" s="12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22"/>
      <c r="AB17" s="12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22"/>
      <c r="AB18" s="12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22"/>
      <c r="AB19" s="12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22"/>
      <c r="AB20" s="122"/>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22"/>
      <c r="AB21" s="122"/>
    </row>
    <row r="22" spans="1:28" x14ac:dyDescent="0.25">
      <c r="A22" s="345" t="s">
        <v>412</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23"/>
      <c r="AB22" s="123"/>
    </row>
    <row r="23" spans="1:28" ht="32.25" customHeight="1" x14ac:dyDescent="0.25">
      <c r="A23" s="347" t="s">
        <v>295</v>
      </c>
      <c r="B23" s="348"/>
      <c r="C23" s="348"/>
      <c r="D23" s="348"/>
      <c r="E23" s="348"/>
      <c r="F23" s="348"/>
      <c r="G23" s="348"/>
      <c r="H23" s="348"/>
      <c r="I23" s="348"/>
      <c r="J23" s="348"/>
      <c r="K23" s="348"/>
      <c r="L23" s="349"/>
      <c r="M23" s="346" t="s">
        <v>296</v>
      </c>
      <c r="N23" s="346"/>
      <c r="O23" s="346"/>
      <c r="P23" s="346"/>
      <c r="Q23" s="346"/>
      <c r="R23" s="346"/>
      <c r="S23" s="346"/>
      <c r="T23" s="346"/>
      <c r="U23" s="346"/>
      <c r="V23" s="346"/>
      <c r="W23" s="346"/>
      <c r="X23" s="346"/>
      <c r="Y23" s="346"/>
      <c r="Z23" s="346"/>
    </row>
    <row r="24" spans="1:28" ht="151.5" customHeight="1" x14ac:dyDescent="0.25">
      <c r="A24" s="124" t="s">
        <v>210</v>
      </c>
      <c r="B24" s="125" t="s">
        <v>230</v>
      </c>
      <c r="C24" s="124" t="s">
        <v>293</v>
      </c>
      <c r="D24" s="124" t="s">
        <v>211</v>
      </c>
      <c r="E24" s="124" t="s">
        <v>294</v>
      </c>
      <c r="F24" s="124" t="s">
        <v>445</v>
      </c>
      <c r="G24" s="124" t="s">
        <v>446</v>
      </c>
      <c r="H24" s="124" t="s">
        <v>212</v>
      </c>
      <c r="I24" s="124" t="s">
        <v>447</v>
      </c>
      <c r="J24" s="124" t="s">
        <v>235</v>
      </c>
      <c r="K24" s="125" t="s">
        <v>229</v>
      </c>
      <c r="L24" s="125" t="s">
        <v>213</v>
      </c>
      <c r="M24" s="126" t="s">
        <v>242</v>
      </c>
      <c r="N24" s="125" t="s">
        <v>448</v>
      </c>
      <c r="O24" s="124" t="s">
        <v>449</v>
      </c>
      <c r="P24" s="124" t="s">
        <v>450</v>
      </c>
      <c r="Q24" s="124" t="s">
        <v>451</v>
      </c>
      <c r="R24" s="124" t="s">
        <v>212</v>
      </c>
      <c r="S24" s="124" t="s">
        <v>452</v>
      </c>
      <c r="T24" s="124" t="s">
        <v>453</v>
      </c>
      <c r="U24" s="124" t="s">
        <v>454</v>
      </c>
      <c r="V24" s="124" t="s">
        <v>451</v>
      </c>
      <c r="W24" s="127" t="s">
        <v>455</v>
      </c>
      <c r="X24" s="127" t="s">
        <v>456</v>
      </c>
      <c r="Y24" s="127" t="s">
        <v>457</v>
      </c>
      <c r="Z24" s="128" t="s">
        <v>247</v>
      </c>
    </row>
    <row r="25" spans="1:28" ht="16.5" customHeight="1" x14ac:dyDescent="0.25">
      <c r="A25" s="124">
        <v>1</v>
      </c>
      <c r="B25" s="125">
        <v>2</v>
      </c>
      <c r="C25" s="124">
        <v>3</v>
      </c>
      <c r="D25" s="125">
        <v>4</v>
      </c>
      <c r="E25" s="124">
        <v>5</v>
      </c>
      <c r="F25" s="125">
        <v>6</v>
      </c>
      <c r="G25" s="124">
        <v>7</v>
      </c>
      <c r="H25" s="125">
        <v>8</v>
      </c>
      <c r="I25" s="124">
        <v>9</v>
      </c>
      <c r="J25" s="125">
        <v>10</v>
      </c>
      <c r="K25" s="124">
        <v>11</v>
      </c>
      <c r="L25" s="125">
        <v>12</v>
      </c>
      <c r="M25" s="124">
        <v>13</v>
      </c>
      <c r="N25" s="125">
        <v>14</v>
      </c>
      <c r="O25" s="124">
        <v>15</v>
      </c>
      <c r="P25" s="125">
        <v>16</v>
      </c>
      <c r="Q25" s="124">
        <v>17</v>
      </c>
      <c r="R25" s="125">
        <v>18</v>
      </c>
      <c r="S25" s="124">
        <v>19</v>
      </c>
      <c r="T25" s="125">
        <v>20</v>
      </c>
      <c r="U25" s="124">
        <v>21</v>
      </c>
      <c r="V25" s="125">
        <v>22</v>
      </c>
      <c r="W25" s="124">
        <v>23</v>
      </c>
      <c r="X25" s="125">
        <v>24</v>
      </c>
      <c r="Y25" s="124">
        <v>25</v>
      </c>
      <c r="Z25" s="125">
        <v>26</v>
      </c>
    </row>
    <row r="26" spans="1:28" ht="45.75" customHeight="1" x14ac:dyDescent="0.25">
      <c r="A26" s="129" t="s">
        <v>291</v>
      </c>
      <c r="B26" s="129"/>
      <c r="C26" s="130" t="s">
        <v>458</v>
      </c>
      <c r="D26" s="130" t="s">
        <v>459</v>
      </c>
      <c r="E26" s="130" t="s">
        <v>460</v>
      </c>
      <c r="F26" s="130" t="s">
        <v>461</v>
      </c>
      <c r="G26" s="130" t="s">
        <v>462</v>
      </c>
      <c r="H26" s="130" t="s">
        <v>212</v>
      </c>
      <c r="I26" s="130" t="s">
        <v>463</v>
      </c>
      <c r="J26" s="130" t="s">
        <v>464</v>
      </c>
      <c r="K26" s="131"/>
      <c r="L26" s="130" t="s">
        <v>227</v>
      </c>
      <c r="M26" s="132" t="s">
        <v>240</v>
      </c>
      <c r="N26" s="131"/>
      <c r="O26" s="131"/>
      <c r="P26" s="131"/>
      <c r="Q26" s="131"/>
      <c r="R26" s="131"/>
      <c r="S26" s="131"/>
      <c r="T26" s="131"/>
      <c r="U26" s="131"/>
      <c r="V26" s="131"/>
      <c r="W26" s="131"/>
      <c r="X26" s="131"/>
      <c r="Y26" s="131"/>
      <c r="Z26" s="133" t="s">
        <v>248</v>
      </c>
    </row>
    <row r="27" spans="1:28" x14ac:dyDescent="0.25">
      <c r="A27" s="131" t="s">
        <v>214</v>
      </c>
      <c r="B27" s="131" t="s">
        <v>231</v>
      </c>
      <c r="C27" s="131" t="s">
        <v>215</v>
      </c>
      <c r="D27" s="131" t="s">
        <v>216</v>
      </c>
      <c r="E27" s="131" t="s">
        <v>243</v>
      </c>
      <c r="F27" s="130" t="s">
        <v>465</v>
      </c>
      <c r="G27" s="130" t="s">
        <v>466</v>
      </c>
      <c r="H27" s="131" t="s">
        <v>212</v>
      </c>
      <c r="I27" s="130" t="s">
        <v>467</v>
      </c>
      <c r="J27" s="130" t="s">
        <v>468</v>
      </c>
      <c r="K27" s="130" t="s">
        <v>223</v>
      </c>
      <c r="L27" s="131"/>
      <c r="M27" s="130" t="s">
        <v>241</v>
      </c>
      <c r="N27" s="131"/>
      <c r="O27" s="131"/>
      <c r="P27" s="131"/>
      <c r="Q27" s="131"/>
      <c r="R27" s="131"/>
      <c r="S27" s="131"/>
      <c r="T27" s="131"/>
      <c r="U27" s="131"/>
      <c r="V27" s="131"/>
      <c r="W27" s="131"/>
      <c r="X27" s="131"/>
      <c r="Y27" s="131"/>
      <c r="Z27" s="131"/>
    </row>
    <row r="28" spans="1:28" x14ac:dyDescent="0.25">
      <c r="A28" s="131" t="s">
        <v>214</v>
      </c>
      <c r="B28" s="131" t="s">
        <v>232</v>
      </c>
      <c r="C28" s="131" t="s">
        <v>217</v>
      </c>
      <c r="D28" s="131" t="s">
        <v>218</v>
      </c>
      <c r="E28" s="131" t="s">
        <v>244</v>
      </c>
      <c r="F28" s="130" t="s">
        <v>469</v>
      </c>
      <c r="G28" s="130" t="s">
        <v>470</v>
      </c>
      <c r="H28" s="131" t="s">
        <v>212</v>
      </c>
      <c r="I28" s="130" t="s">
        <v>236</v>
      </c>
      <c r="J28" s="130" t="s">
        <v>471</v>
      </c>
      <c r="K28" s="130" t="s">
        <v>224</v>
      </c>
      <c r="L28" s="134"/>
      <c r="M28" s="130" t="s">
        <v>0</v>
      </c>
      <c r="N28" s="130"/>
      <c r="O28" s="130"/>
      <c r="P28" s="130"/>
      <c r="Q28" s="130"/>
      <c r="R28" s="130"/>
      <c r="S28" s="130"/>
      <c r="T28" s="130"/>
      <c r="U28" s="130"/>
      <c r="V28" s="130"/>
      <c r="W28" s="130"/>
      <c r="X28" s="130"/>
      <c r="Y28" s="130"/>
      <c r="Z28" s="130"/>
    </row>
    <row r="29" spans="1:28" x14ac:dyDescent="0.25">
      <c r="A29" s="131" t="s">
        <v>214</v>
      </c>
      <c r="B29" s="131" t="s">
        <v>233</v>
      </c>
      <c r="C29" s="131" t="s">
        <v>219</v>
      </c>
      <c r="D29" s="131" t="s">
        <v>220</v>
      </c>
      <c r="E29" s="131" t="s">
        <v>245</v>
      </c>
      <c r="F29" s="130" t="s">
        <v>472</v>
      </c>
      <c r="G29" s="130" t="s">
        <v>473</v>
      </c>
      <c r="H29" s="131" t="s">
        <v>212</v>
      </c>
      <c r="I29" s="130" t="s">
        <v>237</v>
      </c>
      <c r="J29" s="130" t="s">
        <v>474</v>
      </c>
      <c r="K29" s="130" t="s">
        <v>225</v>
      </c>
      <c r="L29" s="134"/>
      <c r="M29" s="131"/>
      <c r="N29" s="131"/>
      <c r="O29" s="131"/>
      <c r="P29" s="131"/>
      <c r="Q29" s="131"/>
      <c r="R29" s="131"/>
      <c r="S29" s="131"/>
      <c r="T29" s="131"/>
      <c r="U29" s="131"/>
      <c r="V29" s="131"/>
      <c r="W29" s="131"/>
      <c r="X29" s="131"/>
      <c r="Y29" s="131"/>
      <c r="Z29" s="131"/>
    </row>
    <row r="30" spans="1:28" x14ac:dyDescent="0.25">
      <c r="A30" s="131" t="s">
        <v>214</v>
      </c>
      <c r="B30" s="131" t="s">
        <v>234</v>
      </c>
      <c r="C30" s="131" t="s">
        <v>221</v>
      </c>
      <c r="D30" s="131" t="s">
        <v>222</v>
      </c>
      <c r="E30" s="131" t="s">
        <v>246</v>
      </c>
      <c r="F30" s="130" t="s">
        <v>475</v>
      </c>
      <c r="G30" s="130" t="s">
        <v>476</v>
      </c>
      <c r="H30" s="131" t="s">
        <v>212</v>
      </c>
      <c r="I30" s="130" t="s">
        <v>238</v>
      </c>
      <c r="J30" s="130" t="s">
        <v>477</v>
      </c>
      <c r="K30" s="130" t="s">
        <v>226</v>
      </c>
      <c r="L30" s="134"/>
      <c r="M30" s="131"/>
      <c r="N30" s="131"/>
      <c r="O30" s="131"/>
      <c r="P30" s="131"/>
      <c r="Q30" s="131"/>
      <c r="R30" s="131"/>
      <c r="S30" s="131"/>
      <c r="T30" s="131"/>
      <c r="U30" s="131"/>
      <c r="V30" s="131"/>
      <c r="W30" s="131"/>
      <c r="X30" s="131"/>
      <c r="Y30" s="131"/>
      <c r="Z30" s="131"/>
    </row>
    <row r="31" spans="1:28" x14ac:dyDescent="0.25">
      <c r="A31" s="131" t="s">
        <v>0</v>
      </c>
      <c r="B31" s="131" t="s">
        <v>0</v>
      </c>
      <c r="C31" s="131" t="s">
        <v>0</v>
      </c>
      <c r="D31" s="131" t="s">
        <v>0</v>
      </c>
      <c r="E31" s="131" t="s">
        <v>0</v>
      </c>
      <c r="F31" s="131" t="s">
        <v>0</v>
      </c>
      <c r="G31" s="131" t="s">
        <v>0</v>
      </c>
      <c r="H31" s="131" t="s">
        <v>0</v>
      </c>
      <c r="I31" s="131" t="s">
        <v>0</v>
      </c>
      <c r="J31" s="131" t="s">
        <v>0</v>
      </c>
      <c r="K31" s="131" t="s">
        <v>0</v>
      </c>
      <c r="L31" s="134"/>
      <c r="M31" s="131"/>
      <c r="N31" s="131"/>
      <c r="O31" s="131"/>
      <c r="P31" s="131"/>
      <c r="Q31" s="131"/>
      <c r="R31" s="131"/>
      <c r="S31" s="131"/>
      <c r="T31" s="131"/>
      <c r="U31" s="131"/>
      <c r="V31" s="131"/>
      <c r="W31" s="131"/>
      <c r="X31" s="131"/>
      <c r="Y31" s="131"/>
      <c r="Z31" s="131"/>
    </row>
    <row r="32" spans="1:28" ht="30" x14ac:dyDescent="0.25">
      <c r="A32" s="129" t="s">
        <v>292</v>
      </c>
      <c r="B32" s="129"/>
      <c r="C32" s="130" t="s">
        <v>478</v>
      </c>
      <c r="D32" s="130" t="s">
        <v>479</v>
      </c>
      <c r="E32" s="130" t="s">
        <v>480</v>
      </c>
      <c r="F32" s="130" t="s">
        <v>481</v>
      </c>
      <c r="G32" s="130" t="s">
        <v>482</v>
      </c>
      <c r="H32" s="130" t="s">
        <v>212</v>
      </c>
      <c r="I32" s="130" t="s">
        <v>483</v>
      </c>
      <c r="J32" s="130" t="s">
        <v>484</v>
      </c>
      <c r="K32" s="131"/>
      <c r="L32" s="131"/>
      <c r="M32" s="131"/>
      <c r="N32" s="131"/>
      <c r="O32" s="131"/>
      <c r="P32" s="131"/>
      <c r="Q32" s="131"/>
      <c r="R32" s="131"/>
      <c r="S32" s="131"/>
      <c r="T32" s="131"/>
      <c r="U32" s="131"/>
      <c r="V32" s="131"/>
      <c r="W32" s="131"/>
      <c r="X32" s="131"/>
      <c r="Y32" s="131"/>
      <c r="Z32" s="131"/>
    </row>
    <row r="33" spans="1:26" x14ac:dyDescent="0.25">
      <c r="A33" s="131" t="s">
        <v>0</v>
      </c>
      <c r="B33" s="131" t="s">
        <v>0</v>
      </c>
      <c r="C33" s="131" t="s">
        <v>0</v>
      </c>
      <c r="D33" s="131" t="s">
        <v>0</v>
      </c>
      <c r="E33" s="131" t="s">
        <v>0</v>
      </c>
      <c r="F33" s="131" t="s">
        <v>0</v>
      </c>
      <c r="G33" s="131" t="s">
        <v>0</v>
      </c>
      <c r="H33" s="131" t="s">
        <v>0</v>
      </c>
      <c r="I33" s="131" t="s">
        <v>0</v>
      </c>
      <c r="J33" s="131" t="s">
        <v>0</v>
      </c>
      <c r="K33" s="131" t="s">
        <v>0</v>
      </c>
      <c r="L33" s="131"/>
      <c r="M33" s="131"/>
      <c r="N33" s="131"/>
      <c r="O33" s="131"/>
      <c r="P33" s="131"/>
      <c r="Q33" s="131"/>
      <c r="R33" s="131"/>
      <c r="S33" s="131"/>
      <c r="T33" s="131"/>
      <c r="U33" s="131"/>
      <c r="V33" s="131"/>
      <c r="W33" s="131"/>
      <c r="X33" s="131"/>
      <c r="Y33" s="131"/>
      <c r="Z33" s="131"/>
    </row>
    <row r="37" spans="1:26" x14ac:dyDescent="0.25">
      <c r="A37" s="13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1" width="19.140625" style="114" customWidth="1"/>
    <col min="12" max="12" width="16" style="114" customWidth="1"/>
    <col min="13" max="13" width="14.85546875" style="114" customWidth="1"/>
    <col min="14" max="14" width="16.28515625" style="114" customWidth="1"/>
    <col min="15" max="16384" width="9.140625" style="114"/>
  </cols>
  <sheetData>
    <row r="1" spans="1:28" s="13" customFormat="1" ht="18.75" customHeight="1" x14ac:dyDescent="0.2">
      <c r="O1" s="20" t="s">
        <v>66</v>
      </c>
    </row>
    <row r="2" spans="1:28" s="13" customFormat="1" ht="18.75" customHeight="1" x14ac:dyDescent="0.3">
      <c r="O2" s="11" t="s">
        <v>8</v>
      </c>
    </row>
    <row r="3" spans="1:28" s="13" customFormat="1" ht="18.75" x14ac:dyDescent="0.3">
      <c r="A3" s="102"/>
      <c r="B3" s="102"/>
      <c r="O3" s="11" t="s">
        <v>65</v>
      </c>
    </row>
    <row r="4" spans="1:28" s="13" customFormat="1" ht="18.75" x14ac:dyDescent="0.3">
      <c r="A4" s="102"/>
      <c r="B4" s="102"/>
      <c r="L4" s="11"/>
    </row>
    <row r="5" spans="1:28" s="13" customFormat="1" ht="15.75" x14ac:dyDescent="0.2">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84"/>
      <c r="Q5" s="84"/>
      <c r="R5" s="84"/>
      <c r="S5" s="84"/>
      <c r="T5" s="84"/>
      <c r="U5" s="84"/>
      <c r="V5" s="84"/>
      <c r="W5" s="84"/>
      <c r="X5" s="84"/>
      <c r="Y5" s="84"/>
      <c r="Z5" s="84"/>
      <c r="AA5" s="84"/>
      <c r="AB5" s="84"/>
    </row>
    <row r="6" spans="1:28" s="13" customFormat="1" ht="18.75" x14ac:dyDescent="0.3">
      <c r="A6" s="102"/>
      <c r="B6" s="102"/>
      <c r="L6" s="11"/>
    </row>
    <row r="7" spans="1:28" s="13" customFormat="1" ht="18.75" x14ac:dyDescent="0.2">
      <c r="A7" s="319" t="s">
        <v>7</v>
      </c>
      <c r="B7" s="319"/>
      <c r="C7" s="319"/>
      <c r="D7" s="319"/>
      <c r="E7" s="319"/>
      <c r="F7" s="319"/>
      <c r="G7" s="319"/>
      <c r="H7" s="319"/>
      <c r="I7" s="319"/>
      <c r="J7" s="319"/>
      <c r="K7" s="319"/>
      <c r="L7" s="319"/>
      <c r="M7" s="319"/>
      <c r="N7" s="319"/>
      <c r="O7" s="319"/>
      <c r="P7" s="104"/>
      <c r="Q7" s="104"/>
      <c r="R7" s="104"/>
      <c r="S7" s="104"/>
      <c r="T7" s="104"/>
      <c r="U7" s="104"/>
      <c r="V7" s="104"/>
      <c r="W7" s="104"/>
      <c r="X7" s="104"/>
      <c r="Y7" s="104"/>
      <c r="Z7" s="104"/>
    </row>
    <row r="8" spans="1:28" s="13" customFormat="1" ht="18.75" x14ac:dyDescent="0.2">
      <c r="A8" s="319"/>
      <c r="B8" s="319"/>
      <c r="C8" s="319"/>
      <c r="D8" s="319"/>
      <c r="E8" s="319"/>
      <c r="F8" s="319"/>
      <c r="G8" s="319"/>
      <c r="H8" s="319"/>
      <c r="I8" s="319"/>
      <c r="J8" s="319"/>
      <c r="K8" s="319"/>
      <c r="L8" s="319"/>
      <c r="M8" s="319"/>
      <c r="N8" s="319"/>
      <c r="O8" s="319"/>
      <c r="P8" s="104"/>
      <c r="Q8" s="104"/>
      <c r="R8" s="104"/>
      <c r="S8" s="104"/>
      <c r="T8" s="104"/>
      <c r="U8" s="104"/>
      <c r="V8" s="104"/>
      <c r="W8" s="104"/>
      <c r="X8" s="104"/>
      <c r="Y8" s="104"/>
      <c r="Z8" s="104"/>
    </row>
    <row r="9" spans="1:28" s="13" customFormat="1" ht="18.75" x14ac:dyDescent="0.2">
      <c r="A9" s="317" t="str">
        <f>'1. паспорт местоположение'!A9:C9</f>
        <v xml:space="preserve">Акционерное общество "Западная энергетическая компания" </v>
      </c>
      <c r="B9" s="317"/>
      <c r="C9" s="317"/>
      <c r="D9" s="317"/>
      <c r="E9" s="317"/>
      <c r="F9" s="317"/>
      <c r="G9" s="317"/>
      <c r="H9" s="317"/>
      <c r="I9" s="317"/>
      <c r="J9" s="317"/>
      <c r="K9" s="317"/>
      <c r="L9" s="317"/>
      <c r="M9" s="317"/>
      <c r="N9" s="317"/>
      <c r="O9" s="317"/>
      <c r="P9" s="104"/>
      <c r="Q9" s="104"/>
      <c r="R9" s="104"/>
      <c r="S9" s="104"/>
      <c r="T9" s="104"/>
      <c r="U9" s="104"/>
      <c r="V9" s="104"/>
      <c r="W9" s="104"/>
      <c r="X9" s="104"/>
      <c r="Y9" s="104"/>
      <c r="Z9" s="104"/>
    </row>
    <row r="10" spans="1:28" s="13" customFormat="1" ht="18.75" x14ac:dyDescent="0.2">
      <c r="A10" s="323" t="s">
        <v>6</v>
      </c>
      <c r="B10" s="323"/>
      <c r="C10" s="323"/>
      <c r="D10" s="323"/>
      <c r="E10" s="323"/>
      <c r="F10" s="323"/>
      <c r="G10" s="323"/>
      <c r="H10" s="323"/>
      <c r="I10" s="323"/>
      <c r="J10" s="323"/>
      <c r="K10" s="323"/>
      <c r="L10" s="323"/>
      <c r="M10" s="323"/>
      <c r="N10" s="323"/>
      <c r="O10" s="323"/>
      <c r="P10" s="104"/>
      <c r="Q10" s="104"/>
      <c r="R10" s="104"/>
      <c r="S10" s="104"/>
      <c r="T10" s="104"/>
      <c r="U10" s="104"/>
      <c r="V10" s="104"/>
      <c r="W10" s="104"/>
      <c r="X10" s="104"/>
      <c r="Y10" s="104"/>
      <c r="Z10" s="104"/>
    </row>
    <row r="11" spans="1:28" s="13" customFormat="1" ht="18.75" x14ac:dyDescent="0.2">
      <c r="A11" s="319"/>
      <c r="B11" s="319"/>
      <c r="C11" s="319"/>
      <c r="D11" s="319"/>
      <c r="E11" s="319"/>
      <c r="F11" s="319"/>
      <c r="G11" s="319"/>
      <c r="H11" s="319"/>
      <c r="I11" s="319"/>
      <c r="J11" s="319"/>
      <c r="K11" s="319"/>
      <c r="L11" s="319"/>
      <c r="M11" s="319"/>
      <c r="N11" s="319"/>
      <c r="O11" s="319"/>
      <c r="P11" s="104"/>
      <c r="Q11" s="104"/>
      <c r="R11" s="104"/>
      <c r="S11" s="104"/>
      <c r="T11" s="104"/>
      <c r="U11" s="104"/>
      <c r="V11" s="104"/>
      <c r="W11" s="104"/>
      <c r="X11" s="104"/>
      <c r="Y11" s="104"/>
      <c r="Z11" s="104"/>
    </row>
    <row r="12" spans="1:28" s="13" customFormat="1" ht="18.75" x14ac:dyDescent="0.2">
      <c r="A12" s="317" t="str">
        <f>'1. паспорт местоположение'!A12:C12</f>
        <v>M 22-28</v>
      </c>
      <c r="B12" s="317"/>
      <c r="C12" s="317"/>
      <c r="D12" s="317"/>
      <c r="E12" s="317"/>
      <c r="F12" s="317"/>
      <c r="G12" s="317"/>
      <c r="H12" s="317"/>
      <c r="I12" s="317"/>
      <c r="J12" s="317"/>
      <c r="K12" s="317"/>
      <c r="L12" s="317"/>
      <c r="M12" s="317"/>
      <c r="N12" s="317"/>
      <c r="O12" s="317"/>
      <c r="P12" s="104"/>
      <c r="Q12" s="104"/>
      <c r="R12" s="104"/>
      <c r="S12" s="104"/>
      <c r="T12" s="104"/>
      <c r="U12" s="104"/>
      <c r="V12" s="104"/>
      <c r="W12" s="104"/>
      <c r="X12" s="104"/>
      <c r="Y12" s="104"/>
      <c r="Z12" s="104"/>
    </row>
    <row r="13" spans="1:28" s="13" customFormat="1" ht="18.75" x14ac:dyDescent="0.2">
      <c r="A13" s="323" t="s">
        <v>5</v>
      </c>
      <c r="B13" s="323"/>
      <c r="C13" s="323"/>
      <c r="D13" s="323"/>
      <c r="E13" s="323"/>
      <c r="F13" s="323"/>
      <c r="G13" s="323"/>
      <c r="H13" s="323"/>
      <c r="I13" s="323"/>
      <c r="J13" s="323"/>
      <c r="K13" s="323"/>
      <c r="L13" s="323"/>
      <c r="M13" s="323"/>
      <c r="N13" s="323"/>
      <c r="O13" s="323"/>
      <c r="P13" s="104"/>
      <c r="Q13" s="104"/>
      <c r="R13" s="104"/>
      <c r="S13" s="104"/>
      <c r="T13" s="104"/>
      <c r="U13" s="104"/>
      <c r="V13" s="104"/>
      <c r="W13" s="104"/>
      <c r="X13" s="104"/>
      <c r="Y13" s="104"/>
      <c r="Z13" s="104"/>
    </row>
    <row r="14" spans="1:28" s="13" customFormat="1" ht="15.75" customHeight="1" x14ac:dyDescent="0.2">
      <c r="A14" s="324"/>
      <c r="B14" s="324"/>
      <c r="C14" s="324"/>
      <c r="D14" s="324"/>
      <c r="E14" s="324"/>
      <c r="F14" s="324"/>
      <c r="G14" s="324"/>
      <c r="H14" s="324"/>
      <c r="I14" s="324"/>
      <c r="J14" s="324"/>
      <c r="K14" s="324"/>
      <c r="L14" s="324"/>
      <c r="M14" s="324"/>
      <c r="N14" s="324"/>
      <c r="O14" s="324"/>
      <c r="P14" s="105"/>
      <c r="Q14" s="105"/>
      <c r="R14" s="105"/>
      <c r="S14" s="105"/>
      <c r="T14" s="105"/>
      <c r="U14" s="105"/>
      <c r="V14" s="105"/>
      <c r="W14" s="105"/>
      <c r="X14" s="105"/>
      <c r="Y14" s="105"/>
      <c r="Z14" s="105"/>
    </row>
    <row r="15" spans="1:28" s="103" customFormat="1" ht="15.75" x14ac:dyDescent="0.2">
      <c r="A15" s="317" t="str">
        <f>'1. паспорт местоположение'!A15:C15</f>
        <v>Приобретение ВЛ-15кВ № 15-298 г. Светлый</v>
      </c>
      <c r="B15" s="317"/>
      <c r="C15" s="317"/>
      <c r="D15" s="317"/>
      <c r="E15" s="317"/>
      <c r="F15" s="317"/>
      <c r="G15" s="317"/>
      <c r="H15" s="317"/>
      <c r="I15" s="317"/>
      <c r="J15" s="317"/>
      <c r="K15" s="317"/>
      <c r="L15" s="317"/>
      <c r="M15" s="317"/>
      <c r="N15" s="317"/>
      <c r="O15" s="317"/>
      <c r="P15" s="106"/>
      <c r="Q15" s="106"/>
      <c r="R15" s="106"/>
      <c r="S15" s="106"/>
      <c r="T15" s="106"/>
      <c r="U15" s="106"/>
      <c r="V15" s="106"/>
      <c r="W15" s="106"/>
      <c r="X15" s="106"/>
      <c r="Y15" s="106"/>
      <c r="Z15" s="106"/>
    </row>
    <row r="16" spans="1:28" s="103" customFormat="1" ht="15" customHeight="1" x14ac:dyDescent="0.2">
      <c r="A16" s="323" t="s">
        <v>4</v>
      </c>
      <c r="B16" s="323"/>
      <c r="C16" s="323"/>
      <c r="D16" s="323"/>
      <c r="E16" s="323"/>
      <c r="F16" s="323"/>
      <c r="G16" s="323"/>
      <c r="H16" s="323"/>
      <c r="I16" s="323"/>
      <c r="J16" s="323"/>
      <c r="K16" s="323"/>
      <c r="L16" s="323"/>
      <c r="M16" s="323"/>
      <c r="N16" s="323"/>
      <c r="O16" s="323"/>
      <c r="P16" s="107"/>
      <c r="Q16" s="107"/>
      <c r="R16" s="107"/>
      <c r="S16" s="107"/>
      <c r="T16" s="107"/>
      <c r="U16" s="107"/>
      <c r="V16" s="107"/>
      <c r="W16" s="107"/>
      <c r="X16" s="107"/>
      <c r="Y16" s="107"/>
      <c r="Z16" s="107"/>
    </row>
    <row r="17" spans="1:26" s="103" customFormat="1" ht="15" customHeight="1" x14ac:dyDescent="0.2">
      <c r="A17" s="324"/>
      <c r="B17" s="324"/>
      <c r="C17" s="324"/>
      <c r="D17" s="324"/>
      <c r="E17" s="324"/>
      <c r="F17" s="324"/>
      <c r="G17" s="324"/>
      <c r="H17" s="324"/>
      <c r="I17" s="324"/>
      <c r="J17" s="324"/>
      <c r="K17" s="324"/>
      <c r="L17" s="324"/>
      <c r="M17" s="324"/>
      <c r="N17" s="324"/>
      <c r="O17" s="324"/>
      <c r="P17" s="105"/>
      <c r="Q17" s="105"/>
      <c r="R17" s="105"/>
      <c r="S17" s="105"/>
      <c r="T17" s="105"/>
      <c r="U17" s="105"/>
      <c r="V17" s="105"/>
      <c r="W17" s="105"/>
    </row>
    <row r="18" spans="1:26" s="103" customFormat="1" ht="91.5" customHeight="1" x14ac:dyDescent="0.2">
      <c r="A18" s="354" t="s">
        <v>390</v>
      </c>
      <c r="B18" s="354"/>
      <c r="C18" s="354"/>
      <c r="D18" s="354"/>
      <c r="E18" s="354"/>
      <c r="F18" s="354"/>
      <c r="G18" s="354"/>
      <c r="H18" s="354"/>
      <c r="I18" s="354"/>
      <c r="J18" s="354"/>
      <c r="K18" s="354"/>
      <c r="L18" s="354"/>
      <c r="M18" s="354"/>
      <c r="N18" s="354"/>
      <c r="O18" s="354"/>
      <c r="P18" s="108"/>
      <c r="Q18" s="108"/>
      <c r="R18" s="108"/>
      <c r="S18" s="108"/>
      <c r="T18" s="108"/>
      <c r="U18" s="108"/>
      <c r="V18" s="108"/>
      <c r="W18" s="108"/>
      <c r="X18" s="108"/>
      <c r="Y18" s="108"/>
      <c r="Z18" s="108"/>
    </row>
    <row r="19" spans="1:26" s="103" customFormat="1" ht="78" customHeight="1" x14ac:dyDescent="0.2">
      <c r="A19" s="350" t="s">
        <v>3</v>
      </c>
      <c r="B19" s="350" t="s">
        <v>82</v>
      </c>
      <c r="C19" s="350" t="s">
        <v>81</v>
      </c>
      <c r="D19" s="350" t="s">
        <v>73</v>
      </c>
      <c r="E19" s="351" t="s">
        <v>80</v>
      </c>
      <c r="F19" s="352"/>
      <c r="G19" s="352"/>
      <c r="H19" s="352"/>
      <c r="I19" s="353"/>
      <c r="J19" s="350" t="s">
        <v>79</v>
      </c>
      <c r="K19" s="350"/>
      <c r="L19" s="350"/>
      <c r="M19" s="350"/>
      <c r="N19" s="350"/>
      <c r="O19" s="350"/>
      <c r="P19" s="105"/>
      <c r="Q19" s="105"/>
      <c r="R19" s="105"/>
      <c r="S19" s="105"/>
      <c r="T19" s="105"/>
      <c r="U19" s="105"/>
      <c r="V19" s="105"/>
      <c r="W19" s="105"/>
    </row>
    <row r="20" spans="1:26" s="103" customFormat="1" ht="51" customHeight="1" x14ac:dyDescent="0.2">
      <c r="A20" s="350"/>
      <c r="B20" s="350"/>
      <c r="C20" s="350"/>
      <c r="D20" s="350"/>
      <c r="E20" s="172" t="s">
        <v>78</v>
      </c>
      <c r="F20" s="172" t="s">
        <v>77</v>
      </c>
      <c r="G20" s="172" t="s">
        <v>76</v>
      </c>
      <c r="H20" s="172" t="s">
        <v>75</v>
      </c>
      <c r="I20" s="172" t="s">
        <v>74</v>
      </c>
      <c r="J20" s="172">
        <v>2018</v>
      </c>
      <c r="K20" s="172">
        <v>2019</v>
      </c>
      <c r="L20" s="172">
        <v>2020</v>
      </c>
      <c r="M20" s="172">
        <v>2021</v>
      </c>
      <c r="N20" s="172">
        <v>2022</v>
      </c>
      <c r="O20" s="172">
        <v>2023</v>
      </c>
      <c r="P20" s="105"/>
      <c r="Q20" s="105"/>
      <c r="R20" s="105"/>
      <c r="S20" s="105"/>
      <c r="T20" s="105"/>
      <c r="U20" s="105"/>
      <c r="V20" s="105"/>
      <c r="W20" s="105"/>
    </row>
    <row r="21" spans="1:26" s="103" customFormat="1" ht="16.5" customHeight="1" x14ac:dyDescent="0.2">
      <c r="A21" s="18">
        <v>1</v>
      </c>
      <c r="B21" s="19">
        <v>2</v>
      </c>
      <c r="C21" s="18">
        <v>3</v>
      </c>
      <c r="D21" s="19">
        <v>4</v>
      </c>
      <c r="E21" s="18">
        <v>5</v>
      </c>
      <c r="F21" s="19">
        <v>6</v>
      </c>
      <c r="G21" s="18">
        <v>7</v>
      </c>
      <c r="H21" s="19">
        <v>8</v>
      </c>
      <c r="I21" s="18">
        <v>9</v>
      </c>
      <c r="J21" s="19">
        <v>10</v>
      </c>
      <c r="K21" s="18">
        <v>11</v>
      </c>
      <c r="L21" s="19">
        <v>12</v>
      </c>
      <c r="M21" s="18">
        <v>13</v>
      </c>
      <c r="N21" s="19">
        <v>14</v>
      </c>
      <c r="O21" s="18">
        <v>15</v>
      </c>
      <c r="P21" s="105"/>
      <c r="Q21" s="105"/>
      <c r="R21" s="105"/>
      <c r="S21" s="105"/>
      <c r="T21" s="105"/>
      <c r="U21" s="105"/>
      <c r="V21" s="105"/>
      <c r="W21" s="105"/>
    </row>
    <row r="22" spans="1:26" s="103" customFormat="1" ht="18.75" x14ac:dyDescent="0.2">
      <c r="A22" s="14" t="s">
        <v>62</v>
      </c>
      <c r="B22" s="173" t="s">
        <v>545</v>
      </c>
      <c r="C22" s="16">
        <v>0</v>
      </c>
      <c r="D22" s="16">
        <v>0</v>
      </c>
      <c r="E22" s="16">
        <v>0</v>
      </c>
      <c r="F22" s="16">
        <v>0</v>
      </c>
      <c r="G22" s="16">
        <v>0</v>
      </c>
      <c r="H22" s="16">
        <v>0</v>
      </c>
      <c r="I22" s="16">
        <v>0</v>
      </c>
      <c r="J22" s="174">
        <v>0</v>
      </c>
      <c r="K22" s="174">
        <v>0</v>
      </c>
      <c r="L22" s="175">
        <v>0</v>
      </c>
      <c r="M22" s="175">
        <v>0</v>
      </c>
      <c r="N22" s="175">
        <v>0</v>
      </c>
      <c r="O22" s="175">
        <v>0</v>
      </c>
      <c r="P22" s="105"/>
      <c r="Q22" s="105"/>
      <c r="R22" s="105"/>
      <c r="S22" s="105"/>
      <c r="T22" s="105"/>
      <c r="U22" s="10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61" workbookViewId="0">
      <selection activeCell="G80" sqref="G80"/>
    </sheetView>
  </sheetViews>
  <sheetFormatPr defaultRowHeight="12.75" x14ac:dyDescent="0.2"/>
  <cols>
    <col min="1" max="1" width="66.140625" style="206" customWidth="1"/>
    <col min="2" max="2" width="17.140625" style="206" customWidth="1"/>
    <col min="3" max="3" width="13.85546875" style="206" customWidth="1"/>
    <col min="4" max="5" width="13.5703125" style="206" customWidth="1"/>
    <col min="6" max="6" width="14.5703125" style="206" customWidth="1"/>
    <col min="7" max="7" width="13.42578125" style="206" customWidth="1"/>
    <col min="8" max="12" width="15.42578125" style="206" customWidth="1"/>
    <col min="13" max="13" width="15.42578125" style="206" hidden="1" customWidth="1"/>
    <col min="14" max="14" width="15.42578125" style="279" hidden="1" customWidth="1"/>
    <col min="15" max="19" width="15.42578125" style="206" hidden="1" customWidth="1"/>
    <col min="20" max="29" width="17.28515625" style="206" hidden="1" customWidth="1"/>
    <col min="30" max="31" width="17.28515625" style="196" hidden="1" customWidth="1"/>
    <col min="32" max="32" width="0" style="196" hidden="1" customWidth="1"/>
    <col min="33" max="16384" width="9.140625" style="196"/>
  </cols>
  <sheetData>
    <row r="1" spans="1:45" x14ac:dyDescent="0.2">
      <c r="A1" s="193"/>
      <c r="B1" s="194"/>
      <c r="C1" s="194"/>
      <c r="D1" s="194"/>
      <c r="E1" s="194"/>
      <c r="F1" s="194"/>
      <c r="G1" s="194"/>
      <c r="H1" s="194"/>
      <c r="I1" s="194"/>
      <c r="J1" s="194"/>
      <c r="K1" s="195"/>
      <c r="L1" s="194"/>
      <c r="M1" s="194"/>
      <c r="N1" s="194"/>
      <c r="O1" s="194"/>
      <c r="P1" s="195" t="s">
        <v>66</v>
      </c>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P1" s="197"/>
      <c r="AQ1" s="197"/>
      <c r="AR1" s="198"/>
      <c r="AS1" s="198"/>
    </row>
    <row r="2" spans="1:45" x14ac:dyDescent="0.2">
      <c r="A2" s="193"/>
      <c r="B2" s="194"/>
      <c r="C2" s="194"/>
      <c r="D2" s="194"/>
      <c r="E2" s="194"/>
      <c r="F2" s="194"/>
      <c r="G2" s="194"/>
      <c r="H2" s="194"/>
      <c r="I2" s="194"/>
      <c r="J2" s="194"/>
      <c r="K2" s="199"/>
      <c r="L2" s="194"/>
      <c r="M2" s="194"/>
      <c r="N2" s="194"/>
      <c r="O2" s="194"/>
      <c r="P2" s="199" t="s">
        <v>8</v>
      </c>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P2" s="197"/>
      <c r="AQ2" s="197"/>
      <c r="AR2" s="198"/>
      <c r="AS2" s="198"/>
    </row>
    <row r="3" spans="1:45" x14ac:dyDescent="0.2">
      <c r="A3" s="200"/>
      <c r="B3" s="194"/>
      <c r="C3" s="194"/>
      <c r="D3" s="194"/>
      <c r="E3" s="194"/>
      <c r="F3" s="194"/>
      <c r="G3" s="194"/>
      <c r="H3" s="194"/>
      <c r="I3" s="194"/>
      <c r="J3" s="194"/>
      <c r="K3" s="199"/>
      <c r="L3" s="194"/>
      <c r="M3" s="194"/>
      <c r="N3" s="194"/>
      <c r="O3" s="194"/>
      <c r="P3" s="199" t="s">
        <v>443</v>
      </c>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P3" s="197"/>
      <c r="AQ3" s="197"/>
      <c r="AR3" s="198"/>
      <c r="AS3" s="198"/>
    </row>
    <row r="4" spans="1:45" x14ac:dyDescent="0.2">
      <c r="A4" s="201"/>
      <c r="B4" s="193"/>
      <c r="C4" s="193"/>
      <c r="D4" s="193"/>
      <c r="E4" s="193"/>
      <c r="F4" s="193"/>
      <c r="G4" s="193"/>
      <c r="H4" s="193"/>
      <c r="I4" s="193"/>
      <c r="J4" s="193"/>
      <c r="K4" s="199"/>
      <c r="L4" s="193"/>
      <c r="M4" s="193"/>
      <c r="N4" s="193"/>
      <c r="O4" s="193"/>
      <c r="P4" s="193"/>
      <c r="Q4" s="194"/>
      <c r="R4" s="194"/>
      <c r="S4" s="194"/>
      <c r="T4" s="194"/>
      <c r="U4" s="194"/>
      <c r="V4" s="194"/>
      <c r="W4" s="194"/>
      <c r="X4" s="194"/>
      <c r="Y4" s="194"/>
      <c r="Z4" s="194"/>
      <c r="AA4" s="194"/>
      <c r="AB4" s="194"/>
      <c r="AC4" s="194"/>
      <c r="AD4" s="194"/>
      <c r="AE4" s="194"/>
      <c r="AF4" s="194"/>
      <c r="AG4" s="194"/>
      <c r="AH4" s="194"/>
      <c r="AI4" s="194"/>
      <c r="AJ4" s="194"/>
      <c r="AK4" s="194"/>
      <c r="AL4" s="194"/>
      <c r="AM4" s="194"/>
      <c r="AN4" s="194"/>
      <c r="AO4" s="194"/>
      <c r="AP4" s="197"/>
      <c r="AQ4" s="197"/>
      <c r="AR4" s="198"/>
      <c r="AS4" s="198"/>
    </row>
    <row r="5" spans="1:45" x14ac:dyDescent="0.2">
      <c r="A5" s="363" t="str">
        <f>'1. паспорт местоположение'!A5:C5</f>
        <v>Год раскрытия информации: 2023 год</v>
      </c>
      <c r="B5" s="363"/>
      <c r="C5" s="363"/>
      <c r="D5" s="363"/>
      <c r="E5" s="363"/>
      <c r="F5" s="363"/>
      <c r="G5" s="363"/>
      <c r="H5" s="363"/>
      <c r="I5" s="363"/>
      <c r="J5" s="363"/>
      <c r="K5" s="363"/>
      <c r="L5" s="363"/>
      <c r="M5" s="363"/>
      <c r="N5" s="363"/>
      <c r="O5" s="363"/>
      <c r="P5" s="363"/>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197"/>
      <c r="AQ5" s="197"/>
      <c r="AR5" s="198"/>
      <c r="AS5" s="198"/>
    </row>
    <row r="6" spans="1:45" x14ac:dyDescent="0.2">
      <c r="A6" s="201"/>
      <c r="B6" s="193"/>
      <c r="C6" s="193"/>
      <c r="D6" s="193"/>
      <c r="E6" s="193"/>
      <c r="F6" s="193"/>
      <c r="G6" s="193"/>
      <c r="H6" s="193"/>
      <c r="I6" s="193"/>
      <c r="J6" s="193"/>
      <c r="K6" s="199"/>
      <c r="L6" s="193"/>
      <c r="M6" s="193"/>
      <c r="N6" s="193"/>
      <c r="O6" s="193"/>
      <c r="P6" s="193"/>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7"/>
      <c r="AQ6" s="197"/>
      <c r="AR6" s="198"/>
      <c r="AS6" s="198"/>
    </row>
    <row r="7" spans="1:45" x14ac:dyDescent="0.2">
      <c r="A7" s="363" t="s">
        <v>7</v>
      </c>
      <c r="B7" s="363"/>
      <c r="C7" s="363"/>
      <c r="D7" s="363"/>
      <c r="E7" s="363"/>
      <c r="F7" s="363"/>
      <c r="G7" s="363"/>
      <c r="H7" s="363"/>
      <c r="I7" s="363"/>
      <c r="J7" s="363"/>
      <c r="K7" s="363"/>
      <c r="L7" s="363"/>
      <c r="M7" s="363"/>
      <c r="N7" s="363"/>
      <c r="O7" s="363"/>
      <c r="P7" s="36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197"/>
      <c r="AQ7" s="197"/>
      <c r="AR7" s="198"/>
      <c r="AS7" s="198"/>
    </row>
    <row r="8" spans="1:45" x14ac:dyDescent="0.2">
      <c r="A8" s="204"/>
      <c r="B8" s="204"/>
      <c r="C8" s="204"/>
      <c r="D8" s="204"/>
      <c r="E8" s="204"/>
      <c r="F8" s="204"/>
      <c r="G8" s="204"/>
      <c r="H8" s="204"/>
      <c r="I8" s="204"/>
      <c r="J8" s="204"/>
      <c r="K8" s="204"/>
      <c r="L8" s="202"/>
      <c r="M8" s="202"/>
      <c r="N8" s="202"/>
      <c r="O8" s="202"/>
      <c r="P8" s="202"/>
      <c r="Q8" s="203"/>
      <c r="R8" s="203"/>
      <c r="S8" s="203"/>
      <c r="T8" s="203"/>
      <c r="U8" s="203"/>
      <c r="V8" s="203"/>
      <c r="W8" s="203"/>
      <c r="X8" s="203"/>
      <c r="Y8" s="203"/>
      <c r="Z8" s="194"/>
      <c r="AA8" s="194"/>
      <c r="AB8" s="194"/>
      <c r="AC8" s="194"/>
      <c r="AD8" s="194"/>
      <c r="AE8" s="194"/>
      <c r="AF8" s="194"/>
      <c r="AG8" s="194"/>
      <c r="AH8" s="194"/>
      <c r="AI8" s="194"/>
      <c r="AJ8" s="194"/>
      <c r="AK8" s="194"/>
      <c r="AL8" s="194"/>
      <c r="AM8" s="194"/>
      <c r="AN8" s="194"/>
      <c r="AO8" s="194"/>
      <c r="AP8" s="197"/>
      <c r="AQ8" s="197"/>
      <c r="AR8" s="198"/>
      <c r="AS8" s="198"/>
    </row>
    <row r="9" spans="1:4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197"/>
      <c r="AQ9" s="197"/>
      <c r="AR9" s="198"/>
      <c r="AS9" s="198"/>
    </row>
    <row r="10" spans="1:45" x14ac:dyDescent="0.2">
      <c r="A10" s="362" t="s">
        <v>6</v>
      </c>
      <c r="B10" s="362"/>
      <c r="C10" s="362"/>
      <c r="D10" s="362"/>
      <c r="E10" s="362"/>
      <c r="F10" s="362"/>
      <c r="G10" s="362"/>
      <c r="H10" s="362"/>
      <c r="I10" s="362"/>
      <c r="J10" s="362"/>
      <c r="K10" s="362"/>
      <c r="L10" s="362"/>
      <c r="M10" s="362"/>
      <c r="N10" s="362"/>
      <c r="O10" s="362"/>
      <c r="P10" s="362"/>
      <c r="AD10" s="206"/>
      <c r="AE10" s="206"/>
      <c r="AF10" s="206"/>
      <c r="AG10" s="206"/>
      <c r="AH10" s="206"/>
      <c r="AI10" s="206"/>
      <c r="AJ10" s="206"/>
      <c r="AK10" s="206"/>
      <c r="AL10" s="206"/>
      <c r="AM10" s="206"/>
      <c r="AN10" s="206"/>
      <c r="AO10" s="206"/>
      <c r="AP10" s="197"/>
      <c r="AQ10" s="197"/>
      <c r="AR10" s="198"/>
      <c r="AS10" s="198"/>
    </row>
    <row r="11" spans="1:45" x14ac:dyDescent="0.2">
      <c r="A11" s="204"/>
      <c r="B11" s="204"/>
      <c r="C11" s="204"/>
      <c r="D11" s="204"/>
      <c r="E11" s="204"/>
      <c r="F11" s="204"/>
      <c r="G11" s="204"/>
      <c r="H11" s="204"/>
      <c r="I11" s="204"/>
      <c r="J11" s="204"/>
      <c r="K11" s="204"/>
      <c r="L11" s="202"/>
      <c r="M11" s="202"/>
      <c r="N11" s="202"/>
      <c r="O11" s="202"/>
      <c r="P11" s="202"/>
      <c r="Q11" s="203"/>
      <c r="R11" s="203"/>
      <c r="S11" s="203"/>
      <c r="T11" s="203"/>
      <c r="U11" s="203"/>
      <c r="V11" s="203"/>
      <c r="W11" s="203"/>
      <c r="X11" s="203"/>
      <c r="Y11" s="203"/>
      <c r="Z11" s="194"/>
      <c r="AA11" s="194"/>
      <c r="AB11" s="194"/>
      <c r="AC11" s="194"/>
      <c r="AD11" s="194"/>
      <c r="AE11" s="194"/>
      <c r="AF11" s="194"/>
      <c r="AG11" s="194"/>
      <c r="AH11" s="194"/>
      <c r="AI11" s="194"/>
      <c r="AJ11" s="194"/>
      <c r="AK11" s="194"/>
      <c r="AL11" s="194"/>
      <c r="AM11" s="194"/>
      <c r="AN11" s="194"/>
      <c r="AO11" s="194"/>
      <c r="AP11" s="197"/>
      <c r="AQ11" s="197"/>
      <c r="AR11" s="198"/>
      <c r="AS11" s="198"/>
    </row>
    <row r="12" spans="1:45" x14ac:dyDescent="0.2">
      <c r="A12" s="364" t="str">
        <f>'1. паспорт местоположение'!A12:C12</f>
        <v>M 22-28</v>
      </c>
      <c r="B12" s="364"/>
      <c r="C12" s="364"/>
      <c r="D12" s="364"/>
      <c r="E12" s="364"/>
      <c r="F12" s="364"/>
      <c r="G12" s="364"/>
      <c r="H12" s="364"/>
      <c r="I12" s="364"/>
      <c r="J12" s="364"/>
      <c r="K12" s="364"/>
      <c r="L12" s="364"/>
      <c r="M12" s="364"/>
      <c r="N12" s="364"/>
      <c r="O12" s="364"/>
      <c r="P12" s="364"/>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197"/>
      <c r="AQ12" s="197"/>
      <c r="AR12" s="198"/>
      <c r="AS12" s="198"/>
    </row>
    <row r="13" spans="1:45" x14ac:dyDescent="0.2">
      <c r="A13" s="362" t="s">
        <v>5</v>
      </c>
      <c r="B13" s="362"/>
      <c r="C13" s="362"/>
      <c r="D13" s="362"/>
      <c r="E13" s="362"/>
      <c r="F13" s="362"/>
      <c r="G13" s="362"/>
      <c r="H13" s="362"/>
      <c r="I13" s="362"/>
      <c r="J13" s="362"/>
      <c r="K13" s="362"/>
      <c r="L13" s="362"/>
      <c r="M13" s="362"/>
      <c r="N13" s="362"/>
      <c r="O13" s="362"/>
      <c r="P13" s="362"/>
      <c r="AD13" s="206"/>
      <c r="AE13" s="206"/>
      <c r="AF13" s="206"/>
      <c r="AG13" s="206"/>
      <c r="AH13" s="206"/>
      <c r="AI13" s="206"/>
      <c r="AJ13" s="206"/>
      <c r="AK13" s="206"/>
      <c r="AL13" s="206"/>
      <c r="AM13" s="206"/>
      <c r="AN13" s="206"/>
      <c r="AO13" s="206"/>
      <c r="AP13" s="197"/>
      <c r="AQ13" s="197"/>
      <c r="AR13" s="198"/>
      <c r="AS13" s="198"/>
    </row>
    <row r="14" spans="1:45" x14ac:dyDescent="0.2">
      <c r="A14" s="207"/>
      <c r="B14" s="207"/>
      <c r="C14" s="207"/>
      <c r="D14" s="207"/>
      <c r="E14" s="207"/>
      <c r="F14" s="207"/>
      <c r="G14" s="207"/>
      <c r="H14" s="207"/>
      <c r="I14" s="207"/>
      <c r="J14" s="207"/>
      <c r="K14" s="207"/>
      <c r="L14" s="207"/>
      <c r="M14" s="207"/>
      <c r="N14" s="207"/>
      <c r="O14" s="207"/>
      <c r="P14" s="207"/>
      <c r="Q14" s="208"/>
      <c r="R14" s="208"/>
      <c r="S14" s="208"/>
      <c r="T14" s="208"/>
      <c r="U14" s="208"/>
      <c r="V14" s="208"/>
      <c r="W14" s="208"/>
      <c r="X14" s="208"/>
      <c r="Y14" s="208"/>
      <c r="Z14" s="194"/>
      <c r="AA14" s="194"/>
      <c r="AB14" s="194"/>
      <c r="AC14" s="194"/>
      <c r="AD14" s="194"/>
      <c r="AE14" s="194"/>
      <c r="AF14" s="194"/>
      <c r="AG14" s="194"/>
      <c r="AH14" s="194"/>
      <c r="AI14" s="194"/>
      <c r="AJ14" s="194"/>
      <c r="AK14" s="194"/>
      <c r="AL14" s="194"/>
      <c r="AM14" s="194"/>
      <c r="AN14" s="194"/>
      <c r="AO14" s="194"/>
      <c r="AP14" s="197"/>
      <c r="AQ14" s="197"/>
      <c r="AR14" s="198"/>
      <c r="AS14" s="198"/>
    </row>
    <row r="15" spans="1:45" x14ac:dyDescent="0.2">
      <c r="A15" s="359" t="str">
        <f>'1. паспорт местоположение'!A15:C15</f>
        <v>Приобретение ВЛ-15кВ № 15-298 г. Светлый</v>
      </c>
      <c r="B15" s="359"/>
      <c r="C15" s="359"/>
      <c r="D15" s="359"/>
      <c r="E15" s="359"/>
      <c r="F15" s="359"/>
      <c r="G15" s="359"/>
      <c r="H15" s="359"/>
      <c r="I15" s="359"/>
      <c r="J15" s="359"/>
      <c r="K15" s="359"/>
      <c r="L15" s="359"/>
      <c r="M15" s="359"/>
      <c r="N15" s="359"/>
      <c r="O15" s="359"/>
      <c r="P15" s="35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197"/>
      <c r="AQ15" s="197"/>
      <c r="AR15" s="198"/>
      <c r="AS15" s="198"/>
    </row>
    <row r="16" spans="1:45" x14ac:dyDescent="0.2">
      <c r="A16" s="360" t="s">
        <v>4</v>
      </c>
      <c r="B16" s="360"/>
      <c r="C16" s="360"/>
      <c r="D16" s="360"/>
      <c r="E16" s="360"/>
      <c r="F16" s="360"/>
      <c r="G16" s="360"/>
      <c r="H16" s="360"/>
      <c r="I16" s="360"/>
      <c r="J16" s="360"/>
      <c r="K16" s="360"/>
      <c r="L16" s="360"/>
      <c r="M16" s="360"/>
      <c r="N16" s="360"/>
      <c r="O16" s="360"/>
      <c r="P16" s="360"/>
      <c r="AD16" s="206"/>
      <c r="AE16" s="206"/>
      <c r="AF16" s="206"/>
      <c r="AG16" s="206"/>
      <c r="AH16" s="206"/>
      <c r="AI16" s="206"/>
      <c r="AJ16" s="206"/>
      <c r="AK16" s="206"/>
      <c r="AL16" s="206"/>
      <c r="AM16" s="206"/>
      <c r="AN16" s="206"/>
      <c r="AO16" s="206"/>
      <c r="AP16" s="197"/>
      <c r="AQ16" s="197"/>
      <c r="AR16" s="198"/>
      <c r="AS16" s="198"/>
    </row>
    <row r="17" spans="1:45" x14ac:dyDescent="0.2">
      <c r="A17" s="208"/>
      <c r="B17" s="208"/>
      <c r="C17" s="208"/>
      <c r="D17" s="208"/>
      <c r="E17" s="208"/>
      <c r="F17" s="208"/>
      <c r="G17" s="208"/>
      <c r="H17" s="208"/>
      <c r="I17" s="208"/>
      <c r="J17" s="208"/>
      <c r="K17" s="208"/>
      <c r="L17" s="208"/>
      <c r="M17" s="208"/>
      <c r="N17" s="208"/>
      <c r="O17" s="208"/>
      <c r="P17" s="208"/>
      <c r="Q17" s="208"/>
      <c r="R17" s="208"/>
      <c r="S17" s="208"/>
      <c r="T17" s="208"/>
      <c r="U17" s="208"/>
      <c r="V17" s="208"/>
      <c r="W17" s="210"/>
      <c r="X17" s="210"/>
      <c r="Y17" s="210"/>
      <c r="Z17" s="210"/>
      <c r="AA17" s="210"/>
      <c r="AB17" s="210"/>
      <c r="AC17" s="210"/>
      <c r="AD17" s="210"/>
      <c r="AE17" s="210"/>
      <c r="AF17" s="210"/>
      <c r="AG17" s="210"/>
      <c r="AH17" s="210"/>
      <c r="AI17" s="210"/>
      <c r="AJ17" s="210"/>
      <c r="AK17" s="210"/>
      <c r="AL17" s="210"/>
      <c r="AM17" s="210"/>
      <c r="AN17" s="210"/>
      <c r="AO17" s="210"/>
      <c r="AP17" s="197"/>
      <c r="AQ17" s="197"/>
      <c r="AR17" s="198"/>
      <c r="AS17" s="198"/>
    </row>
    <row r="18" spans="1:45" x14ac:dyDescent="0.2">
      <c r="A18" s="361" t="s">
        <v>391</v>
      </c>
      <c r="B18" s="361"/>
      <c r="C18" s="361"/>
      <c r="D18" s="361"/>
      <c r="E18" s="361"/>
      <c r="F18" s="361"/>
      <c r="G18" s="361"/>
      <c r="H18" s="361"/>
      <c r="I18" s="361"/>
      <c r="J18" s="361"/>
      <c r="K18" s="361"/>
      <c r="L18" s="361"/>
      <c r="M18" s="361"/>
      <c r="N18" s="361"/>
      <c r="O18" s="361"/>
      <c r="P18" s="361"/>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197"/>
      <c r="AQ18" s="197"/>
      <c r="AR18" s="198"/>
      <c r="AS18" s="198"/>
    </row>
    <row r="19" spans="1:45" x14ac:dyDescent="0.2">
      <c r="A19" s="211"/>
      <c r="B19" s="211"/>
      <c r="C19" s="211"/>
      <c r="D19" s="211"/>
      <c r="E19" s="211"/>
      <c r="F19" s="211"/>
      <c r="G19" s="211"/>
      <c r="H19" s="211"/>
      <c r="I19" s="211"/>
      <c r="J19" s="211"/>
      <c r="K19" s="211"/>
      <c r="L19" s="211"/>
      <c r="M19" s="211"/>
      <c r="N19" s="211"/>
      <c r="O19" s="211"/>
      <c r="P19" s="211"/>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197"/>
      <c r="AQ19" s="197"/>
      <c r="AR19" s="198"/>
      <c r="AS19" s="198"/>
    </row>
    <row r="20" spans="1:45" x14ac:dyDescent="0.2">
      <c r="A20" s="211"/>
      <c r="B20" s="211"/>
      <c r="C20" s="211"/>
      <c r="D20" s="211"/>
      <c r="E20" s="211"/>
      <c r="F20" s="211"/>
      <c r="G20" s="211"/>
      <c r="H20" s="211"/>
      <c r="I20" s="211"/>
      <c r="J20" s="211"/>
      <c r="K20" s="211"/>
      <c r="L20" s="211"/>
      <c r="M20" s="211"/>
      <c r="N20" s="211"/>
      <c r="O20" s="211"/>
      <c r="P20" s="211"/>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197"/>
      <c r="AQ20" s="197"/>
      <c r="AR20" s="198"/>
      <c r="AS20" s="198"/>
    </row>
    <row r="21" spans="1:45" x14ac:dyDescent="0.2">
      <c r="A21" s="212"/>
      <c r="N21" s="206"/>
      <c r="AP21" s="197"/>
      <c r="AQ21" s="197"/>
      <c r="AR21" s="198"/>
      <c r="AS21" s="198"/>
    </row>
    <row r="22" spans="1:45" x14ac:dyDescent="0.2">
      <c r="A22" s="203"/>
      <c r="N22" s="206"/>
      <c r="AP22" s="197"/>
      <c r="AQ22" s="197"/>
      <c r="AR22" s="198"/>
      <c r="AS22" s="198"/>
    </row>
    <row r="23" spans="1:45" ht="13.5" thickBot="1" x14ac:dyDescent="0.25">
      <c r="A23" s="213" t="s">
        <v>288</v>
      </c>
      <c r="B23" s="213" t="s">
        <v>1</v>
      </c>
      <c r="D23" s="214"/>
      <c r="N23" s="206"/>
    </row>
    <row r="24" spans="1:45" ht="15" x14ac:dyDescent="0.2">
      <c r="A24" s="215" t="s">
        <v>428</v>
      </c>
      <c r="B24" s="178">
        <f>'6.2. Паспорт фин осв ввод'!D30*1000000</f>
        <v>1000000</v>
      </c>
      <c r="N24" s="206"/>
    </row>
    <row r="25" spans="1:45" x14ac:dyDescent="0.2">
      <c r="A25" s="216" t="s">
        <v>286</v>
      </c>
      <c r="B25" s="217">
        <v>0</v>
      </c>
      <c r="N25" s="206"/>
    </row>
    <row r="26" spans="1:45" x14ac:dyDescent="0.2">
      <c r="A26" s="218" t="s">
        <v>284</v>
      </c>
      <c r="B26" s="217">
        <v>30</v>
      </c>
      <c r="D26" s="203" t="s">
        <v>287</v>
      </c>
      <c r="N26" s="206"/>
    </row>
    <row r="27" spans="1:45" ht="13.5" thickBot="1" x14ac:dyDescent="0.25">
      <c r="A27" s="219" t="s">
        <v>282</v>
      </c>
      <c r="B27" s="220">
        <v>1</v>
      </c>
      <c r="D27" s="355" t="s">
        <v>285</v>
      </c>
      <c r="E27" s="356"/>
      <c r="F27" s="357"/>
      <c r="G27" s="221">
        <f>IF(SUM(B89:AG89)=0,"не окупается",SUM(B89:AG89))</f>
        <v>4.0428395671078201</v>
      </c>
      <c r="H27" s="222"/>
      <c r="N27" s="206"/>
    </row>
    <row r="28" spans="1:45" ht="15" x14ac:dyDescent="0.2">
      <c r="A28" s="215" t="s">
        <v>281</v>
      </c>
      <c r="B28" s="178">
        <f>B24*0.001</f>
        <v>1000</v>
      </c>
      <c r="D28" s="355" t="s">
        <v>283</v>
      </c>
      <c r="E28" s="356"/>
      <c r="F28" s="357"/>
      <c r="G28" s="221">
        <f>IF(SUM(B90:AG90)=0,"не окупается",SUM(B90:AG90))</f>
        <v>4.0470678323813623</v>
      </c>
      <c r="H28" s="222"/>
      <c r="N28" s="206"/>
    </row>
    <row r="29" spans="1:45" x14ac:dyDescent="0.2">
      <c r="A29" s="218" t="s">
        <v>429</v>
      </c>
      <c r="B29" s="217">
        <v>6</v>
      </c>
      <c r="D29" s="355" t="s">
        <v>567</v>
      </c>
      <c r="E29" s="356"/>
      <c r="F29" s="357"/>
      <c r="G29" s="223">
        <f>L87</f>
        <v>122111848.31935003</v>
      </c>
      <c r="H29" s="224"/>
      <c r="N29" s="206"/>
    </row>
    <row r="30" spans="1:45" x14ac:dyDescent="0.2">
      <c r="A30" s="218" t="s">
        <v>280</v>
      </c>
      <c r="B30" s="217">
        <v>6</v>
      </c>
      <c r="D30" s="355"/>
      <c r="E30" s="356"/>
      <c r="F30" s="357"/>
      <c r="G30" s="225"/>
      <c r="H30" s="226"/>
      <c r="N30" s="206"/>
    </row>
    <row r="31" spans="1:45" x14ac:dyDescent="0.2">
      <c r="A31" s="218" t="s">
        <v>259</v>
      </c>
      <c r="B31" s="217">
        <v>0</v>
      </c>
      <c r="N31" s="206"/>
    </row>
    <row r="32" spans="1:45" x14ac:dyDescent="0.2">
      <c r="A32" s="218" t="s">
        <v>279</v>
      </c>
      <c r="B32" s="217">
        <v>1</v>
      </c>
      <c r="N32" s="206"/>
    </row>
    <row r="33" spans="1:31" x14ac:dyDescent="0.2">
      <c r="A33" s="218" t="s">
        <v>278</v>
      </c>
      <c r="B33" s="217">
        <v>1</v>
      </c>
      <c r="N33" s="206"/>
    </row>
    <row r="34" spans="1:31" x14ac:dyDescent="0.2">
      <c r="A34" s="227" t="s">
        <v>568</v>
      </c>
      <c r="B34" s="217">
        <f>B24*0.03</f>
        <v>30000</v>
      </c>
      <c r="N34" s="206"/>
    </row>
    <row r="35" spans="1:31" ht="13.5" thickBot="1" x14ac:dyDescent="0.25">
      <c r="A35" s="228" t="s">
        <v>253</v>
      </c>
      <c r="B35" s="229">
        <v>0.2</v>
      </c>
      <c r="N35" s="206"/>
    </row>
    <row r="36" spans="1:31" x14ac:dyDescent="0.2">
      <c r="A36" s="215" t="s">
        <v>430</v>
      </c>
      <c r="B36" s="230">
        <v>0</v>
      </c>
      <c r="N36" s="206"/>
    </row>
    <row r="37" spans="1:31" x14ac:dyDescent="0.2">
      <c r="A37" s="216" t="s">
        <v>277</v>
      </c>
      <c r="B37" s="217"/>
      <c r="N37" s="206"/>
    </row>
    <row r="38" spans="1:31" ht="13.5" thickBot="1" x14ac:dyDescent="0.25">
      <c r="A38" s="227" t="s">
        <v>276</v>
      </c>
      <c r="B38" s="231"/>
      <c r="N38" s="206"/>
    </row>
    <row r="39" spans="1:31" x14ac:dyDescent="0.2">
      <c r="A39" s="232" t="s">
        <v>431</v>
      </c>
      <c r="B39" s="233">
        <v>1</v>
      </c>
      <c r="N39" s="206"/>
    </row>
    <row r="40" spans="1:31" x14ac:dyDescent="0.2">
      <c r="A40" s="234" t="s">
        <v>275</v>
      </c>
      <c r="B40" s="235"/>
      <c r="N40" s="206"/>
    </row>
    <row r="41" spans="1:31" x14ac:dyDescent="0.2">
      <c r="A41" s="234" t="s">
        <v>274</v>
      </c>
      <c r="B41" s="236"/>
      <c r="N41" s="206"/>
    </row>
    <row r="42" spans="1:31" x14ac:dyDescent="0.2">
      <c r="A42" s="234" t="s">
        <v>273</v>
      </c>
      <c r="B42" s="236">
        <v>0</v>
      </c>
      <c r="N42" s="206"/>
    </row>
    <row r="43" spans="1:31" x14ac:dyDescent="0.2">
      <c r="A43" s="234" t="s">
        <v>272</v>
      </c>
      <c r="B43" s="237">
        <v>9.8699999999999996E-2</v>
      </c>
      <c r="N43" s="206"/>
    </row>
    <row r="44" spans="1:31" x14ac:dyDescent="0.2">
      <c r="A44" s="234" t="s">
        <v>271</v>
      </c>
      <c r="B44" s="238">
        <v>1</v>
      </c>
      <c r="N44" s="206"/>
    </row>
    <row r="45" spans="1:31" ht="13.5" thickBot="1" x14ac:dyDescent="0.25">
      <c r="A45" s="239" t="s">
        <v>569</v>
      </c>
      <c r="B45" s="238">
        <f>B44*B43+B42*B41*(1-B35)</f>
        <v>9.8699999999999996E-2</v>
      </c>
      <c r="C45" s="240"/>
      <c r="N45" s="206"/>
    </row>
    <row r="46" spans="1:31" x14ac:dyDescent="0.2">
      <c r="A46" s="241" t="s">
        <v>270</v>
      </c>
      <c r="B46" s="242">
        <v>1</v>
      </c>
      <c r="C46" s="242">
        <v>2</v>
      </c>
      <c r="D46" s="242">
        <v>3</v>
      </c>
      <c r="E46" s="242">
        <v>4</v>
      </c>
      <c r="F46" s="242">
        <v>5</v>
      </c>
      <c r="G46" s="242">
        <v>6</v>
      </c>
      <c r="H46" s="242">
        <v>7</v>
      </c>
      <c r="I46" s="242">
        <v>8</v>
      </c>
      <c r="J46" s="242">
        <v>9</v>
      </c>
      <c r="K46" s="242">
        <v>10</v>
      </c>
      <c r="L46" s="242">
        <v>11</v>
      </c>
      <c r="M46" s="242">
        <v>12</v>
      </c>
      <c r="N46" s="242">
        <v>13</v>
      </c>
      <c r="O46" s="242">
        <v>14</v>
      </c>
      <c r="P46" s="242">
        <v>15</v>
      </c>
      <c r="Q46" s="242">
        <v>16</v>
      </c>
      <c r="R46" s="242">
        <v>17</v>
      </c>
      <c r="S46" s="242">
        <v>18</v>
      </c>
      <c r="T46" s="242">
        <v>19</v>
      </c>
      <c r="U46" s="242">
        <v>20</v>
      </c>
      <c r="V46" s="242">
        <v>21</v>
      </c>
      <c r="W46" s="242">
        <v>22</v>
      </c>
      <c r="X46" s="242">
        <v>23</v>
      </c>
      <c r="Y46" s="242">
        <v>24</v>
      </c>
      <c r="Z46" s="242">
        <v>25</v>
      </c>
      <c r="AA46" s="242">
        <v>26</v>
      </c>
      <c r="AB46" s="242">
        <v>27</v>
      </c>
      <c r="AC46" s="243">
        <v>28</v>
      </c>
      <c r="AD46" s="243">
        <v>29</v>
      </c>
      <c r="AE46" s="243">
        <v>30</v>
      </c>
    </row>
    <row r="47" spans="1:31" x14ac:dyDescent="0.2">
      <c r="A47" s="244" t="s">
        <v>269</v>
      </c>
      <c r="B47" s="245">
        <v>6.8000000000000005E-2</v>
      </c>
      <c r="C47" s="245">
        <v>5.6000000000000001E-2</v>
      </c>
      <c r="D47" s="245">
        <v>4.9000000000000002E-2</v>
      </c>
      <c r="E47" s="245">
        <v>0.13900000000000001</v>
      </c>
      <c r="F47" s="246">
        <v>5.8999999999999997E-2</v>
      </c>
      <c r="G47" s="246">
        <v>5.2999999999999999E-2</v>
      </c>
      <c r="H47" s="246">
        <v>4.8000000000000001E-2</v>
      </c>
      <c r="I47" s="246">
        <v>4.7E-2</v>
      </c>
      <c r="J47" s="246">
        <v>4.7E-2</v>
      </c>
      <c r="K47" s="246">
        <v>4.7E-2</v>
      </c>
      <c r="L47" s="246">
        <v>4.7E-2</v>
      </c>
      <c r="M47" s="246">
        <v>4.7E-2</v>
      </c>
      <c r="N47" s="246">
        <v>4.7E-2</v>
      </c>
      <c r="O47" s="246">
        <v>4.7E-2</v>
      </c>
      <c r="P47" s="246">
        <v>4.7E-2</v>
      </c>
      <c r="Q47" s="246">
        <v>4.7E-2</v>
      </c>
      <c r="R47" s="246">
        <v>4.7E-2</v>
      </c>
      <c r="S47" s="246">
        <v>4.7E-2</v>
      </c>
      <c r="T47" s="246">
        <v>4.7E-2</v>
      </c>
      <c r="U47" s="246">
        <v>4.7E-2</v>
      </c>
      <c r="V47" s="246">
        <v>4.7E-2</v>
      </c>
      <c r="W47" s="246">
        <v>4.7E-2</v>
      </c>
      <c r="X47" s="246">
        <v>4.7E-2</v>
      </c>
      <c r="Y47" s="246">
        <v>4.7E-2</v>
      </c>
      <c r="Z47" s="246">
        <v>4.7E-2</v>
      </c>
      <c r="AA47" s="246">
        <v>4.7E-2</v>
      </c>
      <c r="AB47" s="246">
        <v>4.7E-2</v>
      </c>
      <c r="AC47" s="246">
        <v>4.7E-2</v>
      </c>
      <c r="AD47" s="246">
        <v>4.7E-2</v>
      </c>
      <c r="AE47" s="246">
        <v>4.7E-2</v>
      </c>
    </row>
    <row r="48" spans="1:31" x14ac:dyDescent="0.2">
      <c r="A48" s="244" t="s">
        <v>268</v>
      </c>
      <c r="B48" s="246">
        <f>B47</f>
        <v>6.8000000000000005E-2</v>
      </c>
      <c r="C48" s="246">
        <f t="shared" ref="C48:AE48" si="0">(1+B48)*(1+C47)-1</f>
        <v>0.12780800000000014</v>
      </c>
      <c r="D48" s="246">
        <f t="shared" si="0"/>
        <v>0.18307059199999998</v>
      </c>
      <c r="E48" s="246">
        <f t="shared" si="0"/>
        <v>0.34751740428800004</v>
      </c>
      <c r="F48" s="246">
        <f t="shared" si="0"/>
        <v>0.42702093114099204</v>
      </c>
      <c r="G48" s="246">
        <f t="shared" si="0"/>
        <v>0.50265304049146442</v>
      </c>
      <c r="H48" s="246">
        <f t="shared" si="0"/>
        <v>0.57478038643505469</v>
      </c>
      <c r="I48" s="246">
        <f t="shared" si="0"/>
        <v>0.64879506459750225</v>
      </c>
      <c r="J48" s="246">
        <f t="shared" si="0"/>
        <v>0.72628843263358478</v>
      </c>
      <c r="K48" s="246">
        <f t="shared" si="0"/>
        <v>0.80742398896736312</v>
      </c>
      <c r="L48" s="246">
        <f t="shared" si="0"/>
        <v>0.89237291644882899</v>
      </c>
      <c r="M48" s="246">
        <f t="shared" si="0"/>
        <v>0.98131444352192387</v>
      </c>
      <c r="N48" s="246">
        <f t="shared" si="0"/>
        <v>1.0744362223674542</v>
      </c>
      <c r="O48" s="246">
        <f t="shared" si="0"/>
        <v>1.1719347248187244</v>
      </c>
      <c r="P48" s="246">
        <f t="shared" si="0"/>
        <v>1.2740156568852044</v>
      </c>
      <c r="Q48" s="246">
        <f t="shared" si="0"/>
        <v>1.3808943927588087</v>
      </c>
      <c r="R48" s="246">
        <f t="shared" si="0"/>
        <v>1.4927964292184726</v>
      </c>
      <c r="S48" s="246">
        <f t="shared" si="0"/>
        <v>1.6099578613917407</v>
      </c>
      <c r="T48" s="246">
        <f t="shared" si="0"/>
        <v>1.7326258808771522</v>
      </c>
      <c r="U48" s="246">
        <f t="shared" si="0"/>
        <v>1.8610592972783779</v>
      </c>
      <c r="V48" s="246">
        <f t="shared" si="0"/>
        <v>1.9955290842504616</v>
      </c>
      <c r="W48" s="246">
        <f t="shared" si="0"/>
        <v>2.136318951210233</v>
      </c>
      <c r="X48" s="246">
        <f t="shared" si="0"/>
        <v>2.2837259419171136</v>
      </c>
      <c r="Y48" s="246">
        <f t="shared" si="0"/>
        <v>2.4380610611872178</v>
      </c>
      <c r="Z48" s="246">
        <f t="shared" si="0"/>
        <v>2.5996499310630168</v>
      </c>
      <c r="AA48" s="246">
        <f t="shared" si="0"/>
        <v>2.7688334778229784</v>
      </c>
      <c r="AB48" s="246">
        <f t="shared" si="0"/>
        <v>2.945968651280658</v>
      </c>
      <c r="AC48" s="246">
        <f t="shared" si="0"/>
        <v>3.1314291778908485</v>
      </c>
      <c r="AD48" s="246">
        <f t="shared" si="0"/>
        <v>3.3256063492517178</v>
      </c>
      <c r="AE48" s="246">
        <f t="shared" si="0"/>
        <v>3.5289098476665481</v>
      </c>
    </row>
    <row r="49" spans="1:31" ht="13.5" thickBot="1" x14ac:dyDescent="0.25">
      <c r="A49" s="247" t="s">
        <v>432</v>
      </c>
      <c r="B49" s="248">
        <v>0</v>
      </c>
      <c r="C49" s="248">
        <v>0</v>
      </c>
      <c r="D49" s="248">
        <v>0</v>
      </c>
      <c r="E49" s="248">
        <v>0</v>
      </c>
      <c r="F49" s="248">
        <v>41730164.634240001</v>
      </c>
      <c r="G49" s="248">
        <v>44184880.200960003</v>
      </c>
      <c r="H49" s="248">
        <v>44184880.200960003</v>
      </c>
      <c r="I49" s="248">
        <v>44184880.200960003</v>
      </c>
      <c r="J49" s="248">
        <v>44184880.200960003</v>
      </c>
      <c r="K49" s="248">
        <v>44184880.200960003</v>
      </c>
      <c r="L49" s="248">
        <v>44184880.200960003</v>
      </c>
      <c r="M49" s="248">
        <v>44184880.200960003</v>
      </c>
      <c r="N49" s="248">
        <v>44184880.200960003</v>
      </c>
      <c r="O49" s="248">
        <v>44184880.200960003</v>
      </c>
      <c r="P49" s="248">
        <v>44184880.200960003</v>
      </c>
      <c r="Q49" s="248">
        <v>44184880.200960003</v>
      </c>
      <c r="R49" s="248">
        <v>44184880.200960003</v>
      </c>
      <c r="S49" s="248">
        <v>44184880.200960003</v>
      </c>
      <c r="T49" s="248">
        <v>44184880.200960003</v>
      </c>
      <c r="U49" s="248">
        <v>44184880.200960003</v>
      </c>
      <c r="V49" s="248">
        <v>44184880.200960003</v>
      </c>
      <c r="W49" s="248">
        <v>44184880.200960003</v>
      </c>
      <c r="X49" s="248">
        <v>44184880.200960003</v>
      </c>
      <c r="Y49" s="248">
        <v>44184880.200960003</v>
      </c>
      <c r="Z49" s="248">
        <v>44184880.200960003</v>
      </c>
      <c r="AA49" s="248">
        <v>44184880.200960003</v>
      </c>
      <c r="AB49" s="248">
        <v>44184880.200960003</v>
      </c>
      <c r="AC49" s="248">
        <v>44184880.200960003</v>
      </c>
      <c r="AD49" s="248">
        <v>44184880.200960003</v>
      </c>
      <c r="AE49" s="248">
        <v>44184880.200960003</v>
      </c>
    </row>
    <row r="50" spans="1:31" ht="13.5" thickBot="1" x14ac:dyDescent="0.25">
      <c r="A50" s="249"/>
      <c r="N50" s="206"/>
      <c r="AC50" s="250"/>
      <c r="AD50" s="250"/>
      <c r="AE50" s="250"/>
    </row>
    <row r="51" spans="1:31" x14ac:dyDescent="0.2">
      <c r="A51" s="251" t="s">
        <v>267</v>
      </c>
      <c r="B51" s="242">
        <v>1</v>
      </c>
      <c r="C51" s="242">
        <v>2</v>
      </c>
      <c r="D51" s="242">
        <v>3</v>
      </c>
      <c r="E51" s="242">
        <v>4</v>
      </c>
      <c r="F51" s="242">
        <v>5</v>
      </c>
      <c r="G51" s="242">
        <v>6</v>
      </c>
      <c r="H51" s="242">
        <v>7</v>
      </c>
      <c r="I51" s="242">
        <v>8</v>
      </c>
      <c r="J51" s="242">
        <v>9</v>
      </c>
      <c r="K51" s="242">
        <v>10</v>
      </c>
      <c r="L51" s="242">
        <v>11</v>
      </c>
      <c r="M51" s="242">
        <v>12</v>
      </c>
      <c r="N51" s="242">
        <v>13</v>
      </c>
      <c r="O51" s="242">
        <v>14</v>
      </c>
      <c r="P51" s="242">
        <v>15</v>
      </c>
      <c r="Q51" s="242">
        <v>16</v>
      </c>
      <c r="R51" s="242">
        <v>17</v>
      </c>
      <c r="S51" s="242">
        <v>18</v>
      </c>
      <c r="T51" s="242">
        <v>19</v>
      </c>
      <c r="U51" s="242">
        <v>20</v>
      </c>
      <c r="V51" s="242">
        <v>21</v>
      </c>
      <c r="W51" s="242">
        <v>22</v>
      </c>
      <c r="X51" s="242">
        <v>23</v>
      </c>
      <c r="Y51" s="242">
        <v>24</v>
      </c>
      <c r="Z51" s="242">
        <v>25</v>
      </c>
      <c r="AA51" s="242">
        <v>26</v>
      </c>
      <c r="AB51" s="242">
        <v>27</v>
      </c>
      <c r="AC51" s="242">
        <v>28</v>
      </c>
      <c r="AD51" s="242">
        <v>29</v>
      </c>
      <c r="AE51" s="242">
        <v>30</v>
      </c>
    </row>
    <row r="52" spans="1:31" x14ac:dyDescent="0.2">
      <c r="A52" s="244" t="s">
        <v>266</v>
      </c>
      <c r="B52" s="252">
        <v>0</v>
      </c>
      <c r="C52" s="252">
        <v>0</v>
      </c>
      <c r="D52" s="252">
        <v>0</v>
      </c>
      <c r="E52" s="252">
        <v>0</v>
      </c>
      <c r="F52" s="252">
        <v>0</v>
      </c>
      <c r="G52" s="252">
        <v>0</v>
      </c>
      <c r="H52" s="252">
        <v>0</v>
      </c>
      <c r="I52" s="252">
        <v>0</v>
      </c>
      <c r="J52" s="252">
        <v>0</v>
      </c>
      <c r="K52" s="252">
        <v>0</v>
      </c>
      <c r="L52" s="252">
        <v>0</v>
      </c>
      <c r="M52" s="252">
        <v>0</v>
      </c>
      <c r="N52" s="252">
        <v>0</v>
      </c>
      <c r="O52" s="252">
        <v>0</v>
      </c>
      <c r="P52" s="252">
        <v>0</v>
      </c>
      <c r="Q52" s="252">
        <v>0</v>
      </c>
      <c r="R52" s="252">
        <v>0</v>
      </c>
      <c r="S52" s="252">
        <v>0</v>
      </c>
      <c r="T52" s="252">
        <v>0</v>
      </c>
      <c r="U52" s="252">
        <v>0</v>
      </c>
      <c r="V52" s="252">
        <v>0</v>
      </c>
      <c r="W52" s="252">
        <v>0</v>
      </c>
      <c r="X52" s="252">
        <v>0</v>
      </c>
      <c r="Y52" s="252">
        <v>0</v>
      </c>
      <c r="Z52" s="252">
        <v>0</v>
      </c>
      <c r="AA52" s="252">
        <v>0</v>
      </c>
      <c r="AB52" s="252">
        <v>0</v>
      </c>
      <c r="AC52" s="253">
        <v>0</v>
      </c>
      <c r="AD52" s="253">
        <v>0</v>
      </c>
      <c r="AE52" s="253">
        <v>0</v>
      </c>
    </row>
    <row r="53" spans="1:31" x14ac:dyDescent="0.2">
      <c r="A53" s="244" t="s">
        <v>265</v>
      </c>
      <c r="B53" s="252">
        <v>0</v>
      </c>
      <c r="C53" s="252">
        <v>0</v>
      </c>
      <c r="D53" s="252">
        <v>0</v>
      </c>
      <c r="E53" s="252">
        <v>0</v>
      </c>
      <c r="F53" s="252">
        <v>0</v>
      </c>
      <c r="G53" s="252">
        <v>0</v>
      </c>
      <c r="H53" s="252">
        <v>0</v>
      </c>
      <c r="I53" s="252">
        <v>0</v>
      </c>
      <c r="J53" s="252">
        <v>0</v>
      </c>
      <c r="K53" s="252">
        <v>0</v>
      </c>
      <c r="L53" s="252">
        <v>0</v>
      </c>
      <c r="M53" s="252">
        <v>0</v>
      </c>
      <c r="N53" s="252">
        <v>0</v>
      </c>
      <c r="O53" s="252">
        <v>0</v>
      </c>
      <c r="P53" s="252">
        <v>0</v>
      </c>
      <c r="Q53" s="252">
        <v>0</v>
      </c>
      <c r="R53" s="252">
        <v>0</v>
      </c>
      <c r="S53" s="252">
        <v>0</v>
      </c>
      <c r="T53" s="252">
        <v>0</v>
      </c>
      <c r="U53" s="252">
        <v>0</v>
      </c>
      <c r="V53" s="252">
        <v>0</v>
      </c>
      <c r="W53" s="252">
        <v>0</v>
      </c>
      <c r="X53" s="252">
        <v>0</v>
      </c>
      <c r="Y53" s="252">
        <v>0</v>
      </c>
      <c r="Z53" s="252">
        <v>0</v>
      </c>
      <c r="AA53" s="252">
        <v>0</v>
      </c>
      <c r="AB53" s="252">
        <v>0</v>
      </c>
      <c r="AC53" s="253">
        <v>0</v>
      </c>
      <c r="AD53" s="253">
        <v>0</v>
      </c>
      <c r="AE53" s="253">
        <v>0</v>
      </c>
    </row>
    <row r="54" spans="1:31" x14ac:dyDescent="0.2">
      <c r="A54" s="244" t="s">
        <v>264</v>
      </c>
      <c r="B54" s="252">
        <v>0</v>
      </c>
      <c r="C54" s="252">
        <v>0</v>
      </c>
      <c r="D54" s="252">
        <v>0</v>
      </c>
      <c r="E54" s="252">
        <v>0</v>
      </c>
      <c r="F54" s="252">
        <v>0</v>
      </c>
      <c r="G54" s="252">
        <v>0</v>
      </c>
      <c r="H54" s="252">
        <v>0</v>
      </c>
      <c r="I54" s="252">
        <v>0</v>
      </c>
      <c r="J54" s="252">
        <v>0</v>
      </c>
      <c r="K54" s="252">
        <v>0</v>
      </c>
      <c r="L54" s="252">
        <v>0</v>
      </c>
      <c r="M54" s="252">
        <v>0</v>
      </c>
      <c r="N54" s="252">
        <v>0</v>
      </c>
      <c r="O54" s="252">
        <v>0</v>
      </c>
      <c r="P54" s="252">
        <v>0</v>
      </c>
      <c r="Q54" s="252">
        <v>0</v>
      </c>
      <c r="R54" s="252">
        <v>0</v>
      </c>
      <c r="S54" s="252">
        <v>0</v>
      </c>
      <c r="T54" s="252">
        <v>0</v>
      </c>
      <c r="U54" s="252">
        <v>0</v>
      </c>
      <c r="V54" s="252">
        <v>0</v>
      </c>
      <c r="W54" s="252">
        <v>0</v>
      </c>
      <c r="X54" s="252">
        <v>0</v>
      </c>
      <c r="Y54" s="252">
        <v>0</v>
      </c>
      <c r="Z54" s="252">
        <v>0</v>
      </c>
      <c r="AA54" s="252">
        <v>0</v>
      </c>
      <c r="AB54" s="252">
        <v>0</v>
      </c>
      <c r="AC54" s="253">
        <v>0</v>
      </c>
      <c r="AD54" s="253">
        <v>0</v>
      </c>
      <c r="AE54" s="253">
        <v>0</v>
      </c>
    </row>
    <row r="55" spans="1:31" ht="13.5" thickBot="1" x14ac:dyDescent="0.25">
      <c r="A55" s="247" t="s">
        <v>263</v>
      </c>
      <c r="B55" s="254">
        <v>0</v>
      </c>
      <c r="C55" s="254">
        <v>0</v>
      </c>
      <c r="D55" s="254">
        <v>0</v>
      </c>
      <c r="E55" s="254">
        <v>0</v>
      </c>
      <c r="F55" s="254">
        <v>0</v>
      </c>
      <c r="G55" s="254">
        <v>0</v>
      </c>
      <c r="H55" s="254">
        <v>0</v>
      </c>
      <c r="I55" s="254">
        <v>0</v>
      </c>
      <c r="J55" s="254">
        <v>0</v>
      </c>
      <c r="K55" s="254">
        <v>0</v>
      </c>
      <c r="L55" s="254">
        <v>0</v>
      </c>
      <c r="M55" s="254">
        <v>0</v>
      </c>
      <c r="N55" s="254">
        <v>0</v>
      </c>
      <c r="O55" s="254">
        <v>0</v>
      </c>
      <c r="P55" s="254">
        <v>0</v>
      </c>
      <c r="Q55" s="254">
        <v>0</v>
      </c>
      <c r="R55" s="254">
        <v>0</v>
      </c>
      <c r="S55" s="254">
        <v>0</v>
      </c>
      <c r="T55" s="254">
        <v>0</v>
      </c>
      <c r="U55" s="254">
        <v>0</v>
      </c>
      <c r="V55" s="254">
        <v>0</v>
      </c>
      <c r="W55" s="254">
        <v>0</v>
      </c>
      <c r="X55" s="254">
        <v>0</v>
      </c>
      <c r="Y55" s="254">
        <v>0</v>
      </c>
      <c r="Z55" s="254">
        <v>0</v>
      </c>
      <c r="AA55" s="254">
        <v>0</v>
      </c>
      <c r="AB55" s="254">
        <v>0</v>
      </c>
      <c r="AC55" s="255">
        <v>0</v>
      </c>
      <c r="AD55" s="255">
        <v>0</v>
      </c>
      <c r="AE55" s="255">
        <v>0</v>
      </c>
    </row>
    <row r="56" spans="1:31" ht="13.5" thickBot="1" x14ac:dyDescent="0.25">
      <c r="A56" s="249"/>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c r="AC56" s="257"/>
      <c r="AD56" s="257"/>
      <c r="AE56" s="257"/>
    </row>
    <row r="57" spans="1:31" ht="13.5" thickBot="1" x14ac:dyDescent="0.25">
      <c r="A57" s="251" t="s">
        <v>433</v>
      </c>
      <c r="B57" s="242">
        <v>1</v>
      </c>
      <c r="C57" s="242">
        <v>2</v>
      </c>
      <c r="D57" s="242">
        <v>3</v>
      </c>
      <c r="E57" s="242">
        <v>4</v>
      </c>
      <c r="F57" s="242">
        <v>5</v>
      </c>
      <c r="G57" s="242">
        <v>6</v>
      </c>
      <c r="H57" s="242">
        <v>7</v>
      </c>
      <c r="I57" s="242">
        <v>8</v>
      </c>
      <c r="J57" s="242">
        <v>9</v>
      </c>
      <c r="K57" s="242">
        <v>10</v>
      </c>
      <c r="L57" s="242">
        <v>11</v>
      </c>
      <c r="M57" s="242">
        <v>12</v>
      </c>
      <c r="N57" s="242">
        <v>13</v>
      </c>
      <c r="O57" s="242">
        <v>14</v>
      </c>
      <c r="P57" s="242">
        <v>15</v>
      </c>
      <c r="Q57" s="242">
        <v>16</v>
      </c>
      <c r="R57" s="242">
        <v>17</v>
      </c>
      <c r="S57" s="242">
        <v>18</v>
      </c>
      <c r="T57" s="242">
        <v>19</v>
      </c>
      <c r="U57" s="242">
        <v>20</v>
      </c>
      <c r="V57" s="242">
        <v>21</v>
      </c>
      <c r="W57" s="242">
        <v>22</v>
      </c>
      <c r="X57" s="242">
        <v>23</v>
      </c>
      <c r="Y57" s="242">
        <v>24</v>
      </c>
      <c r="Z57" s="242">
        <v>25</v>
      </c>
      <c r="AA57" s="242">
        <v>26</v>
      </c>
      <c r="AB57" s="242">
        <v>27</v>
      </c>
      <c r="AC57" s="242">
        <v>28</v>
      </c>
      <c r="AD57" s="242">
        <v>29</v>
      </c>
      <c r="AE57" s="242">
        <v>30</v>
      </c>
    </row>
    <row r="58" spans="1:31" x14ac:dyDescent="0.2">
      <c r="A58" s="251" t="s">
        <v>262</v>
      </c>
      <c r="B58" s="242">
        <f t="shared" ref="B58:AE58" si="1">B49*$B$27</f>
        <v>0</v>
      </c>
      <c r="C58" s="242">
        <f>C49*$B$27</f>
        <v>0</v>
      </c>
      <c r="D58" s="242">
        <f t="shared" si="1"/>
        <v>0</v>
      </c>
      <c r="E58" s="242">
        <f t="shared" si="1"/>
        <v>0</v>
      </c>
      <c r="F58" s="242">
        <f t="shared" si="1"/>
        <v>41730164.634240001</v>
      </c>
      <c r="G58" s="242">
        <f t="shared" si="1"/>
        <v>44184880.200960003</v>
      </c>
      <c r="H58" s="242">
        <f t="shared" si="1"/>
        <v>44184880.200960003</v>
      </c>
      <c r="I58" s="242">
        <f t="shared" si="1"/>
        <v>44184880.200960003</v>
      </c>
      <c r="J58" s="242">
        <f t="shared" si="1"/>
        <v>44184880.200960003</v>
      </c>
      <c r="K58" s="242">
        <f t="shared" si="1"/>
        <v>44184880.200960003</v>
      </c>
      <c r="L58" s="242">
        <f t="shared" si="1"/>
        <v>44184880.200960003</v>
      </c>
      <c r="M58" s="242">
        <f t="shared" si="1"/>
        <v>44184880.200960003</v>
      </c>
      <c r="N58" s="242">
        <f t="shared" si="1"/>
        <v>44184880.200960003</v>
      </c>
      <c r="O58" s="242">
        <f t="shared" si="1"/>
        <v>44184880.200960003</v>
      </c>
      <c r="P58" s="242">
        <f t="shared" si="1"/>
        <v>44184880.200960003</v>
      </c>
      <c r="Q58" s="242">
        <f t="shared" si="1"/>
        <v>44184880.200960003</v>
      </c>
      <c r="R58" s="242">
        <f t="shared" si="1"/>
        <v>44184880.200960003</v>
      </c>
      <c r="S58" s="242">
        <f t="shared" si="1"/>
        <v>44184880.200960003</v>
      </c>
      <c r="T58" s="242">
        <f t="shared" si="1"/>
        <v>44184880.200960003</v>
      </c>
      <c r="U58" s="242">
        <f t="shared" si="1"/>
        <v>44184880.200960003</v>
      </c>
      <c r="V58" s="242">
        <f t="shared" si="1"/>
        <v>44184880.200960003</v>
      </c>
      <c r="W58" s="242">
        <f t="shared" si="1"/>
        <v>44184880.200960003</v>
      </c>
      <c r="X58" s="242">
        <f t="shared" si="1"/>
        <v>44184880.200960003</v>
      </c>
      <c r="Y58" s="242">
        <f t="shared" si="1"/>
        <v>44184880.200960003</v>
      </c>
      <c r="Z58" s="242">
        <f t="shared" si="1"/>
        <v>44184880.200960003</v>
      </c>
      <c r="AA58" s="242">
        <f t="shared" si="1"/>
        <v>44184880.200960003</v>
      </c>
      <c r="AB58" s="242">
        <f t="shared" si="1"/>
        <v>44184880.200960003</v>
      </c>
      <c r="AC58" s="242">
        <f t="shared" si="1"/>
        <v>44184880.200960003</v>
      </c>
      <c r="AD58" s="242">
        <f t="shared" si="1"/>
        <v>44184880.200960003</v>
      </c>
      <c r="AE58" s="242">
        <f t="shared" si="1"/>
        <v>44184880.200960003</v>
      </c>
    </row>
    <row r="59" spans="1:31" x14ac:dyDescent="0.2">
      <c r="A59" s="244" t="s">
        <v>261</v>
      </c>
      <c r="B59" s="258">
        <f t="shared" ref="B59:AE59" si="2">SUM(B60:B65)</f>
        <v>0</v>
      </c>
      <c r="C59" s="258">
        <f t="shared" si="2"/>
        <v>0</v>
      </c>
      <c r="D59" s="258">
        <f>SUM(D60:D65)</f>
        <v>0</v>
      </c>
      <c r="E59" s="258">
        <f t="shared" si="2"/>
        <v>0</v>
      </c>
      <c r="F59" s="258">
        <f t="shared" si="2"/>
        <v>-21266.666666666664</v>
      </c>
      <c r="G59" s="258">
        <f t="shared" si="2"/>
        <v>-20533.333333333332</v>
      </c>
      <c r="H59" s="258">
        <f t="shared" si="2"/>
        <v>-19799.999999999996</v>
      </c>
      <c r="I59" s="258">
        <f t="shared" si="2"/>
        <v>-17866.666666666661</v>
      </c>
      <c r="J59" s="258">
        <f t="shared" si="2"/>
        <v>-18333.333333333328</v>
      </c>
      <c r="K59" s="258">
        <f t="shared" si="2"/>
        <v>-53599.999999999993</v>
      </c>
      <c r="L59" s="258">
        <f t="shared" si="2"/>
        <v>-16866.666666666661</v>
      </c>
      <c r="M59" s="258">
        <f t="shared" si="2"/>
        <v>-16133.333333333325</v>
      </c>
      <c r="N59" s="258">
        <f t="shared" si="2"/>
        <v>-28599.999999999989</v>
      </c>
      <c r="O59" s="258">
        <f t="shared" si="2"/>
        <v>-426886.2184323218</v>
      </c>
      <c r="P59" s="258">
        <f t="shared" si="2"/>
        <v>-13933.333333333323</v>
      </c>
      <c r="Q59" s="258">
        <f t="shared" si="2"/>
        <v>-13199.999999999989</v>
      </c>
      <c r="R59" s="258">
        <f t="shared" si="2"/>
        <v>-12466.666666666655</v>
      </c>
      <c r="S59" s="258">
        <f t="shared" si="2"/>
        <v>-47733.333333333321</v>
      </c>
      <c r="T59" s="258">
        <f t="shared" si="2"/>
        <v>-10999.999999999987</v>
      </c>
      <c r="U59" s="258">
        <f t="shared" si="2"/>
        <v>-422486.2184323218</v>
      </c>
      <c r="V59" s="258">
        <f t="shared" si="2"/>
        <v>-9533.3333333333212</v>
      </c>
      <c r="W59" s="258">
        <f t="shared" si="2"/>
        <v>-8799.9999999999891</v>
      </c>
      <c r="X59" s="258">
        <f t="shared" si="2"/>
        <v>-8066.6666666666561</v>
      </c>
      <c r="Y59" s="258">
        <f t="shared" si="2"/>
        <v>-7333.3333333333239</v>
      </c>
      <c r="Z59" s="258">
        <f t="shared" si="2"/>
        <v>-6599.9999999999909</v>
      </c>
      <c r="AA59" s="258">
        <f t="shared" si="2"/>
        <v>-41866.666666666657</v>
      </c>
      <c r="AB59" s="258">
        <f t="shared" si="2"/>
        <v>-5133.3333333333239</v>
      </c>
      <c r="AC59" s="258">
        <f t="shared" si="2"/>
        <v>-4399.9999999999909</v>
      </c>
      <c r="AD59" s="258">
        <f t="shared" si="2"/>
        <v>-3666.6666666666574</v>
      </c>
      <c r="AE59" s="258">
        <f t="shared" si="2"/>
        <v>-2933.3333333333239</v>
      </c>
    </row>
    <row r="60" spans="1:31" x14ac:dyDescent="0.2">
      <c r="A60" s="259" t="s">
        <v>260</v>
      </c>
      <c r="B60" s="252"/>
      <c r="C60" s="252"/>
      <c r="D60" s="252"/>
      <c r="E60" s="252"/>
      <c r="F60" s="252"/>
      <c r="G60" s="252"/>
      <c r="H60" s="252"/>
      <c r="I60" s="252">
        <f>B28*1.2</f>
        <v>1200</v>
      </c>
      <c r="J60" s="252"/>
      <c r="K60" s="252"/>
      <c r="L60" s="252"/>
      <c r="M60" s="252"/>
      <c r="N60" s="252"/>
      <c r="O60" s="252">
        <v>-412219.55176565517</v>
      </c>
      <c r="P60" s="252"/>
      <c r="Q60" s="252"/>
      <c r="R60" s="252"/>
      <c r="S60" s="252"/>
      <c r="T60" s="252"/>
      <c r="U60" s="252">
        <v>-412219.55176565517</v>
      </c>
      <c r="V60" s="252"/>
      <c r="W60" s="252"/>
      <c r="X60" s="252"/>
      <c r="Y60" s="252"/>
      <c r="Z60" s="252"/>
      <c r="AA60" s="252"/>
      <c r="AB60" s="252"/>
      <c r="AC60" s="252"/>
      <c r="AD60" s="252"/>
      <c r="AE60" s="252"/>
    </row>
    <row r="61" spans="1:31" x14ac:dyDescent="0.2">
      <c r="A61" s="259" t="s">
        <v>259</v>
      </c>
      <c r="B61" s="252"/>
      <c r="C61" s="252"/>
      <c r="D61" s="252"/>
      <c r="E61" s="252"/>
      <c r="F61" s="252"/>
      <c r="G61" s="252"/>
      <c r="H61" s="252"/>
      <c r="I61" s="252"/>
      <c r="J61" s="252"/>
      <c r="K61" s="252">
        <v>0</v>
      </c>
      <c r="L61" s="252"/>
      <c r="M61" s="252"/>
      <c r="N61" s="252"/>
      <c r="O61" s="252"/>
      <c r="P61" s="252"/>
      <c r="Q61" s="252"/>
      <c r="R61" s="252"/>
      <c r="S61" s="252">
        <f>K61</f>
        <v>0</v>
      </c>
      <c r="T61" s="252"/>
      <c r="U61" s="252"/>
      <c r="V61" s="252"/>
      <c r="W61" s="252"/>
      <c r="X61" s="252"/>
      <c r="Y61" s="252"/>
      <c r="Z61" s="252"/>
      <c r="AA61" s="260">
        <v>0</v>
      </c>
      <c r="AB61" s="252"/>
      <c r="AC61" s="252"/>
      <c r="AD61" s="252"/>
      <c r="AE61" s="252"/>
    </row>
    <row r="62" spans="1:31" x14ac:dyDescent="0.2">
      <c r="A62" s="259" t="s">
        <v>568</v>
      </c>
      <c r="B62" s="252"/>
      <c r="C62" s="252"/>
      <c r="D62" s="252"/>
      <c r="E62" s="252"/>
      <c r="F62" s="252"/>
      <c r="G62" s="252"/>
      <c r="H62" s="252"/>
      <c r="I62" s="252"/>
      <c r="J62" s="252"/>
      <c r="K62" s="252">
        <f>-B34*1.2</f>
        <v>-36000</v>
      </c>
      <c r="L62" s="252"/>
      <c r="M62" s="252"/>
      <c r="N62" s="252"/>
      <c r="O62" s="252"/>
      <c r="P62" s="252"/>
      <c r="Q62" s="252"/>
      <c r="R62" s="252"/>
      <c r="S62" s="252">
        <f>K62</f>
        <v>-36000</v>
      </c>
      <c r="T62" s="252"/>
      <c r="U62" s="252"/>
      <c r="V62" s="252"/>
      <c r="W62" s="252"/>
      <c r="X62" s="252"/>
      <c r="Y62" s="252"/>
      <c r="Z62" s="252"/>
      <c r="AA62" s="252">
        <f>S62</f>
        <v>-36000</v>
      </c>
      <c r="AB62" s="252"/>
      <c r="AC62" s="252"/>
      <c r="AD62" s="252"/>
      <c r="AE62" s="252"/>
    </row>
    <row r="63" spans="1:31" x14ac:dyDescent="0.2">
      <c r="A63" s="259" t="s">
        <v>430</v>
      </c>
      <c r="B63" s="261">
        <v>0</v>
      </c>
      <c r="C63" s="261">
        <v>0</v>
      </c>
      <c r="D63" s="261">
        <v>0</v>
      </c>
      <c r="E63" s="261">
        <v>0</v>
      </c>
      <c r="F63" s="261">
        <v>0</v>
      </c>
      <c r="G63" s="261">
        <v>0</v>
      </c>
      <c r="H63" s="261">
        <v>0</v>
      </c>
      <c r="I63" s="261">
        <v>0</v>
      </c>
      <c r="J63" s="261">
        <v>0</v>
      </c>
      <c r="K63" s="261">
        <v>0</v>
      </c>
      <c r="L63" s="261">
        <v>0</v>
      </c>
      <c r="M63" s="261">
        <v>0</v>
      </c>
      <c r="N63" s="261">
        <v>0</v>
      </c>
      <c r="O63" s="261">
        <v>0</v>
      </c>
      <c r="P63" s="261">
        <v>0</v>
      </c>
      <c r="Q63" s="261">
        <v>0</v>
      </c>
      <c r="R63" s="261">
        <v>0</v>
      </c>
      <c r="S63" s="261">
        <v>0</v>
      </c>
      <c r="T63" s="261">
        <v>0</v>
      </c>
      <c r="U63" s="261">
        <v>0</v>
      </c>
      <c r="V63" s="261">
        <v>0</v>
      </c>
      <c r="W63" s="261">
        <v>0</v>
      </c>
      <c r="X63" s="261">
        <v>0</v>
      </c>
      <c r="Y63" s="261">
        <v>0</v>
      </c>
      <c r="Z63" s="261">
        <v>0</v>
      </c>
      <c r="AA63" s="261">
        <v>0</v>
      </c>
      <c r="AB63" s="261">
        <v>0</v>
      </c>
      <c r="AC63" s="261">
        <v>0</v>
      </c>
      <c r="AD63" s="261">
        <v>0</v>
      </c>
      <c r="AE63" s="261">
        <v>0</v>
      </c>
    </row>
    <row r="64" spans="1:31" x14ac:dyDescent="0.2">
      <c r="A64" s="259" t="s">
        <v>430</v>
      </c>
      <c r="B64" s="261">
        <v>0</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61">
        <v>0</v>
      </c>
      <c r="AD64" s="261">
        <v>0</v>
      </c>
      <c r="AE64" s="261">
        <v>0</v>
      </c>
    </row>
    <row r="65" spans="1:31" x14ac:dyDescent="0.2">
      <c r="A65" s="259" t="s">
        <v>570</v>
      </c>
      <c r="B65" s="261">
        <v>0</v>
      </c>
      <c r="C65" s="261">
        <v>0</v>
      </c>
      <c r="D65" s="261">
        <v>0</v>
      </c>
      <c r="E65" s="261">
        <v>0</v>
      </c>
      <c r="F65" s="261">
        <f>-($B$24+F67)*0.022</f>
        <v>-21266.666666666664</v>
      </c>
      <c r="G65" s="261">
        <f>-($B$24+G67+F67)*0.022</f>
        <v>-20533.333333333332</v>
      </c>
      <c r="H65" s="265">
        <f>-($B$24+H67+F67+G67)*0.022</f>
        <v>-19799.999999999996</v>
      </c>
      <c r="I65" s="265">
        <f>-($B$24+I67+G67+H67+F67)*0.022</f>
        <v>-19066.666666666661</v>
      </c>
      <c r="J65" s="265">
        <f>-($B$24+J67+H67+I67+G67+F67)*0.022</f>
        <v>-18333.333333333328</v>
      </c>
      <c r="K65" s="265">
        <f>-($B$24+K67+I67+J67+H67+F67+G67)*0.022</f>
        <v>-17599.999999999993</v>
      </c>
      <c r="L65" s="265">
        <f>-($B$24+F67+L67+J67+K67+I67+G67+H67)*0.022</f>
        <v>-16866.666666666661</v>
      </c>
      <c r="M65" s="265">
        <f>-($B$24+G67+M67+K67+L67+J67+H67+I67+F67)*0.022</f>
        <v>-16133.333333333325</v>
      </c>
      <c r="N65" s="265">
        <f>(-$B$24+H67+N67+L67+M67+K67+I67+J67+G67+F67+E67+D67)*0.022</f>
        <v>-28599.999999999989</v>
      </c>
      <c r="O65" s="265">
        <f>-($B$24+I67+O67+M67+N67+L67+J67+K67+H67+G67+F67+D67+E67)*0.022</f>
        <v>-14666.666666666657</v>
      </c>
      <c r="P65" s="265">
        <f>-($B$24+J67+P67+N67+O67+M67+K67+L67+I67+H67+G67+E67+D67+F67)*0.022</f>
        <v>-13933.333333333323</v>
      </c>
      <c r="Q65" s="265">
        <f>-($B$24+K67+Q67+O67+P67+N67+L67+M67+J67+I67+H67+F67+G67+D67+E67)*0.022</f>
        <v>-13199.999999999989</v>
      </c>
      <c r="R65" s="265">
        <f>-($B$24+L67+R67+P67+Q67+O67+M67+N67+K67+J67+I67+G67+H67+E67+D67+F67)*0.022</f>
        <v>-12466.666666666655</v>
      </c>
      <c r="S65" s="265">
        <f>-($B$24+M67+S67+Q67+R67+P67+N67+O67+L67+K67+J67+H67+I67+F67+E67+D67+G67)*0.022</f>
        <v>-11733.333333333321</v>
      </c>
      <c r="T65" s="265">
        <f>-($B$24+N67+T67+R67+S67+Q67+O67+P67+M67+L67+K67+I67+J67+G67+F67+E67+D67+H67)*0.022</f>
        <v>-10999.999999999987</v>
      </c>
      <c r="U65" s="265">
        <f>-($B$24+O67+U67+S67+T67+R67+P67+Q67+N67+M67+L67+J67+K67+H67+G67+F67+E67+D67+I67)*0.022</f>
        <v>-10266.666666666655</v>
      </c>
      <c r="V65" s="265">
        <f>-($B$24+P67+V67+T67+U67+S67+Q67+R67+O67+N67+M67+K67+L67+I67+H67+G67+F67+D67+E67++J67)*0.022</f>
        <v>-9533.3333333333212</v>
      </c>
      <c r="W65" s="265">
        <f>-($B$24+Q67+W67+U67+V67+T67+R67+S67+P67+O67+N67+L67+M67+J67+I67+H67+G67+E67+F67+D67+K67)*0.022</f>
        <v>-8799.9999999999891</v>
      </c>
      <c r="X65" s="265">
        <f>-($B$24+R67+X67+V67+W67+U67+S67+T67+Q67+P67+O67+M67+N67+K67+J67+I67+H67+F67+G67+E67+D67+L67)*0.022</f>
        <v>-8066.6666666666561</v>
      </c>
      <c r="Y65" s="265">
        <f>-($B$24+S67+Y67+W67+X67+V67+T67+U67+R67+Q67+P67+N67+O67+L67+K67+J67+I67+G67+H67+F67+E67+D67+M67)*0.022</f>
        <v>-7333.3333333333239</v>
      </c>
      <c r="Z65" s="265">
        <f>-($B$24+T67+Z67+X67+Y67+W67+U67+V67+S67+R67+Q67+O67+P67+M67+L67+K67+J67+H67+I67+G67+F67+E67+D67+N67)*0.022</f>
        <v>-6599.9999999999909</v>
      </c>
      <c r="AA65" s="265">
        <f>-($B$24+U67+AA67+Y67+Z67+X67+V67+W67+T67+S67+R67+P67+Q67+N67+M67+L67+K67+I67+J67+H67+G67+F67+E67+D67+O67)*0.022</f>
        <v>-5866.6666666666579</v>
      </c>
      <c r="AB65" s="265">
        <f>-($B$24+V67+AB67+Z67+AA67+Y67+W67+X67+U67+T67+S67+Q67+R67+O67+N67+M67+L67+J67+K67+I67+H67+G67+F67+E67+D67+P67)*0.022</f>
        <v>-5133.3333333333239</v>
      </c>
      <c r="AC65" s="265">
        <f>-($B$24+W67+AC67+AA67+AB67+Z67+X67+Y67+V67+U67+T67+R67+S67+P67+O67+N67+M67+K67+L67+J67+I67+H67+G67+F67+E67+D67+Q67)*0.022</f>
        <v>-4399.9999999999909</v>
      </c>
      <c r="AD65" s="265">
        <f>-($B$24+X67+AD67+AB67+AC67+AA67+Y67+Z67+W67+V67+U67+S67+T67+Q67+P67+O67+N67+L67+M67+K67+J67+I67+H67+G67+F67+E67+D67+R67)*0.022</f>
        <v>-3666.6666666666574</v>
      </c>
      <c r="AE65" s="265">
        <f>-($B$24+Y67+AE67+AC67+AD67+AB67+Z67+AA67+X67+W67+V67+T67+U67+R67+Q67+P67+O67+M67+N67+L67+K67+J67+I67+H67+G67+F67+E67+D67+S67)*0.022</f>
        <v>-2933.3333333333239</v>
      </c>
    </row>
    <row r="66" spans="1:31" x14ac:dyDescent="0.2">
      <c r="A66" s="262" t="s">
        <v>571</v>
      </c>
      <c r="B66" s="263">
        <f t="shared" ref="B66:AE66" si="3">B58+B59</f>
        <v>0</v>
      </c>
      <c r="C66" s="263">
        <f t="shared" si="3"/>
        <v>0</v>
      </c>
      <c r="D66" s="263">
        <f t="shared" si="3"/>
        <v>0</v>
      </c>
      <c r="E66" s="263">
        <f t="shared" si="3"/>
        <v>0</v>
      </c>
      <c r="F66" s="263">
        <f t="shared" si="3"/>
        <v>41708897.967573337</v>
      </c>
      <c r="G66" s="263">
        <f t="shared" si="3"/>
        <v>44164346.867626667</v>
      </c>
      <c r="H66" s="263">
        <f t="shared" si="3"/>
        <v>44165080.200960003</v>
      </c>
      <c r="I66" s="263">
        <f t="shared" si="3"/>
        <v>44167013.534293339</v>
      </c>
      <c r="J66" s="263">
        <f t="shared" si="3"/>
        <v>44166546.867626667</v>
      </c>
      <c r="K66" s="263">
        <f t="shared" si="3"/>
        <v>44131280.200960003</v>
      </c>
      <c r="L66" s="263">
        <f t="shared" si="3"/>
        <v>44168013.534293339</v>
      </c>
      <c r="M66" s="263">
        <f t="shared" si="3"/>
        <v>44168746.867626667</v>
      </c>
      <c r="N66" s="263">
        <f t="shared" si="3"/>
        <v>44156280.200960003</v>
      </c>
      <c r="O66" s="263">
        <f t="shared" si="3"/>
        <v>43757993.982527681</v>
      </c>
      <c r="P66" s="263">
        <f t="shared" si="3"/>
        <v>44170946.867626667</v>
      </c>
      <c r="Q66" s="263">
        <f t="shared" si="3"/>
        <v>44171680.200960003</v>
      </c>
      <c r="R66" s="263">
        <f t="shared" si="3"/>
        <v>44172413.534293339</v>
      </c>
      <c r="S66" s="263">
        <f t="shared" si="3"/>
        <v>44137146.867626667</v>
      </c>
      <c r="T66" s="263">
        <f t="shared" si="3"/>
        <v>44173880.200960003</v>
      </c>
      <c r="U66" s="263">
        <f t="shared" si="3"/>
        <v>43762393.982527681</v>
      </c>
      <c r="V66" s="263">
        <f t="shared" si="3"/>
        <v>44175346.867626667</v>
      </c>
      <c r="W66" s="263">
        <f t="shared" si="3"/>
        <v>44176080.200960003</v>
      </c>
      <c r="X66" s="263">
        <f t="shared" si="3"/>
        <v>44176813.534293339</v>
      </c>
      <c r="Y66" s="263">
        <f t="shared" si="3"/>
        <v>44177546.867626667</v>
      </c>
      <c r="Z66" s="263">
        <f t="shared" si="3"/>
        <v>44178280.200960003</v>
      </c>
      <c r="AA66" s="263">
        <f t="shared" si="3"/>
        <v>44143013.534293339</v>
      </c>
      <c r="AB66" s="263">
        <f t="shared" si="3"/>
        <v>44179746.867626667</v>
      </c>
      <c r="AC66" s="263">
        <f t="shared" si="3"/>
        <v>44180480.200960003</v>
      </c>
      <c r="AD66" s="263">
        <f t="shared" si="3"/>
        <v>44181213.534293339</v>
      </c>
      <c r="AE66" s="263">
        <f t="shared" si="3"/>
        <v>44181946.867626667</v>
      </c>
    </row>
    <row r="67" spans="1:31" x14ac:dyDescent="0.2">
      <c r="A67" s="259" t="s">
        <v>255</v>
      </c>
      <c r="B67" s="264">
        <v>0</v>
      </c>
      <c r="C67" s="264"/>
      <c r="D67" s="264">
        <v>0</v>
      </c>
      <c r="E67" s="265">
        <f t="shared" ref="E67:AE67" si="4">D67</f>
        <v>0</v>
      </c>
      <c r="F67" s="264">
        <f>-(B24)*$B$27/$B$26</f>
        <v>-33333.333333333336</v>
      </c>
      <c r="G67" s="265">
        <f t="shared" si="4"/>
        <v>-33333.333333333336</v>
      </c>
      <c r="H67" s="265">
        <f t="shared" si="4"/>
        <v>-33333.333333333336</v>
      </c>
      <c r="I67" s="265">
        <f t="shared" si="4"/>
        <v>-33333.333333333336</v>
      </c>
      <c r="J67" s="265">
        <f t="shared" si="4"/>
        <v>-33333.333333333336</v>
      </c>
      <c r="K67" s="265">
        <f t="shared" si="4"/>
        <v>-33333.333333333336</v>
      </c>
      <c r="L67" s="265">
        <f t="shared" si="4"/>
        <v>-33333.333333333336</v>
      </c>
      <c r="M67" s="265">
        <f t="shared" si="4"/>
        <v>-33333.333333333336</v>
      </c>
      <c r="N67" s="265">
        <f t="shared" si="4"/>
        <v>-33333.333333333336</v>
      </c>
      <c r="O67" s="265">
        <f t="shared" si="4"/>
        <v>-33333.333333333336</v>
      </c>
      <c r="P67" s="265">
        <f t="shared" si="4"/>
        <v>-33333.333333333336</v>
      </c>
      <c r="Q67" s="265">
        <f t="shared" si="4"/>
        <v>-33333.333333333336</v>
      </c>
      <c r="R67" s="265">
        <f t="shared" si="4"/>
        <v>-33333.333333333336</v>
      </c>
      <c r="S67" s="265">
        <f t="shared" si="4"/>
        <v>-33333.333333333336</v>
      </c>
      <c r="T67" s="265">
        <f t="shared" si="4"/>
        <v>-33333.333333333336</v>
      </c>
      <c r="U67" s="265">
        <f t="shared" si="4"/>
        <v>-33333.333333333336</v>
      </c>
      <c r="V67" s="265">
        <f t="shared" si="4"/>
        <v>-33333.333333333336</v>
      </c>
      <c r="W67" s="265">
        <f t="shared" si="4"/>
        <v>-33333.333333333336</v>
      </c>
      <c r="X67" s="265">
        <f t="shared" si="4"/>
        <v>-33333.333333333336</v>
      </c>
      <c r="Y67" s="265">
        <f t="shared" si="4"/>
        <v>-33333.333333333336</v>
      </c>
      <c r="Z67" s="265">
        <f t="shared" si="4"/>
        <v>-33333.333333333336</v>
      </c>
      <c r="AA67" s="265">
        <f t="shared" si="4"/>
        <v>-33333.333333333336</v>
      </c>
      <c r="AB67" s="265">
        <f t="shared" si="4"/>
        <v>-33333.333333333336</v>
      </c>
      <c r="AC67" s="265">
        <f t="shared" si="4"/>
        <v>-33333.333333333336</v>
      </c>
      <c r="AD67" s="265">
        <f t="shared" si="4"/>
        <v>-33333.333333333336</v>
      </c>
      <c r="AE67" s="265">
        <f t="shared" si="4"/>
        <v>-33333.333333333336</v>
      </c>
    </row>
    <row r="68" spans="1:31" x14ac:dyDescent="0.2">
      <c r="A68" s="262" t="s">
        <v>572</v>
      </c>
      <c r="B68" s="263">
        <f t="shared" ref="B68:AE68" si="5">B66+B67</f>
        <v>0</v>
      </c>
      <c r="C68" s="263">
        <f t="shared" si="5"/>
        <v>0</v>
      </c>
      <c r="D68" s="263">
        <f>D66+D67</f>
        <v>0</v>
      </c>
      <c r="E68" s="263">
        <f t="shared" si="5"/>
        <v>0</v>
      </c>
      <c r="F68" s="263">
        <f t="shared" si="5"/>
        <v>41675564.634240001</v>
      </c>
      <c r="G68" s="263">
        <f t="shared" si="5"/>
        <v>44131013.534293331</v>
      </c>
      <c r="H68" s="263">
        <f t="shared" si="5"/>
        <v>44131746.867626667</v>
      </c>
      <c r="I68" s="263">
        <f t="shared" si="5"/>
        <v>44133680.200960003</v>
      </c>
      <c r="J68" s="263">
        <f t="shared" si="5"/>
        <v>44133213.534293331</v>
      </c>
      <c r="K68" s="263">
        <f t="shared" si="5"/>
        <v>44097946.867626667</v>
      </c>
      <c r="L68" s="263">
        <f t="shared" si="5"/>
        <v>44134680.200960003</v>
      </c>
      <c r="M68" s="263">
        <f t="shared" si="5"/>
        <v>44135413.534293331</v>
      </c>
      <c r="N68" s="263">
        <f t="shared" si="5"/>
        <v>44122946.867626667</v>
      </c>
      <c r="O68" s="263">
        <f t="shared" si="5"/>
        <v>43724660.649194345</v>
      </c>
      <c r="P68" s="263">
        <f t="shared" si="5"/>
        <v>44137613.534293331</v>
      </c>
      <c r="Q68" s="263">
        <f t="shared" si="5"/>
        <v>44138346.867626667</v>
      </c>
      <c r="R68" s="263">
        <f t="shared" si="5"/>
        <v>44139080.200960003</v>
      </c>
      <c r="S68" s="263">
        <f t="shared" si="5"/>
        <v>44103813.534293331</v>
      </c>
      <c r="T68" s="263">
        <f t="shared" si="5"/>
        <v>44140546.867626667</v>
      </c>
      <c r="U68" s="263">
        <f t="shared" si="5"/>
        <v>43729060.649194345</v>
      </c>
      <c r="V68" s="263">
        <f t="shared" si="5"/>
        <v>44142013.534293331</v>
      </c>
      <c r="W68" s="263">
        <f t="shared" si="5"/>
        <v>44142746.867626667</v>
      </c>
      <c r="X68" s="263">
        <f t="shared" si="5"/>
        <v>44143480.200960003</v>
      </c>
      <c r="Y68" s="263">
        <f t="shared" si="5"/>
        <v>44144213.534293331</v>
      </c>
      <c r="Z68" s="263">
        <f t="shared" si="5"/>
        <v>44144946.867626667</v>
      </c>
      <c r="AA68" s="263">
        <f t="shared" si="5"/>
        <v>44109680.200960003</v>
      </c>
      <c r="AB68" s="263">
        <f t="shared" si="5"/>
        <v>44146413.534293331</v>
      </c>
      <c r="AC68" s="263">
        <f t="shared" si="5"/>
        <v>44147146.867626667</v>
      </c>
      <c r="AD68" s="263">
        <f t="shared" si="5"/>
        <v>44147880.200960003</v>
      </c>
      <c r="AE68" s="263">
        <f t="shared" si="5"/>
        <v>44148613.534293331</v>
      </c>
    </row>
    <row r="69" spans="1:31" x14ac:dyDescent="0.2">
      <c r="A69" s="259" t="s">
        <v>254</v>
      </c>
      <c r="B69" s="261">
        <v>0</v>
      </c>
      <c r="C69" s="261">
        <v>0</v>
      </c>
      <c r="D69" s="261">
        <v>0</v>
      </c>
      <c r="E69" s="261">
        <v>0</v>
      </c>
      <c r="F69" s="261">
        <v>0</v>
      </c>
      <c r="G69" s="261">
        <v>0</v>
      </c>
      <c r="H69" s="261">
        <v>0</v>
      </c>
      <c r="I69" s="261">
        <v>0</v>
      </c>
      <c r="J69" s="261">
        <v>0</v>
      </c>
      <c r="K69" s="261">
        <v>0</v>
      </c>
      <c r="L69" s="261">
        <v>0</v>
      </c>
      <c r="M69" s="261">
        <v>0</v>
      </c>
      <c r="N69" s="261">
        <v>0</v>
      </c>
      <c r="O69" s="261">
        <v>0</v>
      </c>
      <c r="P69" s="261">
        <v>0</v>
      </c>
      <c r="Q69" s="261">
        <v>0</v>
      </c>
      <c r="R69" s="261">
        <v>0</v>
      </c>
      <c r="S69" s="261">
        <v>0</v>
      </c>
      <c r="T69" s="261">
        <v>0</v>
      </c>
      <c r="U69" s="261">
        <v>0</v>
      </c>
      <c r="V69" s="261">
        <v>0</v>
      </c>
      <c r="W69" s="261">
        <v>0</v>
      </c>
      <c r="X69" s="261">
        <v>0</v>
      </c>
      <c r="Y69" s="261">
        <v>0</v>
      </c>
      <c r="Z69" s="261">
        <v>0</v>
      </c>
      <c r="AA69" s="261">
        <v>0</v>
      </c>
      <c r="AB69" s="261">
        <v>0</v>
      </c>
      <c r="AC69" s="261">
        <v>0</v>
      </c>
      <c r="AD69" s="261">
        <v>0</v>
      </c>
      <c r="AE69" s="261">
        <v>0</v>
      </c>
    </row>
    <row r="70" spans="1:31" x14ac:dyDescent="0.2">
      <c r="A70" s="262" t="s">
        <v>258</v>
      </c>
      <c r="B70" s="263">
        <f t="shared" ref="B70:AE70" si="6">B68+B69</f>
        <v>0</v>
      </c>
      <c r="C70" s="263">
        <f t="shared" si="6"/>
        <v>0</v>
      </c>
      <c r="D70" s="263">
        <f t="shared" si="6"/>
        <v>0</v>
      </c>
      <c r="E70" s="263">
        <f t="shared" si="6"/>
        <v>0</v>
      </c>
      <c r="F70" s="263">
        <f t="shared" si="6"/>
        <v>41675564.634240001</v>
      </c>
      <c r="G70" s="263">
        <f t="shared" si="6"/>
        <v>44131013.534293331</v>
      </c>
      <c r="H70" s="263">
        <f t="shared" si="6"/>
        <v>44131746.867626667</v>
      </c>
      <c r="I70" s="263">
        <f t="shared" si="6"/>
        <v>44133680.200960003</v>
      </c>
      <c r="J70" s="263">
        <f t="shared" si="6"/>
        <v>44133213.534293331</v>
      </c>
      <c r="K70" s="263">
        <f t="shared" si="6"/>
        <v>44097946.867626667</v>
      </c>
      <c r="L70" s="263">
        <f t="shared" si="6"/>
        <v>44134680.200960003</v>
      </c>
      <c r="M70" s="263">
        <f t="shared" si="6"/>
        <v>44135413.534293331</v>
      </c>
      <c r="N70" s="263">
        <f t="shared" si="6"/>
        <v>44122946.867626667</v>
      </c>
      <c r="O70" s="263">
        <f t="shared" si="6"/>
        <v>43724660.649194345</v>
      </c>
      <c r="P70" s="263">
        <f t="shared" si="6"/>
        <v>44137613.534293331</v>
      </c>
      <c r="Q70" s="263">
        <f t="shared" si="6"/>
        <v>44138346.867626667</v>
      </c>
      <c r="R70" s="263">
        <f t="shared" si="6"/>
        <v>44139080.200960003</v>
      </c>
      <c r="S70" s="263">
        <f t="shared" si="6"/>
        <v>44103813.534293331</v>
      </c>
      <c r="T70" s="263">
        <f t="shared" si="6"/>
        <v>44140546.867626667</v>
      </c>
      <c r="U70" s="263">
        <f t="shared" si="6"/>
        <v>43729060.649194345</v>
      </c>
      <c r="V70" s="263">
        <f t="shared" si="6"/>
        <v>44142013.534293331</v>
      </c>
      <c r="W70" s="263">
        <f t="shared" si="6"/>
        <v>44142746.867626667</v>
      </c>
      <c r="X70" s="263">
        <f t="shared" si="6"/>
        <v>44143480.200960003</v>
      </c>
      <c r="Y70" s="263">
        <f t="shared" si="6"/>
        <v>44144213.534293331</v>
      </c>
      <c r="Z70" s="263">
        <f t="shared" si="6"/>
        <v>44144946.867626667</v>
      </c>
      <c r="AA70" s="263">
        <f t="shared" si="6"/>
        <v>44109680.200960003</v>
      </c>
      <c r="AB70" s="263">
        <f t="shared" si="6"/>
        <v>44146413.534293331</v>
      </c>
      <c r="AC70" s="263">
        <f t="shared" si="6"/>
        <v>44147146.867626667</v>
      </c>
      <c r="AD70" s="263">
        <f t="shared" si="6"/>
        <v>44147880.200960003</v>
      </c>
      <c r="AE70" s="263">
        <f t="shared" si="6"/>
        <v>44148613.534293331</v>
      </c>
    </row>
    <row r="71" spans="1:31" x14ac:dyDescent="0.2">
      <c r="A71" s="259" t="s">
        <v>253</v>
      </c>
      <c r="B71" s="264">
        <f t="shared" ref="B71:AE71" si="7">-B70*$B$35</f>
        <v>0</v>
      </c>
      <c r="C71" s="264">
        <f t="shared" si="7"/>
        <v>0</v>
      </c>
      <c r="D71" s="264">
        <f t="shared" si="7"/>
        <v>0</v>
      </c>
      <c r="E71" s="264">
        <f t="shared" si="7"/>
        <v>0</v>
      </c>
      <c r="F71" s="264">
        <f t="shared" si="7"/>
        <v>-8335112.9268480008</v>
      </c>
      <c r="G71" s="264">
        <f t="shared" si="7"/>
        <v>-8826202.7068586666</v>
      </c>
      <c r="H71" s="264">
        <f t="shared" si="7"/>
        <v>-8826349.3735253345</v>
      </c>
      <c r="I71" s="264">
        <f t="shared" si="7"/>
        <v>-8826736.0401920006</v>
      </c>
      <c r="J71" s="264">
        <f t="shared" si="7"/>
        <v>-8826642.7068586666</v>
      </c>
      <c r="K71" s="264">
        <f t="shared" si="7"/>
        <v>-8819589.3735253345</v>
      </c>
      <c r="L71" s="264">
        <f t="shared" si="7"/>
        <v>-8826936.0401920006</v>
      </c>
      <c r="M71" s="264">
        <f t="shared" si="7"/>
        <v>-8827082.7068586666</v>
      </c>
      <c r="N71" s="264">
        <f t="shared" si="7"/>
        <v>-8824589.3735253345</v>
      </c>
      <c r="O71" s="264">
        <f t="shared" si="7"/>
        <v>-8744932.129838869</v>
      </c>
      <c r="P71" s="264">
        <f t="shared" si="7"/>
        <v>-8827522.7068586666</v>
      </c>
      <c r="Q71" s="264">
        <f t="shared" si="7"/>
        <v>-8827669.3735253345</v>
      </c>
      <c r="R71" s="264">
        <f t="shared" si="7"/>
        <v>-8827816.0401920006</v>
      </c>
      <c r="S71" s="264">
        <f t="shared" si="7"/>
        <v>-8820762.7068586666</v>
      </c>
      <c r="T71" s="264">
        <f t="shared" si="7"/>
        <v>-8828109.3735253345</v>
      </c>
      <c r="U71" s="264">
        <f t="shared" si="7"/>
        <v>-8745812.129838869</v>
      </c>
      <c r="V71" s="264">
        <f t="shared" si="7"/>
        <v>-8828402.7068586666</v>
      </c>
      <c r="W71" s="264">
        <f t="shared" si="7"/>
        <v>-8828549.3735253345</v>
      </c>
      <c r="X71" s="264">
        <f t="shared" si="7"/>
        <v>-8828696.0401920006</v>
      </c>
      <c r="Y71" s="264">
        <f t="shared" si="7"/>
        <v>-8828842.7068586666</v>
      </c>
      <c r="Z71" s="264">
        <f t="shared" si="7"/>
        <v>-8828989.3735253345</v>
      </c>
      <c r="AA71" s="264">
        <f t="shared" si="7"/>
        <v>-8821936.0401920006</v>
      </c>
      <c r="AB71" s="264">
        <f t="shared" si="7"/>
        <v>-8829282.7068586666</v>
      </c>
      <c r="AC71" s="264">
        <f t="shared" si="7"/>
        <v>-8829429.3735253345</v>
      </c>
      <c r="AD71" s="264">
        <f t="shared" si="7"/>
        <v>-8829576.0401920006</v>
      </c>
      <c r="AE71" s="264">
        <f t="shared" si="7"/>
        <v>-8829722.7068586666</v>
      </c>
    </row>
    <row r="72" spans="1:31" ht="13.5" thickBot="1" x14ac:dyDescent="0.25">
      <c r="A72" s="266" t="s">
        <v>257</v>
      </c>
      <c r="B72" s="267">
        <f t="shared" ref="B72:AE72" si="8">B70+B71</f>
        <v>0</v>
      </c>
      <c r="C72" s="267">
        <f t="shared" si="8"/>
        <v>0</v>
      </c>
      <c r="D72" s="267">
        <f t="shared" si="8"/>
        <v>0</v>
      </c>
      <c r="E72" s="267">
        <f t="shared" si="8"/>
        <v>0</v>
      </c>
      <c r="F72" s="267">
        <f t="shared" si="8"/>
        <v>33340451.707392</v>
      </c>
      <c r="G72" s="267">
        <f t="shared" si="8"/>
        <v>35304810.827434666</v>
      </c>
      <c r="H72" s="267">
        <f t="shared" si="8"/>
        <v>35305397.494101331</v>
      </c>
      <c r="I72" s="267">
        <f t="shared" si="8"/>
        <v>35306944.160768002</v>
      </c>
      <c r="J72" s="267">
        <f t="shared" si="8"/>
        <v>35306570.827434666</v>
      </c>
      <c r="K72" s="267">
        <f t="shared" si="8"/>
        <v>35278357.494101331</v>
      </c>
      <c r="L72" s="267">
        <f t="shared" si="8"/>
        <v>35307744.160768002</v>
      </c>
      <c r="M72" s="267">
        <f t="shared" si="8"/>
        <v>35308330.827434666</v>
      </c>
      <c r="N72" s="267">
        <f t="shared" si="8"/>
        <v>35298357.494101331</v>
      </c>
      <c r="O72" s="267">
        <f t="shared" si="8"/>
        <v>34979728.519355476</v>
      </c>
      <c r="P72" s="267">
        <f t="shared" si="8"/>
        <v>35310090.827434666</v>
      </c>
      <c r="Q72" s="267">
        <f t="shared" si="8"/>
        <v>35310677.494101331</v>
      </c>
      <c r="R72" s="267">
        <f t="shared" si="8"/>
        <v>35311264.160768002</v>
      </c>
      <c r="S72" s="267">
        <f t="shared" si="8"/>
        <v>35283050.827434666</v>
      </c>
      <c r="T72" s="267">
        <f t="shared" si="8"/>
        <v>35312437.494101331</v>
      </c>
      <c r="U72" s="267">
        <f t="shared" si="8"/>
        <v>34983248.519355476</v>
      </c>
      <c r="V72" s="267">
        <f t="shared" si="8"/>
        <v>35313610.827434666</v>
      </c>
      <c r="W72" s="267">
        <f t="shared" si="8"/>
        <v>35314197.494101331</v>
      </c>
      <c r="X72" s="267">
        <f t="shared" si="8"/>
        <v>35314784.160768002</v>
      </c>
      <c r="Y72" s="267">
        <f t="shared" si="8"/>
        <v>35315370.827434666</v>
      </c>
      <c r="Z72" s="267">
        <f t="shared" si="8"/>
        <v>35315957.494101331</v>
      </c>
      <c r="AA72" s="267">
        <f t="shared" si="8"/>
        <v>35287744.160768002</v>
      </c>
      <c r="AB72" s="267">
        <f t="shared" si="8"/>
        <v>35317130.827434666</v>
      </c>
      <c r="AC72" s="267">
        <f t="shared" si="8"/>
        <v>35317717.494101331</v>
      </c>
      <c r="AD72" s="267">
        <f t="shared" si="8"/>
        <v>35318304.160768002</v>
      </c>
      <c r="AE72" s="267">
        <f t="shared" si="8"/>
        <v>35318890.827434666</v>
      </c>
    </row>
    <row r="73" spans="1:31" ht="13.5" thickBot="1" x14ac:dyDescent="0.25">
      <c r="A73" s="249"/>
      <c r="B73" s="268">
        <v>0.5</v>
      </c>
      <c r="C73" s="268">
        <v>1.5</v>
      </c>
      <c r="D73" s="268">
        <v>2.5</v>
      </c>
      <c r="E73" s="268">
        <v>3.5</v>
      </c>
      <c r="F73" s="268">
        <v>4.5</v>
      </c>
      <c r="G73" s="268">
        <v>5.5</v>
      </c>
      <c r="H73" s="268">
        <v>6.5</v>
      </c>
      <c r="I73" s="268">
        <v>7.5</v>
      </c>
      <c r="J73" s="268">
        <v>8.5</v>
      </c>
      <c r="K73" s="268">
        <v>9.5</v>
      </c>
      <c r="L73" s="268">
        <v>10.5</v>
      </c>
      <c r="M73" s="268">
        <v>11.5</v>
      </c>
      <c r="N73" s="268">
        <v>12.5</v>
      </c>
      <c r="O73" s="268">
        <v>13.5</v>
      </c>
      <c r="P73" s="268">
        <v>14.5</v>
      </c>
      <c r="Q73" s="268">
        <v>15.5</v>
      </c>
      <c r="R73" s="268">
        <v>16.5</v>
      </c>
      <c r="S73" s="268">
        <v>17.5</v>
      </c>
      <c r="T73" s="268">
        <v>18.5</v>
      </c>
      <c r="U73" s="268">
        <v>19.5</v>
      </c>
      <c r="V73" s="268">
        <v>20.5</v>
      </c>
      <c r="W73" s="268">
        <v>21.5</v>
      </c>
      <c r="X73" s="268">
        <v>22.5</v>
      </c>
      <c r="Y73" s="268">
        <v>23.5</v>
      </c>
      <c r="Z73" s="268">
        <v>24.5</v>
      </c>
      <c r="AA73" s="268">
        <v>25.5</v>
      </c>
      <c r="AB73" s="268">
        <v>26.5</v>
      </c>
      <c r="AC73" s="268">
        <v>27.5</v>
      </c>
      <c r="AD73" s="268">
        <v>28.5</v>
      </c>
      <c r="AE73" s="268">
        <v>29.5</v>
      </c>
    </row>
    <row r="74" spans="1:31" x14ac:dyDescent="0.2">
      <c r="A74" s="251" t="s">
        <v>256</v>
      </c>
      <c r="B74" s="242">
        <v>1</v>
      </c>
      <c r="C74" s="242">
        <v>2</v>
      </c>
      <c r="D74" s="242">
        <v>3</v>
      </c>
      <c r="E74" s="242">
        <v>4</v>
      </c>
      <c r="F74" s="242">
        <v>5</v>
      </c>
      <c r="G74" s="242">
        <v>6</v>
      </c>
      <c r="H74" s="242">
        <v>7</v>
      </c>
      <c r="I74" s="242">
        <v>8</v>
      </c>
      <c r="J74" s="242">
        <v>9</v>
      </c>
      <c r="K74" s="242">
        <v>10</v>
      </c>
      <c r="L74" s="242">
        <v>11</v>
      </c>
      <c r="M74" s="242">
        <v>12</v>
      </c>
      <c r="N74" s="242">
        <v>13</v>
      </c>
      <c r="O74" s="242">
        <v>14</v>
      </c>
      <c r="P74" s="242">
        <v>15</v>
      </c>
      <c r="Q74" s="242">
        <v>16</v>
      </c>
      <c r="R74" s="242">
        <v>17</v>
      </c>
      <c r="S74" s="242">
        <v>18</v>
      </c>
      <c r="T74" s="242">
        <v>19</v>
      </c>
      <c r="U74" s="242">
        <v>20</v>
      </c>
      <c r="V74" s="242">
        <v>21</v>
      </c>
      <c r="W74" s="242">
        <v>22</v>
      </c>
      <c r="X74" s="242">
        <v>23</v>
      </c>
      <c r="Y74" s="242">
        <v>24</v>
      </c>
      <c r="Z74" s="242">
        <v>25</v>
      </c>
      <c r="AA74" s="242">
        <v>26</v>
      </c>
      <c r="AB74" s="242">
        <v>27</v>
      </c>
      <c r="AC74" s="242">
        <v>28</v>
      </c>
      <c r="AD74" s="242">
        <v>29</v>
      </c>
      <c r="AE74" s="242">
        <v>30</v>
      </c>
    </row>
    <row r="75" spans="1:31" x14ac:dyDescent="0.2">
      <c r="A75" s="269" t="s">
        <v>572</v>
      </c>
      <c r="B75" s="263">
        <f t="shared" ref="B75:AE75" si="9">B68</f>
        <v>0</v>
      </c>
      <c r="C75" s="263">
        <f t="shared" si="9"/>
        <v>0</v>
      </c>
      <c r="D75" s="263">
        <f t="shared" si="9"/>
        <v>0</v>
      </c>
      <c r="E75" s="263">
        <f t="shared" si="9"/>
        <v>0</v>
      </c>
      <c r="F75" s="263">
        <f t="shared" si="9"/>
        <v>41675564.634240001</v>
      </c>
      <c r="G75" s="263">
        <f t="shared" si="9"/>
        <v>44131013.534293331</v>
      </c>
      <c r="H75" s="263">
        <f t="shared" si="9"/>
        <v>44131746.867626667</v>
      </c>
      <c r="I75" s="263">
        <f t="shared" si="9"/>
        <v>44133680.200960003</v>
      </c>
      <c r="J75" s="263">
        <f t="shared" si="9"/>
        <v>44133213.534293331</v>
      </c>
      <c r="K75" s="263">
        <f t="shared" si="9"/>
        <v>44097946.867626667</v>
      </c>
      <c r="L75" s="263">
        <f t="shared" si="9"/>
        <v>44134680.200960003</v>
      </c>
      <c r="M75" s="263">
        <f t="shared" si="9"/>
        <v>44135413.534293331</v>
      </c>
      <c r="N75" s="263">
        <f t="shared" si="9"/>
        <v>44122946.867626667</v>
      </c>
      <c r="O75" s="263">
        <f t="shared" si="9"/>
        <v>43724660.649194345</v>
      </c>
      <c r="P75" s="263">
        <f t="shared" si="9"/>
        <v>44137613.534293331</v>
      </c>
      <c r="Q75" s="263">
        <f t="shared" si="9"/>
        <v>44138346.867626667</v>
      </c>
      <c r="R75" s="263">
        <f t="shared" si="9"/>
        <v>44139080.200960003</v>
      </c>
      <c r="S75" s="263">
        <f t="shared" si="9"/>
        <v>44103813.534293331</v>
      </c>
      <c r="T75" s="263">
        <f t="shared" si="9"/>
        <v>44140546.867626667</v>
      </c>
      <c r="U75" s="263">
        <f t="shared" si="9"/>
        <v>43729060.649194345</v>
      </c>
      <c r="V75" s="263">
        <f t="shared" si="9"/>
        <v>44142013.534293331</v>
      </c>
      <c r="W75" s="263">
        <f t="shared" si="9"/>
        <v>44142746.867626667</v>
      </c>
      <c r="X75" s="263">
        <f t="shared" si="9"/>
        <v>44143480.200960003</v>
      </c>
      <c r="Y75" s="263">
        <f t="shared" si="9"/>
        <v>44144213.534293331</v>
      </c>
      <c r="Z75" s="263">
        <f t="shared" si="9"/>
        <v>44144946.867626667</v>
      </c>
      <c r="AA75" s="263">
        <f t="shared" si="9"/>
        <v>44109680.200960003</v>
      </c>
      <c r="AB75" s="263">
        <f t="shared" si="9"/>
        <v>44146413.534293331</v>
      </c>
      <c r="AC75" s="263">
        <f t="shared" si="9"/>
        <v>44147146.867626667</v>
      </c>
      <c r="AD75" s="263">
        <f t="shared" si="9"/>
        <v>44147880.200960003</v>
      </c>
      <c r="AE75" s="263">
        <f t="shared" si="9"/>
        <v>44148613.534293331</v>
      </c>
    </row>
    <row r="76" spans="1:31" x14ac:dyDescent="0.2">
      <c r="A76" s="259" t="s">
        <v>255</v>
      </c>
      <c r="B76" s="264">
        <f t="shared" ref="B76:AE76" si="10">-B67</f>
        <v>0</v>
      </c>
      <c r="C76" s="264">
        <f t="shared" si="10"/>
        <v>0</v>
      </c>
      <c r="D76" s="264">
        <f t="shared" si="10"/>
        <v>0</v>
      </c>
      <c r="E76" s="264">
        <f t="shared" si="10"/>
        <v>0</v>
      </c>
      <c r="F76" s="264">
        <f t="shared" si="10"/>
        <v>33333.333333333336</v>
      </c>
      <c r="G76" s="264">
        <f t="shared" si="10"/>
        <v>33333.333333333336</v>
      </c>
      <c r="H76" s="264">
        <f t="shared" si="10"/>
        <v>33333.333333333336</v>
      </c>
      <c r="I76" s="264">
        <f t="shared" si="10"/>
        <v>33333.333333333336</v>
      </c>
      <c r="J76" s="264">
        <f t="shared" si="10"/>
        <v>33333.333333333336</v>
      </c>
      <c r="K76" s="264">
        <f t="shared" si="10"/>
        <v>33333.333333333336</v>
      </c>
      <c r="L76" s="264">
        <f t="shared" si="10"/>
        <v>33333.333333333336</v>
      </c>
      <c r="M76" s="264">
        <f t="shared" si="10"/>
        <v>33333.333333333336</v>
      </c>
      <c r="N76" s="264">
        <f t="shared" si="10"/>
        <v>33333.333333333336</v>
      </c>
      <c r="O76" s="264">
        <f t="shared" si="10"/>
        <v>33333.333333333336</v>
      </c>
      <c r="P76" s="264">
        <f t="shared" si="10"/>
        <v>33333.333333333336</v>
      </c>
      <c r="Q76" s="264">
        <f t="shared" si="10"/>
        <v>33333.333333333336</v>
      </c>
      <c r="R76" s="264">
        <f t="shared" si="10"/>
        <v>33333.333333333336</v>
      </c>
      <c r="S76" s="264">
        <f t="shared" si="10"/>
        <v>33333.333333333336</v>
      </c>
      <c r="T76" s="264">
        <f t="shared" si="10"/>
        <v>33333.333333333336</v>
      </c>
      <c r="U76" s="264">
        <f t="shared" si="10"/>
        <v>33333.333333333336</v>
      </c>
      <c r="V76" s="264">
        <f t="shared" si="10"/>
        <v>33333.333333333336</v>
      </c>
      <c r="W76" s="264">
        <f t="shared" si="10"/>
        <v>33333.333333333336</v>
      </c>
      <c r="X76" s="264">
        <f t="shared" si="10"/>
        <v>33333.333333333336</v>
      </c>
      <c r="Y76" s="264">
        <f t="shared" si="10"/>
        <v>33333.333333333336</v>
      </c>
      <c r="Z76" s="264">
        <f t="shared" si="10"/>
        <v>33333.333333333336</v>
      </c>
      <c r="AA76" s="264">
        <f t="shared" si="10"/>
        <v>33333.333333333336</v>
      </c>
      <c r="AB76" s="264">
        <f t="shared" si="10"/>
        <v>33333.333333333336</v>
      </c>
      <c r="AC76" s="264">
        <f t="shared" si="10"/>
        <v>33333.333333333336</v>
      </c>
      <c r="AD76" s="264">
        <f t="shared" si="10"/>
        <v>33333.333333333336</v>
      </c>
      <c r="AE76" s="264">
        <f t="shared" si="10"/>
        <v>33333.333333333336</v>
      </c>
    </row>
    <row r="77" spans="1:31" x14ac:dyDescent="0.2">
      <c r="A77" s="259" t="s">
        <v>254</v>
      </c>
      <c r="B77" s="264">
        <f t="shared" ref="B77:AE77" si="11">B69</f>
        <v>0</v>
      </c>
      <c r="C77" s="264">
        <f t="shared" si="11"/>
        <v>0</v>
      </c>
      <c r="D77" s="264">
        <f t="shared" si="11"/>
        <v>0</v>
      </c>
      <c r="E77" s="264">
        <f t="shared" si="11"/>
        <v>0</v>
      </c>
      <c r="F77" s="264">
        <f t="shared" si="11"/>
        <v>0</v>
      </c>
      <c r="G77" s="264">
        <f t="shared" si="11"/>
        <v>0</v>
      </c>
      <c r="H77" s="264">
        <f t="shared" si="11"/>
        <v>0</v>
      </c>
      <c r="I77" s="264">
        <f t="shared" si="11"/>
        <v>0</v>
      </c>
      <c r="J77" s="264">
        <f t="shared" si="11"/>
        <v>0</v>
      </c>
      <c r="K77" s="264">
        <f t="shared" si="11"/>
        <v>0</v>
      </c>
      <c r="L77" s="264">
        <f t="shared" si="11"/>
        <v>0</v>
      </c>
      <c r="M77" s="264">
        <f t="shared" si="11"/>
        <v>0</v>
      </c>
      <c r="N77" s="264">
        <f t="shared" si="11"/>
        <v>0</v>
      </c>
      <c r="O77" s="264">
        <f t="shared" si="11"/>
        <v>0</v>
      </c>
      <c r="P77" s="264">
        <f t="shared" si="11"/>
        <v>0</v>
      </c>
      <c r="Q77" s="264">
        <f t="shared" si="11"/>
        <v>0</v>
      </c>
      <c r="R77" s="264">
        <f t="shared" si="11"/>
        <v>0</v>
      </c>
      <c r="S77" s="264">
        <f t="shared" si="11"/>
        <v>0</v>
      </c>
      <c r="T77" s="264">
        <f t="shared" si="11"/>
        <v>0</v>
      </c>
      <c r="U77" s="264">
        <f t="shared" si="11"/>
        <v>0</v>
      </c>
      <c r="V77" s="264">
        <f t="shared" si="11"/>
        <v>0</v>
      </c>
      <c r="W77" s="264">
        <f t="shared" si="11"/>
        <v>0</v>
      </c>
      <c r="X77" s="264">
        <f t="shared" si="11"/>
        <v>0</v>
      </c>
      <c r="Y77" s="264">
        <f t="shared" si="11"/>
        <v>0</v>
      </c>
      <c r="Z77" s="264">
        <f t="shared" si="11"/>
        <v>0</v>
      </c>
      <c r="AA77" s="264">
        <f t="shared" si="11"/>
        <v>0</v>
      </c>
      <c r="AB77" s="264">
        <f t="shared" si="11"/>
        <v>0</v>
      </c>
      <c r="AC77" s="264">
        <f t="shared" si="11"/>
        <v>0</v>
      </c>
      <c r="AD77" s="264">
        <f t="shared" si="11"/>
        <v>0</v>
      </c>
      <c r="AE77" s="264">
        <f t="shared" si="11"/>
        <v>0</v>
      </c>
    </row>
    <row r="78" spans="1:31" x14ac:dyDescent="0.2">
      <c r="A78" s="259" t="s">
        <v>253</v>
      </c>
      <c r="B78" s="264">
        <f>IF(SUM($B$71:B71)+SUM($A$78:A78)&gt;0,0,SUM($B$71:B71)-SUM($A$78:A78))</f>
        <v>0</v>
      </c>
      <c r="C78" s="264">
        <f>IF(SUM($B$71:C71)+SUM($A$78:B78)&gt;0,0,SUM($B$71:C71)-SUM($A$78:B78))</f>
        <v>0</v>
      </c>
      <c r="D78" s="264">
        <f>IF(SUM($B$71:D71)+SUM($A$78:C78)&gt;0,0,SUM($B$71:D71)-SUM($A$78:C78))</f>
        <v>0</v>
      </c>
      <c r="E78" s="264">
        <f>IF(SUM($B$71:E71)+SUM($A$78:D78)&gt;0,0,SUM($B$71:E71)-SUM($A$78:D78))</f>
        <v>0</v>
      </c>
      <c r="F78" s="264">
        <f>IF(SUM($B$71:F71)+SUM($A$78:E78)&gt;0,0,SUM($B$71:F71)-SUM($A$78:E78))</f>
        <v>-8335112.9268480008</v>
      </c>
      <c r="G78" s="264">
        <f>IF(SUM($B$71:G71)+SUM($A$78:F78)&gt;0,0,SUM($B$71:G71)-SUM($A$78:F78))</f>
        <v>-8826202.7068586648</v>
      </c>
      <c r="H78" s="264">
        <f>IF(SUM($B$71:H71)+SUM($A$78:G78)&gt;0,0,SUM($B$71:H71)-SUM($A$78:G78))</f>
        <v>-8826349.3735253364</v>
      </c>
      <c r="I78" s="264">
        <f>IF(SUM($B$71:I71)+SUM($A$78:H78)&gt;0,0,SUM($B$71:I71)-SUM($A$78:H78))</f>
        <v>-8826736.0401920006</v>
      </c>
      <c r="J78" s="264">
        <f>IF(SUM($B$71:J71)+SUM($A$78:I78)&gt;0,0,SUM($B$71:J71)-SUM($A$78:I78))</f>
        <v>-8826642.7068586648</v>
      </c>
      <c r="K78" s="264">
        <f>IF(SUM($B$71:K71)+SUM($A$78:J78)&gt;0,0,SUM($B$71:K71)-SUM($A$78:J78))</f>
        <v>-8819589.3735253364</v>
      </c>
      <c r="L78" s="264">
        <f>IF(SUM($B$71:L71)+SUM($A$78:K78)&gt;0,0,SUM($B$71:L71)-SUM($A$78:K78))</f>
        <v>-8826936.0401920006</v>
      </c>
      <c r="M78" s="264">
        <f>IF(SUM($B$71:M71)+SUM($A$78:L78)&gt;0,0,SUM($B$71:M71)-SUM($A$78:L78))</f>
        <v>-8827082.7068586722</v>
      </c>
      <c r="N78" s="264">
        <f>IF(SUM($B$71:N71)+SUM($A$78:M78)&gt;0,0,SUM($B$71:N71)-SUM($A$78:M78))</f>
        <v>-8824589.3735253364</v>
      </c>
      <c r="O78" s="264">
        <f>IF(SUM($B$71:O71)+SUM($A$78:N78)&gt;0,0,SUM($B$71:O71)-SUM($A$78:N78))</f>
        <v>-8744932.129838869</v>
      </c>
      <c r="P78" s="264">
        <f>IF(SUM($B$71:P71)+SUM($A$78:O78)&gt;0,0,SUM($B$71:P71)-SUM($A$78:O78))</f>
        <v>-8827522.7068586648</v>
      </c>
      <c r="Q78" s="264">
        <f>IF(SUM($B$71:Q71)+SUM($A$78:P78)&gt;0,0,SUM($B$71:Q71)-SUM($A$78:P78))</f>
        <v>-8827669.3735253364</v>
      </c>
      <c r="R78" s="264">
        <f>IF(SUM($B$71:R71)+SUM($A$78:Q78)&gt;0,0,SUM($B$71:R71)-SUM($A$78:Q78))</f>
        <v>-8827816.0401919931</v>
      </c>
      <c r="S78" s="264">
        <f>IF(SUM($B$71:S71)+SUM($A$78:R78)&gt;0,0,SUM($B$71:S71)-SUM($A$78:R78))</f>
        <v>-8820762.7068586648</v>
      </c>
      <c r="T78" s="264">
        <f>IF(SUM($B$71:T71)+SUM($A$78:S78)&gt;0,0,SUM($B$71:T71)-SUM($A$78:S78))</f>
        <v>-8828109.3735253364</v>
      </c>
      <c r="U78" s="264">
        <f>IF(SUM($B$71:U71)+SUM($A$78:T78)&gt;0,0,SUM($B$71:U71)-SUM($A$78:T78))</f>
        <v>-8745812.129838869</v>
      </c>
      <c r="V78" s="264">
        <f>IF(SUM($B$71:V71)+SUM($A$78:U78)&gt;0,0,SUM($B$71:V71)-SUM($A$78:U78))</f>
        <v>-8828402.7068586648</v>
      </c>
      <c r="W78" s="264">
        <f>IF(SUM($B$71:W71)+SUM($A$78:V78)&gt;0,0,SUM($B$71:W71)-SUM($A$78:V78))</f>
        <v>-8828549.3735253215</v>
      </c>
      <c r="X78" s="264">
        <f>IF(SUM($B$71:X71)+SUM($A$78:W78)&gt;0,0,SUM($B$71:X71)-SUM($A$78:W78))</f>
        <v>-8828696.040192008</v>
      </c>
      <c r="Y78" s="264">
        <f>IF(SUM($B$71:Y71)+SUM($A$78:X78)&gt;0,0,SUM($B$71:Y71)-SUM($A$78:X78))</f>
        <v>-8828842.7068586648</v>
      </c>
      <c r="Z78" s="264">
        <f>IF(SUM($B$71:Z71)+SUM($A$78:Y78)&gt;0,0,SUM($B$71:Z71)-SUM($A$78:Y78))</f>
        <v>-8828989.3735253215</v>
      </c>
      <c r="AA78" s="264">
        <f>IF(SUM($B$71:AA71)+SUM($A$78:Z78)&gt;0,0,SUM($B$71:AA71)-SUM($A$78:Z78))</f>
        <v>-8821936.040192008</v>
      </c>
      <c r="AB78" s="264">
        <f>IF(SUM($B$71:AB71)+SUM($A$78:AA78)&gt;0,0,SUM($B$71:AB71)-SUM($A$78:AA78))</f>
        <v>-8829282.7068586648</v>
      </c>
      <c r="AC78" s="264">
        <f>IF(SUM($B$71:AC71)+SUM($A$78:AB78)&gt;0,0,SUM($B$71:AC71)-SUM($A$78:AB78))</f>
        <v>-8829429.3735253215</v>
      </c>
      <c r="AD78" s="264">
        <f>IF(SUM($B$71:AD71)+SUM($A$78:AC78)&gt;0,0,SUM($B$71:AD71)-SUM($A$78:AC78))</f>
        <v>-8829576.040192008</v>
      </c>
      <c r="AE78" s="264">
        <f>IF(SUM($B$71:AE71)+SUM($A$78:AD78)&gt;0,0,SUM($B$71:AE71)-SUM($A$78:AD78))</f>
        <v>-8829722.7068586648</v>
      </c>
    </row>
    <row r="79" spans="1:31" x14ac:dyDescent="0.2">
      <c r="A79" s="259" t="s">
        <v>252</v>
      </c>
      <c r="B79" s="264">
        <f>IF(((SUM($B$58:B58)+SUM($B$60:B64))+SUM($B$81:B81))&lt;0,((SUM($B$58:B58)+SUM($B$60:B64))+SUM($B$81:B81))*0.2-SUM($A$79:A79),IF(SUM(A$79:$A79)&lt;0,0-SUM(A$79:$A79),0))</f>
        <v>0</v>
      </c>
      <c r="C79" s="264">
        <f>IF(((SUM($B$58:C58)+SUM($B$60:C64))+SUM($B$81:C81))&lt;0,((SUM($B$58:C58)+SUM($B$60:C64))+SUM($B$81:C81))*0.2-SUM($A$79:B79),IF(SUM($A$79:B79)&lt;0,0-SUM($A$79:B79),0))</f>
        <v>0</v>
      </c>
      <c r="D79" s="264">
        <f>IF(((SUM($B$58:D58)+SUM($B$60:D64))+SUM($B$81:D81))&lt;0,((SUM($B$58:D58)+SUM($B$60:D64))+SUM($B$81:D81))*0.2-SUM($A$79:C79),IF(SUM($A$79:C79)&lt;0,0-SUM($A$79:C79),0))</f>
        <v>0</v>
      </c>
      <c r="E79" s="264">
        <f>IF(((SUM($B$58:E58)+SUM($B$60:E64))+SUM($B$81:E81))&lt;0,((SUM($B$58:E58)+SUM($B$60:E64))+SUM($B$81:E81))*0.2-SUM($A$79:D79),IF(SUM($A$79:D79)&lt;0,0-SUM($A$79:D79),0))</f>
        <v>-240000</v>
      </c>
      <c r="F79" s="264">
        <f>IF(((SUM($B$58:F58)+SUM($B$60:F64))+SUM($B$81:F81))&lt;0,((SUM($B$58:F58)+SUM($B$60:F64))+SUM($B$81:F81))*0.2-SUM($A$79:E79),IF(SUM($A$79:E79)&lt;0,0-SUM($A$79:E79),0))</f>
        <v>240000</v>
      </c>
      <c r="G79" s="264">
        <f>IF(((SUM($B$58:G58)+SUM($B$60:G64))+SUM($B$81:G81))&lt;0,((SUM($B$58:G58)+SUM($B$60:G64))+SUM($B$81:G81))*0.2-SUM($A$79:F79),IF(SUM($A$79:F79)&lt;0,0-SUM($A$79:F79),0))</f>
        <v>0</v>
      </c>
      <c r="H79" s="264">
        <f>IF(((SUM($B$58:H58)+SUM($B$60:H64))+SUM($B$81:H81))&lt;0,((SUM($B$58:H58)+SUM($B$60:H64))+SUM($B$81:H81))*0.2-SUM($A$79:G79),IF(SUM($A$79:G79)&lt;0,0-SUM($A$79:G79),0))</f>
        <v>0</v>
      </c>
      <c r="I79" s="264">
        <f>IF(((SUM($B$58:I58)+SUM($B$60:I64))+SUM($B$81:I81))&lt;0,((SUM($B$58:I58)+SUM($B$60:I64))+SUM($B$81:I81))*0.2-SUM($A$79:H79),IF(SUM($A$79:H79)&lt;0,0-SUM($A$79:H79),0))</f>
        <v>0</v>
      </c>
      <c r="J79" s="264">
        <f>IF(((SUM($B$58:J58)+SUM($B$60:J64))+SUM($B$81:J81))&lt;0,((SUM($B$58:J58)+SUM($B$60:J64))+SUM($B$81:J81))*0.2-SUM($A$79:I79),IF(SUM($A$79:I79)&lt;0,0-SUM($A$79:I79),0))</f>
        <v>0</v>
      </c>
      <c r="K79" s="264">
        <f>IF(((SUM($B$58:K58)+SUM($B$60:K64))+SUM($B$81:K81))&lt;0,((SUM($B$58:K58)+SUM($B$60:K64))+SUM($B$81:K81))*0.2-SUM($A$79:J79),IF(SUM($A$79:J79)&lt;0,0-SUM($A$79:J79),0))</f>
        <v>0</v>
      </c>
      <c r="L79" s="264">
        <f>IF(((SUM($B$58:L58)+SUM($B$60:L64))+SUM($B$81:L81))&lt;0,((SUM($B$58:L58)+SUM($B$60:L64))+SUM($B$81:L81))*0.2-SUM($A$79:K79),IF(SUM($A$79:K79)&lt;0,0-SUM($A$79:K79),0))</f>
        <v>0</v>
      </c>
      <c r="M79" s="264">
        <f>IF(((SUM($B$58:M58)+SUM($B$60:M64))+SUM($B$81:M81))&lt;0,((SUM($B$58:M58)+SUM($B$60:M64))+SUM($B$81:M81))*0.2-SUM($A$79:L79),IF(SUM($A$79:L79)&lt;0,0-SUM($A$79:L79),0))</f>
        <v>0</v>
      </c>
      <c r="N79" s="264">
        <f>IF(((SUM($B$58:N58)+SUM($B$60:N64))+SUM($B$81:N81))&lt;0,((SUM($B$58:N58)+SUM($B$60:N64))+SUM($B$81:N81))*0.2-SUM($A$79:M79),IF(SUM($A$79:M79)&lt;0,0-SUM($A$79:M79),0))</f>
        <v>0</v>
      </c>
      <c r="O79" s="264">
        <f>IF(((SUM($B$58:O58)+SUM($B$60:O64))+SUM($B$81:O81))&lt;0,((SUM($B$58:O58)+SUM($B$60:O64))+SUM($B$81:O81))*0.2-SUM($A$79:N79),IF(SUM($A$79:N79)&lt;0,0-SUM($A$79:N79),0))</f>
        <v>0</v>
      </c>
      <c r="P79" s="264">
        <f>IF(((SUM($B$58:P58)+SUM($B$60:P64))+SUM($B$81:P81))&lt;0,((SUM($B$58:P58)+SUM($B$60:P64))+SUM($B$81:P81))*0.2-SUM($A$79:O79),IF(SUM($A$79:O79)&lt;0,0-SUM($A$79:O79),0))</f>
        <v>0</v>
      </c>
      <c r="Q79" s="264">
        <f>IF(((SUM($B$58:Q58)+SUM($B$60:Q64))+SUM($B$81:Q81))&lt;0,((SUM($B$58:Q58)+SUM($B$60:Q64))+SUM($B$81:Q81))*0.2-SUM($A$79:P79),IF(SUM($A$79:P79)&lt;0,0-SUM($A$79:P79),0))</f>
        <v>0</v>
      </c>
      <c r="R79" s="264">
        <f>IF(((SUM($B$58:R58)+SUM($B$60:R64))+SUM($B$81:R81))&lt;0,((SUM($B$58:R58)+SUM($B$60:R64))+SUM($B$81:R81))*0.2-SUM($A$79:Q79),IF(SUM($A$79:Q79)&lt;0,0-SUM($A$79:Q79),0))</f>
        <v>0</v>
      </c>
      <c r="S79" s="264">
        <f>IF(((SUM($B$58:S58)+SUM($B$60:S64))+SUM($B$81:S81))&lt;0,((SUM($B$58:S58)+SUM($B$60:S64))+SUM($B$81:S81))*0.2-SUM($A$79:R79),IF(SUM($A$79:R79)&lt;0,0-SUM($A$79:R79),0))</f>
        <v>0</v>
      </c>
      <c r="T79" s="264">
        <f>IF(((SUM($B$58:T58)+SUM($B$60:T64))+SUM($B$81:T81))&lt;0,((SUM($B$58:T58)+SUM($B$60:T64))+SUM($B$81:T81))*0.2-SUM($A$79:S79),IF(SUM($A$79:S79)&lt;0,0-SUM($A$79:S79),0))</f>
        <v>0</v>
      </c>
      <c r="U79" s="264">
        <f>IF(((SUM($B$58:U58)+SUM($B$60:U64))+SUM($B$81:U81))&lt;0,((SUM($B$58:U58)+SUM($B$60:U64))+SUM($B$81:U81))*0.2-SUM($A$79:T79),IF(SUM($A$79:T79)&lt;0,0-SUM($A$79:T79),0))</f>
        <v>0</v>
      </c>
      <c r="V79" s="264">
        <f>IF(((SUM($B$58:V58)+SUM($B$60:V64))+SUM($B$81:V81))&lt;0,((SUM($B$58:V58)+SUM($B$60:V64))+SUM($B$81:V81))*0.2-SUM($A$79:U79),IF(SUM($A$79:U79)&lt;0,0-SUM($A$79:U79),0))</f>
        <v>0</v>
      </c>
      <c r="W79" s="264">
        <f>IF(((SUM($B$58:W58)+SUM($B$60:W64))+SUM($B$81:W81))&lt;0,((SUM($B$58:W58)+SUM($B$60:W64))+SUM($B$81:W81))*0.2-SUM($A$79:V79),IF(SUM($A$79:V79)&lt;0,0-SUM($A$79:V79),0))</f>
        <v>0</v>
      </c>
      <c r="X79" s="264">
        <f>IF(((SUM($B$58:X58)+SUM($B$60:X64))+SUM($B$81:X81))&lt;0,((SUM($B$58:X58)+SUM($B$60:X64))+SUM($B$81:X81))*0.2-SUM($A$79:W79),IF(SUM($A$79:W79)&lt;0,0-SUM($A$79:W79),0))</f>
        <v>0</v>
      </c>
      <c r="Y79" s="264">
        <f>IF(((SUM($B$58:Y58)+SUM($B$60:Y64))+SUM($B$81:Y81))&lt;0,((SUM($B$58:Y58)+SUM($B$60:Y64))+SUM($B$81:Y81))*0.2-SUM($A$79:X79),IF(SUM($A$79:X79)&lt;0,0-SUM($A$79:X79),0))</f>
        <v>0</v>
      </c>
      <c r="Z79" s="264">
        <f>IF(((SUM($B$58:Z58)+SUM($B$60:Z64))+SUM($B$81:Z81))&lt;0,((SUM($B$58:Z58)+SUM($B$60:Z64))+SUM($B$81:Z81))*0.2-SUM($A$79:Y79),IF(SUM($A$79:Y79)&lt;0,0-SUM($A$79:Y79),0))</f>
        <v>0</v>
      </c>
      <c r="AA79" s="264">
        <f>IF(((SUM($B$58:AA58)+SUM($B$60:AA64))+SUM($B$81:AA81))&lt;0,((SUM($B$58:AA58)+SUM($B$60:AA64))+SUM($B$81:AA81))*0.2-SUM($A$79:Z79),IF(SUM($A$79:Z79)&lt;0,0-SUM($A$79:Z79),0))</f>
        <v>0</v>
      </c>
      <c r="AB79" s="264">
        <f>IF(((SUM($B$58:AB58)+SUM($B$60:AB64))+SUM($B$81:AB81))&lt;0,((SUM($B$58:AB58)+SUM($B$60:AB64))+SUM($B$81:AB81))*0.2-SUM($A$79:AA79),IF(SUM($A$79:AA79)&lt;0,0-SUM($A$79:AA79),0))</f>
        <v>0</v>
      </c>
      <c r="AC79" s="264">
        <f>IF(((SUM($B$58:AC58)+SUM($B$60:AC64))+SUM($B$81:AC81))&lt;0,((SUM($B$58:AC58)+SUM($B$60:AC64))+SUM($B$81:AC81))*0.2-SUM($A$79:AB79),IF(SUM($A$79:AB79)&lt;0,0-SUM($A$79:AB79),0))</f>
        <v>0</v>
      </c>
      <c r="AD79" s="264">
        <f>IF(((SUM($B$58:AD58)+SUM($B$60:AD64))+SUM($B$81:AD81))&lt;0,((SUM($B$58:AD58)+SUM($B$60:AD64))+SUM($B$81:AD81))*0.2-SUM($A$79:AC79),IF(SUM($A$79:AC79)&lt;0,0-SUM($A$79:AC79),0))</f>
        <v>0</v>
      </c>
      <c r="AE79" s="264">
        <f>IF(((SUM($B$58:AE58)+SUM($B$60:AE64))+SUM($B$81:AE81))&lt;0,((SUM($B$58:AE58)+SUM($B$60:AE64))+SUM($B$81:AE81))*0.2-SUM($A$79:AD79),IF(SUM($A$79:AD79)&lt;0,0-SUM($A$79:AD79),0))</f>
        <v>0</v>
      </c>
    </row>
    <row r="80" spans="1:31" x14ac:dyDescent="0.2">
      <c r="A80" s="259" t="s">
        <v>251</v>
      </c>
      <c r="B80" s="264">
        <f>-B58*($B$38)</f>
        <v>0</v>
      </c>
      <c r="C80" s="264">
        <f t="shared" ref="C80:AE80" si="12">-C58*($B$38)</f>
        <v>0</v>
      </c>
      <c r="D80" s="264">
        <f t="shared" si="12"/>
        <v>0</v>
      </c>
      <c r="E80" s="264">
        <f t="shared" si="12"/>
        <v>0</v>
      </c>
      <c r="F80" s="264">
        <f t="shared" si="12"/>
        <v>0</v>
      </c>
      <c r="G80" s="264">
        <f t="shared" si="12"/>
        <v>0</v>
      </c>
      <c r="H80" s="264">
        <f t="shared" si="12"/>
        <v>0</v>
      </c>
      <c r="I80" s="264">
        <f t="shared" si="12"/>
        <v>0</v>
      </c>
      <c r="J80" s="264">
        <f t="shared" si="12"/>
        <v>0</v>
      </c>
      <c r="K80" s="264">
        <f t="shared" si="12"/>
        <v>0</v>
      </c>
      <c r="L80" s="264">
        <f t="shared" si="12"/>
        <v>0</v>
      </c>
      <c r="M80" s="264">
        <f t="shared" si="12"/>
        <v>0</v>
      </c>
      <c r="N80" s="264">
        <f t="shared" si="12"/>
        <v>0</v>
      </c>
      <c r="O80" s="264">
        <f t="shared" si="12"/>
        <v>0</v>
      </c>
      <c r="P80" s="264">
        <f t="shared" si="12"/>
        <v>0</v>
      </c>
      <c r="Q80" s="264">
        <f t="shared" si="12"/>
        <v>0</v>
      </c>
      <c r="R80" s="264">
        <f t="shared" si="12"/>
        <v>0</v>
      </c>
      <c r="S80" s="264">
        <f t="shared" si="12"/>
        <v>0</v>
      </c>
      <c r="T80" s="264">
        <f t="shared" si="12"/>
        <v>0</v>
      </c>
      <c r="U80" s="264">
        <f t="shared" si="12"/>
        <v>0</v>
      </c>
      <c r="V80" s="264">
        <f t="shared" si="12"/>
        <v>0</v>
      </c>
      <c r="W80" s="264">
        <f t="shared" si="12"/>
        <v>0</v>
      </c>
      <c r="X80" s="264">
        <f t="shared" si="12"/>
        <v>0</v>
      </c>
      <c r="Y80" s="264">
        <f t="shared" si="12"/>
        <v>0</v>
      </c>
      <c r="Z80" s="264">
        <f t="shared" si="12"/>
        <v>0</v>
      </c>
      <c r="AA80" s="264">
        <f t="shared" si="12"/>
        <v>0</v>
      </c>
      <c r="AB80" s="264">
        <f t="shared" si="12"/>
        <v>0</v>
      </c>
      <c r="AC80" s="264">
        <f t="shared" si="12"/>
        <v>0</v>
      </c>
      <c r="AD80" s="264">
        <f t="shared" si="12"/>
        <v>0</v>
      </c>
      <c r="AE80" s="264">
        <f t="shared" si="12"/>
        <v>0</v>
      </c>
    </row>
    <row r="81" spans="1:31" x14ac:dyDescent="0.2">
      <c r="A81" s="259" t="s">
        <v>434</v>
      </c>
      <c r="B81" s="270">
        <v>0</v>
      </c>
      <c r="C81" s="270">
        <v>0</v>
      </c>
      <c r="D81" s="261"/>
      <c r="E81" s="261">
        <f>'6.2. Паспорт фин осв ввод'!D24*-1000000</f>
        <v>-1200000</v>
      </c>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row>
    <row r="82" spans="1:31" x14ac:dyDescent="0.2">
      <c r="A82" s="259" t="s">
        <v>250</v>
      </c>
      <c r="B82" s="261">
        <v>0</v>
      </c>
      <c r="C82" s="261">
        <v>0</v>
      </c>
      <c r="D82" s="261">
        <v>0</v>
      </c>
      <c r="E82" s="261">
        <v>0</v>
      </c>
      <c r="F82" s="261">
        <v>0</v>
      </c>
      <c r="G82" s="261">
        <v>0</v>
      </c>
      <c r="H82" s="261">
        <v>0</v>
      </c>
      <c r="I82" s="261">
        <v>0</v>
      </c>
      <c r="J82" s="261">
        <v>0</v>
      </c>
      <c r="K82" s="261">
        <v>0</v>
      </c>
      <c r="L82" s="261">
        <v>0</v>
      </c>
      <c r="M82" s="261">
        <v>0</v>
      </c>
      <c r="N82" s="261">
        <v>0</v>
      </c>
      <c r="O82" s="261">
        <v>0</v>
      </c>
      <c r="P82" s="261">
        <v>0</v>
      </c>
      <c r="Q82" s="261">
        <v>0</v>
      </c>
      <c r="R82" s="261">
        <v>0</v>
      </c>
      <c r="S82" s="261">
        <v>0</v>
      </c>
      <c r="T82" s="261">
        <v>0</v>
      </c>
      <c r="U82" s="261">
        <v>0</v>
      </c>
      <c r="V82" s="261">
        <v>0</v>
      </c>
      <c r="W82" s="261">
        <v>0</v>
      </c>
      <c r="X82" s="261">
        <v>0</v>
      </c>
      <c r="Y82" s="261">
        <v>0</v>
      </c>
      <c r="Z82" s="261">
        <v>0</v>
      </c>
      <c r="AA82" s="261">
        <v>0</v>
      </c>
      <c r="AB82" s="261">
        <v>0</v>
      </c>
      <c r="AC82" s="261">
        <v>0</v>
      </c>
      <c r="AD82" s="261">
        <v>0</v>
      </c>
      <c r="AE82" s="261">
        <v>0</v>
      </c>
    </row>
    <row r="83" spans="1:31" x14ac:dyDescent="0.2">
      <c r="A83" s="262" t="s">
        <v>249</v>
      </c>
      <c r="B83" s="263">
        <f t="shared" ref="B83:AE83" si="13">SUM(B75:B82)</f>
        <v>0</v>
      </c>
      <c r="C83" s="263">
        <f t="shared" si="13"/>
        <v>0</v>
      </c>
      <c r="D83" s="263">
        <f t="shared" si="13"/>
        <v>0</v>
      </c>
      <c r="E83" s="263">
        <f t="shared" si="13"/>
        <v>-1440000</v>
      </c>
      <c r="F83" s="263">
        <f t="shared" si="13"/>
        <v>33613785.040725335</v>
      </c>
      <c r="G83" s="263">
        <f t="shared" si="13"/>
        <v>35338144.160768002</v>
      </c>
      <c r="H83" s="263">
        <f t="shared" si="13"/>
        <v>35338730.827434666</v>
      </c>
      <c r="I83" s="263">
        <f t="shared" si="13"/>
        <v>35340277.494101338</v>
      </c>
      <c r="J83" s="263">
        <f t="shared" si="13"/>
        <v>35339904.160768002</v>
      </c>
      <c r="K83" s="263">
        <f t="shared" si="13"/>
        <v>35311690.827434666</v>
      </c>
      <c r="L83" s="263">
        <f t="shared" si="13"/>
        <v>35341077.494101338</v>
      </c>
      <c r="M83" s="263">
        <f t="shared" si="13"/>
        <v>35341664.160767995</v>
      </c>
      <c r="N83" s="263">
        <f t="shared" si="13"/>
        <v>35331690.827434666</v>
      </c>
      <c r="O83" s="263">
        <f t="shared" si="13"/>
        <v>35013061.852688812</v>
      </c>
      <c r="P83" s="263">
        <f t="shared" si="13"/>
        <v>35343424.160768002</v>
      </c>
      <c r="Q83" s="263">
        <f t="shared" si="13"/>
        <v>35344010.827434666</v>
      </c>
      <c r="R83" s="263">
        <f t="shared" si="13"/>
        <v>35344597.494101346</v>
      </c>
      <c r="S83" s="263">
        <f t="shared" si="13"/>
        <v>35316384.160768002</v>
      </c>
      <c r="T83" s="263">
        <f t="shared" si="13"/>
        <v>35345770.827434666</v>
      </c>
      <c r="U83" s="263">
        <f t="shared" si="13"/>
        <v>35016581.852688812</v>
      </c>
      <c r="V83" s="263">
        <f t="shared" si="13"/>
        <v>35346944.160768002</v>
      </c>
      <c r="W83" s="263">
        <f t="shared" si="13"/>
        <v>35347530.827434681</v>
      </c>
      <c r="X83" s="263">
        <f t="shared" si="13"/>
        <v>35348117.494101331</v>
      </c>
      <c r="Y83" s="263">
        <f t="shared" si="13"/>
        <v>35348704.160768002</v>
      </c>
      <c r="Z83" s="263">
        <f t="shared" si="13"/>
        <v>35349290.827434681</v>
      </c>
      <c r="AA83" s="263">
        <f t="shared" si="13"/>
        <v>35321077.494101331</v>
      </c>
      <c r="AB83" s="263">
        <f t="shared" si="13"/>
        <v>35350464.160768002</v>
      </c>
      <c r="AC83" s="263">
        <f t="shared" si="13"/>
        <v>35351050.827434681</v>
      </c>
      <c r="AD83" s="263">
        <f t="shared" si="13"/>
        <v>35351637.494101331</v>
      </c>
      <c r="AE83" s="263">
        <f t="shared" si="13"/>
        <v>35352224.160768002</v>
      </c>
    </row>
    <row r="84" spans="1:31" x14ac:dyDescent="0.2">
      <c r="A84" s="262" t="s">
        <v>573</v>
      </c>
      <c r="B84" s="263">
        <f>SUM($B$83:B83)</f>
        <v>0</v>
      </c>
      <c r="C84" s="263">
        <f>SUM($B$83:C83)</f>
        <v>0</v>
      </c>
      <c r="D84" s="263">
        <f>SUM($B$83:D83)</f>
        <v>0</v>
      </c>
      <c r="E84" s="263">
        <f>SUM($B$83:E83)</f>
        <v>-1440000</v>
      </c>
      <c r="F84" s="263">
        <f>SUM($B$83:F83)</f>
        <v>32173785.040725335</v>
      </c>
      <c r="G84" s="263">
        <f>SUM($B$83:G83)</f>
        <v>67511929.201493338</v>
      </c>
      <c r="H84" s="263">
        <f>SUM($B$83:H83)</f>
        <v>102850660.02892801</v>
      </c>
      <c r="I84" s="263">
        <f>SUM($B$83:I83)</f>
        <v>138190937.52302936</v>
      </c>
      <c r="J84" s="263">
        <f>SUM($B$83:J83)</f>
        <v>173530841.68379736</v>
      </c>
      <c r="K84" s="263">
        <f>SUM($B$83:K83)</f>
        <v>208842532.51123202</v>
      </c>
      <c r="L84" s="263">
        <f>SUM($B$83:L83)</f>
        <v>244183610.00533336</v>
      </c>
      <c r="M84" s="263">
        <f>SUM($B$83:M83)</f>
        <v>279525274.16610134</v>
      </c>
      <c r="N84" s="263">
        <f>SUM($B$83:N83)</f>
        <v>314856964.993536</v>
      </c>
      <c r="O84" s="263">
        <f>SUM($B$83:O83)</f>
        <v>349870026.84622478</v>
      </c>
      <c r="P84" s="263">
        <f>SUM($B$83:P83)</f>
        <v>385213451.00699282</v>
      </c>
      <c r="Q84" s="263">
        <f>SUM($B$83:Q83)</f>
        <v>420557461.83442748</v>
      </c>
      <c r="R84" s="263">
        <f>SUM($B$83:R83)</f>
        <v>455902059.32852882</v>
      </c>
      <c r="S84" s="263">
        <f>SUM($B$83:S83)</f>
        <v>491218443.48929679</v>
      </c>
      <c r="T84" s="263">
        <f>SUM($B$83:T83)</f>
        <v>526564214.31673145</v>
      </c>
      <c r="U84" s="263">
        <f>SUM($B$83:U83)</f>
        <v>561580796.16942024</v>
      </c>
      <c r="V84" s="263">
        <f>SUM($B$83:V83)</f>
        <v>596927740.33018827</v>
      </c>
      <c r="W84" s="263">
        <f>SUM($B$83:W83)</f>
        <v>632275271.15762293</v>
      </c>
      <c r="X84" s="263">
        <f>SUM($B$83:X83)</f>
        <v>667623388.65172422</v>
      </c>
      <c r="Y84" s="263">
        <f>SUM($B$83:Y83)</f>
        <v>702972092.81249225</v>
      </c>
      <c r="Z84" s="263">
        <f>SUM($B$83:Z83)</f>
        <v>738321383.63992691</v>
      </c>
      <c r="AA84" s="263">
        <f>SUM($B$83:AA83)</f>
        <v>773642461.1340282</v>
      </c>
      <c r="AB84" s="263">
        <f>SUM($B$83:AB83)</f>
        <v>808992925.29479623</v>
      </c>
      <c r="AC84" s="263">
        <f>SUM($B$83:AC83)</f>
        <v>844343976.12223089</v>
      </c>
      <c r="AD84" s="263">
        <f>SUM($B$83:AD83)</f>
        <v>879695613.61633217</v>
      </c>
      <c r="AE84" s="263">
        <f>SUM($B$83:AE83)</f>
        <v>915047837.77710021</v>
      </c>
    </row>
    <row r="85" spans="1:31" x14ac:dyDescent="0.2">
      <c r="A85" s="271" t="s">
        <v>435</v>
      </c>
      <c r="B85" s="272">
        <f t="shared" ref="B85:AE85" si="14">1/POWER((1+$B$43),B73)</f>
        <v>0.95402649883562884</v>
      </c>
      <c r="C85" s="272">
        <f t="shared" si="14"/>
        <v>0.86832301705254278</v>
      </c>
      <c r="D85" s="272">
        <f t="shared" si="14"/>
        <v>0.79031857381682236</v>
      </c>
      <c r="E85" s="272">
        <f t="shared" si="14"/>
        <v>0.71932153801476506</v>
      </c>
      <c r="F85" s="272">
        <f t="shared" si="14"/>
        <v>0.65470241013449082</v>
      </c>
      <c r="G85" s="272">
        <f t="shared" si="14"/>
        <v>0.59588824077044755</v>
      </c>
      <c r="H85" s="272">
        <f t="shared" si="14"/>
        <v>0.54235755053285484</v>
      </c>
      <c r="I85" s="272">
        <f t="shared" si="14"/>
        <v>0.49363570631915432</v>
      </c>
      <c r="J85" s="272">
        <f t="shared" si="14"/>
        <v>0.44929071295090039</v>
      </c>
      <c r="K85" s="272">
        <f t="shared" si="14"/>
        <v>0.40892938286238317</v>
      </c>
      <c r="L85" s="272">
        <f t="shared" si="14"/>
        <v>0.37219384987929666</v>
      </c>
      <c r="M85" s="272">
        <f t="shared" si="14"/>
        <v>0.3387583961766602</v>
      </c>
      <c r="N85" s="272">
        <f t="shared" si="14"/>
        <v>0.30832656428202437</v>
      </c>
      <c r="O85" s="272">
        <f t="shared" si="14"/>
        <v>0.28062852851736092</v>
      </c>
      <c r="P85" s="272">
        <f t="shared" si="14"/>
        <v>0.25541870257336935</v>
      </c>
      <c r="Q85" s="272">
        <f t="shared" si="14"/>
        <v>0.23247356200361272</v>
      </c>
      <c r="R85" s="272">
        <f t="shared" si="14"/>
        <v>0.21158966233149432</v>
      </c>
      <c r="S85" s="272">
        <f t="shared" si="14"/>
        <v>0.19258183519750091</v>
      </c>
      <c r="T85" s="272">
        <f t="shared" si="14"/>
        <v>0.17528154655274497</v>
      </c>
      <c r="U85" s="272">
        <f t="shared" si="14"/>
        <v>0.15953540234162647</v>
      </c>
      <c r="V85" s="272">
        <f t="shared" si="14"/>
        <v>0.14520378842416171</v>
      </c>
      <c r="W85" s="272">
        <f t="shared" si="14"/>
        <v>0.13215963267876735</v>
      </c>
      <c r="X85" s="272">
        <f t="shared" si="14"/>
        <v>0.12028727830960895</v>
      </c>
      <c r="Y85" s="272">
        <f t="shared" si="14"/>
        <v>0.10948145836862559</v>
      </c>
      <c r="Z85" s="272">
        <f t="shared" si="14"/>
        <v>9.9646362399768443E-2</v>
      </c>
      <c r="AA85" s="272">
        <f t="shared" si="14"/>
        <v>9.0694786929797461E-2</v>
      </c>
      <c r="AB85" s="272">
        <f t="shared" si="14"/>
        <v>8.2547362273411681E-2</v>
      </c>
      <c r="AC85" s="272">
        <f t="shared" si="14"/>
        <v>7.5131848797134526E-2</v>
      </c>
      <c r="AD85" s="272">
        <f t="shared" si="14"/>
        <v>6.8382496402234039E-2</v>
      </c>
      <c r="AE85" s="272">
        <f t="shared" si="14"/>
        <v>6.2239461547496142E-2</v>
      </c>
    </row>
    <row r="86" spans="1:31" x14ac:dyDescent="0.2">
      <c r="A86" s="269" t="s">
        <v>574</v>
      </c>
      <c r="B86" s="263">
        <f t="shared" ref="B86:AE86" si="15">B83*B85</f>
        <v>0</v>
      </c>
      <c r="C86" s="263">
        <f t="shared" si="15"/>
        <v>0</v>
      </c>
      <c r="D86" s="263">
        <f t="shared" si="15"/>
        <v>0</v>
      </c>
      <c r="E86" s="263">
        <f t="shared" si="15"/>
        <v>-1035823.0147412617</v>
      </c>
      <c r="F86" s="263">
        <f t="shared" si="15"/>
        <v>22007026.07990557</v>
      </c>
      <c r="G86" s="263">
        <f t="shared" si="15"/>
        <v>21057584.55605251</v>
      </c>
      <c r="H86" s="263">
        <f t="shared" si="15"/>
        <v>19166227.490507353</v>
      </c>
      <c r="I86" s="263">
        <f t="shared" si="15"/>
        <v>17445222.842315625</v>
      </c>
      <c r="J86" s="263">
        <f t="shared" si="15"/>
        <v>15877890.736007947</v>
      </c>
      <c r="K86" s="263">
        <f t="shared" si="15"/>
        <v>14439987.937890135</v>
      </c>
      <c r="L86" s="263">
        <f t="shared" si="15"/>
        <v>13153731.691412143</v>
      </c>
      <c r="M86" s="263">
        <f t="shared" si="15"/>
        <v>11972285.469315918</v>
      </c>
      <c r="N86" s="263">
        <f t="shared" si="15"/>
        <v>10893698.843097646</v>
      </c>
      <c r="O86" s="263">
        <f t="shared" si="15"/>
        <v>9825664.0266074035</v>
      </c>
      <c r="P86" s="263">
        <f t="shared" si="15"/>
        <v>9027371.5436436385</v>
      </c>
      <c r="Q86" s="263">
        <f t="shared" si="15"/>
        <v>8216548.0925479922</v>
      </c>
      <c r="R86" s="263">
        <f t="shared" si="15"/>
        <v>7478551.4490194842</v>
      </c>
      <c r="S86" s="263">
        <f t="shared" si="15"/>
        <v>6801294.0742206546</v>
      </c>
      <c r="T86" s="263">
        <f t="shared" si="15"/>
        <v>6195461.374731645</v>
      </c>
      <c r="U86" s="263">
        <f t="shared" si="15"/>
        <v>5586384.4744972056</v>
      </c>
      <c r="V86" s="263">
        <f t="shared" si="15"/>
        <v>5132510.2013608152</v>
      </c>
      <c r="W86" s="263">
        <f t="shared" si="15"/>
        <v>4671516.6902551726</v>
      </c>
      <c r="X86" s="263">
        <f t="shared" si="15"/>
        <v>4251928.8467337238</v>
      </c>
      <c r="Y86" s="263">
        <f t="shared" si="15"/>
        <v>3870027.6829619841</v>
      </c>
      <c r="Z86" s="263">
        <f t="shared" si="15"/>
        <v>3522428.2443653666</v>
      </c>
      <c r="AA86" s="263">
        <f t="shared" si="15"/>
        <v>3203437.5974583845</v>
      </c>
      <c r="AB86" s="263">
        <f t="shared" si="15"/>
        <v>2918087.5716121723</v>
      </c>
      <c r="AC86" s="263">
        <f t="shared" si="15"/>
        <v>2655989.8055866398</v>
      </c>
      <c r="AD86" s="263">
        <f t="shared" si="15"/>
        <v>2417433.2237534663</v>
      </c>
      <c r="AE86" s="263">
        <f t="shared" si="15"/>
        <v>2200303.3962725843</v>
      </c>
    </row>
    <row r="87" spans="1:31" x14ac:dyDescent="0.2">
      <c r="A87" s="269" t="s">
        <v>575</v>
      </c>
      <c r="B87" s="263">
        <f>SUM($B$86:B86)</f>
        <v>0</v>
      </c>
      <c r="C87" s="263">
        <f>SUM($B$86:C86)</f>
        <v>0</v>
      </c>
      <c r="D87" s="263">
        <f>SUM($B$86:D86)</f>
        <v>0</v>
      </c>
      <c r="E87" s="263">
        <f>SUM($B$86:E86)</f>
        <v>-1035823.0147412617</v>
      </c>
      <c r="F87" s="263">
        <f>SUM($B$86:F86)</f>
        <v>20971203.065164309</v>
      </c>
      <c r="G87" s="263">
        <f>SUM($B$86:G86)</f>
        <v>42028787.621216819</v>
      </c>
      <c r="H87" s="263">
        <f>SUM($B$86:H86)</f>
        <v>61195015.111724168</v>
      </c>
      <c r="I87" s="263">
        <f>SUM($B$86:I86)</f>
        <v>78640237.954039797</v>
      </c>
      <c r="J87" s="263">
        <f>SUM($B$86:J86)</f>
        <v>94518128.690047741</v>
      </c>
      <c r="K87" s="263">
        <f>SUM($B$86:K86)</f>
        <v>108958116.62793788</v>
      </c>
      <c r="L87" s="263">
        <f>SUM($B$86:L86)</f>
        <v>122111848.31935003</v>
      </c>
      <c r="M87" s="263">
        <f>SUM($B$86:M86)</f>
        <v>134084133.78866595</v>
      </c>
      <c r="N87" s="263">
        <f>SUM($B$86:N86)</f>
        <v>144977832.63176361</v>
      </c>
      <c r="O87" s="263">
        <f>SUM($B$86:O86)</f>
        <v>154803496.658371</v>
      </c>
      <c r="P87" s="263">
        <f>SUM($B$86:P86)</f>
        <v>163830868.20201463</v>
      </c>
      <c r="Q87" s="263">
        <f>SUM($B$86:Q86)</f>
        <v>172047416.29456261</v>
      </c>
      <c r="R87" s="263">
        <f>SUM($B$86:R86)</f>
        <v>179525967.7435821</v>
      </c>
      <c r="S87" s="263">
        <f>SUM($B$86:S86)</f>
        <v>186327261.81780276</v>
      </c>
      <c r="T87" s="263">
        <f>SUM($B$86:T86)</f>
        <v>192522723.19253439</v>
      </c>
      <c r="U87" s="263">
        <f>SUM($B$86:U86)</f>
        <v>198109107.66703159</v>
      </c>
      <c r="V87" s="263">
        <f>SUM($B$86:V86)</f>
        <v>203241617.86839241</v>
      </c>
      <c r="W87" s="263">
        <f>SUM($B$86:W86)</f>
        <v>207913134.55864757</v>
      </c>
      <c r="X87" s="263">
        <f>SUM($B$86:X86)</f>
        <v>212165063.40538129</v>
      </c>
      <c r="Y87" s="263">
        <f>SUM($B$86:Y86)</f>
        <v>216035091.08834326</v>
      </c>
      <c r="Z87" s="263">
        <f>SUM($B$86:Z86)</f>
        <v>219557519.33270863</v>
      </c>
      <c r="AA87" s="263">
        <f>SUM($B$86:AA86)</f>
        <v>222760956.93016702</v>
      </c>
      <c r="AB87" s="263">
        <f>SUM($B$86:AB86)</f>
        <v>225679044.5017792</v>
      </c>
      <c r="AC87" s="263">
        <f>SUM($B$86:AC86)</f>
        <v>228335034.30736583</v>
      </c>
      <c r="AD87" s="263">
        <f>SUM($B$86:AD86)</f>
        <v>230752467.53111929</v>
      </c>
      <c r="AE87" s="263">
        <f>SUM($B$86:AE86)</f>
        <v>232952770.92739186</v>
      </c>
    </row>
    <row r="88" spans="1:31" x14ac:dyDescent="0.2">
      <c r="A88" s="269" t="s">
        <v>576</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22.342906278281479</v>
      </c>
      <c r="G88" s="273">
        <f>IF((ISERR(IRR($B$83:G83))),0,IF(IRR($B$83:G83)&lt;0,0,IRR($B$83:G83)))</f>
        <v>23.350695871598379</v>
      </c>
      <c r="H88" s="273">
        <f>IF((ISERR(IRR($B$83:H83))),0,IF(IRR($B$83:H83)&lt;0,0,IRR($B$83:H83)))</f>
        <v>23.390311801172036</v>
      </c>
      <c r="I88" s="273">
        <f>IF((ISERR(IRR($B$83:I83))),0,IF(IRR($B$83:I83)&lt;0,0,IRR($B$83:I83)))</f>
        <v>23.391930647758919</v>
      </c>
      <c r="J88" s="273">
        <f>IF((ISERR(IRR($B$83:J83))),0,IF(IRR($B$83:J83)&lt;0,0,IRR($B$83:J83)))</f>
        <v>23.391997001448001</v>
      </c>
      <c r="K88" s="273">
        <f>IF((ISERR(IRR($B$83:K83))),0,IF(IRR($B$83:K83)&lt;0,0,IRR($B$83:K83)))</f>
        <v>23.391999719551233</v>
      </c>
      <c r="L88" s="273">
        <f>IF((ISERR(IRR($B$83:L83))),0,IF(IRR($B$83:L83)&lt;0,0,IRR($B$83:L83)))</f>
        <v>23.391999831078131</v>
      </c>
      <c r="M88" s="273">
        <f>IF((ISERR(IRR($B$83:M83))),0,IF(IRR($B$83:M83)&lt;0,0,IRR($B$83:M83)))</f>
        <v>23.391999835650452</v>
      </c>
      <c r="N88" s="273">
        <f>IF((ISERR(IRR($B$83:N83))),0,IF(IRR($B$83:N83)&lt;0,0,IRR($B$83:N83)))</f>
        <v>23.391999835837851</v>
      </c>
      <c r="O88" s="273">
        <f>IF((ISERR(IRR($B$83:O83))),0,IF(IRR($B$83:O83)&lt;0,0,IRR($B$83:O83)))</f>
        <v>23.39199983584551</v>
      </c>
      <c r="P88" s="273">
        <f>IF((ISERR(IRR($B$83:P83))),0,IF(IRR($B$83:P83)&lt;0,0,IRR($B$83:P83)))</f>
        <v>23.391999835845777</v>
      </c>
      <c r="Q88" s="273">
        <f>IF((ISERR(IRR($B$83:Q83))),0,IF(IRR($B$83:Q83)&lt;0,0,IRR($B$83:Q83)))</f>
        <v>23.391999835845777</v>
      </c>
      <c r="R88" s="273">
        <f>IF((ISERR(IRR($B$83:R83))),0,IF(IRR($B$83:R83)&lt;0,0,IRR($B$83:R83)))</f>
        <v>23.39199983584551</v>
      </c>
      <c r="S88" s="273">
        <f>IF((ISERR(IRR($B$83:S83))),0,IF(IRR($B$83:S83)&lt;0,0,IRR($B$83:S83)))</f>
        <v>23.391999835844587</v>
      </c>
      <c r="T88" s="273">
        <f>IF((ISERR(IRR($B$83:T83))),0,IF(IRR($B$83:T83)&lt;0,0,IRR($B$83:T83)))</f>
        <v>23.391999835845841</v>
      </c>
      <c r="U88" s="273">
        <f>IF((ISERR(IRR($B$83:U83))),0,IF(IRR($B$83:U83)&lt;0,0,IRR($B$83:U83)))</f>
        <v>23.391999835845841</v>
      </c>
      <c r="V88" s="273">
        <f>IF((ISERR(IRR($B$83:V83))),0,IF(IRR($B$83:V83)&lt;0,0,IRR($B$83:V83)))</f>
        <v>23.391999835845841</v>
      </c>
      <c r="W88" s="273">
        <f>IF((ISERR(IRR($B$83:W83))),0,IF(IRR($B$83:W83)&lt;0,0,IRR($B$83:W83)))</f>
        <v>23.391999835845841</v>
      </c>
      <c r="X88" s="273">
        <f>IF((ISERR(IRR($B$83:X83))),0,IF(IRR($B$83:X83)&lt;0,0,IRR($B$83:X83)))</f>
        <v>23.391999835845841</v>
      </c>
      <c r="Y88" s="273">
        <f>IF((ISERR(IRR($B$83:Y83))),0,IF(IRR($B$83:Y83)&lt;0,0,IRR($B$83:Y83)))</f>
        <v>23.391999835845841</v>
      </c>
      <c r="Z88" s="273">
        <f>IF((ISERR(IRR($B$83:Z83))),0,IF(IRR($B$83:Z83)&lt;0,0,IRR($B$83:Z83)))</f>
        <v>23.391999835845841</v>
      </c>
      <c r="AA88" s="273">
        <f>IF((ISERR(IRR($B$83:AA83))),0,IF(IRR($B$83:AA83)&lt;0,0,IRR($B$83:AA83)))</f>
        <v>23.391999835845841</v>
      </c>
      <c r="AB88" s="273">
        <f>IF((ISERR(IRR($B$83:AB83))),0,IF(IRR($B$83:AB83)&lt;0,0,IRR($B$83:AB83)))</f>
        <v>23.391999835845841</v>
      </c>
      <c r="AC88" s="273">
        <f>IF((ISERR(IRR($B$83:AC83))),0,IF(IRR($B$83:AC83)&lt;0,0,IRR($B$83:AC83)))</f>
        <v>23.391999835845841</v>
      </c>
      <c r="AD88" s="273">
        <f>IF((ISERR(IRR($B$83:AD83))),0,IF(IRR($B$83:AD83)&lt;0,0,IRR($B$83:AD83)))</f>
        <v>23.391999835845841</v>
      </c>
      <c r="AE88" s="273">
        <f>IF((ISERR(IRR($B$83:AE83))),0,IF(IRR($B$83:AE83)&lt;0,0,IRR($B$83:AE83)))</f>
        <v>23.391999835845841</v>
      </c>
    </row>
    <row r="89" spans="1:31" x14ac:dyDescent="0.2">
      <c r="A89" s="269" t="s">
        <v>577</v>
      </c>
      <c r="B89" s="274">
        <f t="shared" ref="B89:AE89" si="16">IF(AND(B84&gt;0,A84&lt;0),(B74-(B84/(B84-A84))),0)</f>
        <v>0</v>
      </c>
      <c r="C89" s="274">
        <f t="shared" si="16"/>
        <v>0</v>
      </c>
      <c r="D89" s="274">
        <f t="shared" si="16"/>
        <v>0</v>
      </c>
      <c r="E89" s="274">
        <f t="shared" si="16"/>
        <v>0</v>
      </c>
      <c r="F89" s="274">
        <f t="shared" si="16"/>
        <v>4.0428395671078201</v>
      </c>
      <c r="G89" s="274">
        <f t="shared" si="16"/>
        <v>0</v>
      </c>
      <c r="H89" s="274">
        <f t="shared" si="16"/>
        <v>0</v>
      </c>
      <c r="I89" s="274">
        <f t="shared" si="16"/>
        <v>0</v>
      </c>
      <c r="J89" s="274">
        <f t="shared" si="16"/>
        <v>0</v>
      </c>
      <c r="K89" s="274">
        <f t="shared" si="16"/>
        <v>0</v>
      </c>
      <c r="L89" s="274">
        <f t="shared" si="16"/>
        <v>0</v>
      </c>
      <c r="M89" s="274">
        <f t="shared" si="16"/>
        <v>0</v>
      </c>
      <c r="N89" s="274">
        <f t="shared" si="16"/>
        <v>0</v>
      </c>
      <c r="O89" s="274">
        <f t="shared" si="16"/>
        <v>0</v>
      </c>
      <c r="P89" s="274">
        <f t="shared" si="16"/>
        <v>0</v>
      </c>
      <c r="Q89" s="274">
        <f t="shared" si="16"/>
        <v>0</v>
      </c>
      <c r="R89" s="274">
        <f t="shared" si="16"/>
        <v>0</v>
      </c>
      <c r="S89" s="274">
        <f t="shared" si="16"/>
        <v>0</v>
      </c>
      <c r="T89" s="274">
        <f t="shared" si="16"/>
        <v>0</v>
      </c>
      <c r="U89" s="274">
        <f t="shared" si="16"/>
        <v>0</v>
      </c>
      <c r="V89" s="274">
        <f t="shared" si="16"/>
        <v>0</v>
      </c>
      <c r="W89" s="274">
        <f t="shared" si="16"/>
        <v>0</v>
      </c>
      <c r="X89" s="274">
        <f t="shared" si="16"/>
        <v>0</v>
      </c>
      <c r="Y89" s="274">
        <f t="shared" si="16"/>
        <v>0</v>
      </c>
      <c r="Z89" s="274">
        <f t="shared" si="16"/>
        <v>0</v>
      </c>
      <c r="AA89" s="274">
        <f t="shared" si="16"/>
        <v>0</v>
      </c>
      <c r="AB89" s="274">
        <f t="shared" si="16"/>
        <v>0</v>
      </c>
      <c r="AC89" s="274">
        <f t="shared" si="16"/>
        <v>0</v>
      </c>
      <c r="AD89" s="274">
        <f t="shared" si="16"/>
        <v>0</v>
      </c>
      <c r="AE89" s="274">
        <f t="shared" si="16"/>
        <v>0</v>
      </c>
    </row>
    <row r="90" spans="1:31" ht="13.5" thickBot="1" x14ac:dyDescent="0.25">
      <c r="A90" s="275" t="s">
        <v>578</v>
      </c>
      <c r="B90" s="276">
        <f t="shared" ref="B90:AE90" si="17">IF(AND(B87&gt;0,A87&lt;0),(B74-(B87/(B87-A87))),0)</f>
        <v>0</v>
      </c>
      <c r="C90" s="276">
        <f t="shared" si="17"/>
        <v>0</v>
      </c>
      <c r="D90" s="276">
        <f t="shared" si="17"/>
        <v>0</v>
      </c>
      <c r="E90" s="276">
        <f t="shared" si="17"/>
        <v>0</v>
      </c>
      <c r="F90" s="276">
        <f t="shared" si="17"/>
        <v>4.0470678323813623</v>
      </c>
      <c r="G90" s="276">
        <f t="shared" si="17"/>
        <v>0</v>
      </c>
      <c r="H90" s="276">
        <f t="shared" si="17"/>
        <v>0</v>
      </c>
      <c r="I90" s="276">
        <f t="shared" si="17"/>
        <v>0</v>
      </c>
      <c r="J90" s="276">
        <f t="shared" si="17"/>
        <v>0</v>
      </c>
      <c r="K90" s="276">
        <f t="shared" si="17"/>
        <v>0</v>
      </c>
      <c r="L90" s="276">
        <f t="shared" si="17"/>
        <v>0</v>
      </c>
      <c r="M90" s="276">
        <f t="shared" si="17"/>
        <v>0</v>
      </c>
      <c r="N90" s="276">
        <f t="shared" si="17"/>
        <v>0</v>
      </c>
      <c r="O90" s="276">
        <f t="shared" si="17"/>
        <v>0</v>
      </c>
      <c r="P90" s="276">
        <f t="shared" si="17"/>
        <v>0</v>
      </c>
      <c r="Q90" s="276">
        <f t="shared" si="17"/>
        <v>0</v>
      </c>
      <c r="R90" s="276">
        <f t="shared" si="17"/>
        <v>0</v>
      </c>
      <c r="S90" s="276">
        <f t="shared" si="17"/>
        <v>0</v>
      </c>
      <c r="T90" s="276">
        <f t="shared" si="17"/>
        <v>0</v>
      </c>
      <c r="U90" s="276">
        <f t="shared" si="17"/>
        <v>0</v>
      </c>
      <c r="V90" s="276">
        <f t="shared" si="17"/>
        <v>0</v>
      </c>
      <c r="W90" s="276">
        <f t="shared" si="17"/>
        <v>0</v>
      </c>
      <c r="X90" s="276">
        <f t="shared" si="17"/>
        <v>0</v>
      </c>
      <c r="Y90" s="276">
        <f t="shared" si="17"/>
        <v>0</v>
      </c>
      <c r="Z90" s="276">
        <f t="shared" si="17"/>
        <v>0</v>
      </c>
      <c r="AA90" s="276">
        <f t="shared" si="17"/>
        <v>0</v>
      </c>
      <c r="AB90" s="276">
        <f t="shared" si="17"/>
        <v>0</v>
      </c>
      <c r="AC90" s="276">
        <f t="shared" si="17"/>
        <v>0</v>
      </c>
      <c r="AD90" s="276">
        <f t="shared" si="17"/>
        <v>0</v>
      </c>
      <c r="AE90" s="276">
        <f t="shared" si="17"/>
        <v>0</v>
      </c>
    </row>
    <row r="91" spans="1:31" x14ac:dyDescent="0.2">
      <c r="A91" s="277"/>
      <c r="B91" s="277">
        <v>2019</v>
      </c>
      <c r="C91" s="277">
        <f t="shared" ref="C91:AE92" si="18">B91+1</f>
        <v>2020</v>
      </c>
      <c r="D91" s="277">
        <f t="shared" si="18"/>
        <v>2021</v>
      </c>
      <c r="E91" s="277">
        <f t="shared" si="18"/>
        <v>2022</v>
      </c>
      <c r="F91" s="277">
        <f t="shared" si="18"/>
        <v>2023</v>
      </c>
      <c r="G91" s="277">
        <f t="shared" si="18"/>
        <v>2024</v>
      </c>
      <c r="H91" s="277">
        <f t="shared" si="18"/>
        <v>2025</v>
      </c>
      <c r="I91" s="277">
        <f t="shared" si="18"/>
        <v>2026</v>
      </c>
      <c r="J91" s="277">
        <f t="shared" si="18"/>
        <v>2027</v>
      </c>
      <c r="K91" s="277">
        <f t="shared" si="18"/>
        <v>2028</v>
      </c>
      <c r="L91" s="277">
        <f t="shared" si="18"/>
        <v>2029</v>
      </c>
      <c r="M91" s="277">
        <f t="shared" si="18"/>
        <v>2030</v>
      </c>
      <c r="N91" s="277">
        <f t="shared" si="18"/>
        <v>2031</v>
      </c>
      <c r="O91" s="277">
        <f t="shared" si="18"/>
        <v>2032</v>
      </c>
      <c r="P91" s="277">
        <f t="shared" si="18"/>
        <v>2033</v>
      </c>
      <c r="Q91" s="277">
        <f t="shared" si="18"/>
        <v>2034</v>
      </c>
      <c r="R91" s="277">
        <f t="shared" si="18"/>
        <v>2035</v>
      </c>
      <c r="S91" s="277">
        <f t="shared" si="18"/>
        <v>2036</v>
      </c>
      <c r="T91" s="277">
        <f t="shared" si="18"/>
        <v>2037</v>
      </c>
      <c r="U91" s="277">
        <f t="shared" si="18"/>
        <v>2038</v>
      </c>
      <c r="V91" s="277">
        <f t="shared" si="18"/>
        <v>2039</v>
      </c>
      <c r="W91" s="277">
        <f t="shared" si="18"/>
        <v>2040</v>
      </c>
      <c r="X91" s="277">
        <f t="shared" si="18"/>
        <v>2041</v>
      </c>
      <c r="Y91" s="277">
        <f t="shared" si="18"/>
        <v>2042</v>
      </c>
      <c r="Z91" s="277">
        <f t="shared" si="18"/>
        <v>2043</v>
      </c>
      <c r="AA91" s="277">
        <f t="shared" si="18"/>
        <v>2044</v>
      </c>
      <c r="AB91" s="277">
        <f t="shared" si="18"/>
        <v>2045</v>
      </c>
      <c r="AC91" s="277">
        <f t="shared" si="18"/>
        <v>2046</v>
      </c>
      <c r="AD91" s="277">
        <f t="shared" si="18"/>
        <v>2047</v>
      </c>
      <c r="AE91" s="277">
        <f t="shared" si="18"/>
        <v>2048</v>
      </c>
    </row>
    <row r="92" spans="1:31" x14ac:dyDescent="0.2">
      <c r="B92" s="206">
        <v>1</v>
      </c>
      <c r="C92" s="206">
        <f>B92+1</f>
        <v>2</v>
      </c>
      <c r="D92" s="206">
        <f t="shared" si="18"/>
        <v>3</v>
      </c>
      <c r="E92" s="206">
        <f t="shared" si="18"/>
        <v>4</v>
      </c>
      <c r="F92" s="206">
        <f t="shared" si="18"/>
        <v>5</v>
      </c>
      <c r="G92" s="206">
        <f t="shared" si="18"/>
        <v>6</v>
      </c>
      <c r="H92" s="206">
        <f t="shared" si="18"/>
        <v>7</v>
      </c>
      <c r="I92" s="206">
        <f t="shared" si="18"/>
        <v>8</v>
      </c>
      <c r="J92" s="206">
        <f t="shared" si="18"/>
        <v>9</v>
      </c>
      <c r="K92" s="206">
        <f t="shared" si="18"/>
        <v>10</v>
      </c>
      <c r="L92" s="206">
        <f t="shared" si="18"/>
        <v>11</v>
      </c>
      <c r="M92" s="206">
        <f t="shared" si="18"/>
        <v>12</v>
      </c>
      <c r="N92" s="206">
        <f t="shared" si="18"/>
        <v>13</v>
      </c>
      <c r="O92" s="206">
        <f t="shared" si="18"/>
        <v>14</v>
      </c>
      <c r="P92" s="206">
        <f t="shared" si="18"/>
        <v>15</v>
      </c>
      <c r="Q92" s="206">
        <f t="shared" si="18"/>
        <v>16</v>
      </c>
      <c r="R92" s="206">
        <f t="shared" si="18"/>
        <v>17</v>
      </c>
      <c r="S92" s="206">
        <f t="shared" si="18"/>
        <v>18</v>
      </c>
      <c r="T92" s="206">
        <f t="shared" si="18"/>
        <v>19</v>
      </c>
      <c r="U92" s="206">
        <f t="shared" si="18"/>
        <v>20</v>
      </c>
      <c r="V92" s="206">
        <f t="shared" si="18"/>
        <v>21</v>
      </c>
      <c r="W92" s="206">
        <f t="shared" si="18"/>
        <v>22</v>
      </c>
      <c r="X92" s="206">
        <f t="shared" si="18"/>
        <v>23</v>
      </c>
      <c r="Y92" s="206">
        <f t="shared" si="18"/>
        <v>24</v>
      </c>
      <c r="Z92" s="206">
        <f t="shared" si="18"/>
        <v>25</v>
      </c>
      <c r="AA92" s="206">
        <f t="shared" si="18"/>
        <v>26</v>
      </c>
      <c r="AB92" s="206">
        <f t="shared" si="18"/>
        <v>27</v>
      </c>
      <c r="AC92" s="206">
        <f t="shared" si="18"/>
        <v>28</v>
      </c>
      <c r="AD92" s="206">
        <f t="shared" si="18"/>
        <v>29</v>
      </c>
      <c r="AE92" s="206">
        <f t="shared" si="18"/>
        <v>30</v>
      </c>
    </row>
    <row r="93" spans="1:31" x14ac:dyDescent="0.2">
      <c r="A93" s="358" t="s">
        <v>579</v>
      </c>
      <c r="B93" s="358"/>
      <c r="C93" s="358"/>
      <c r="D93" s="358"/>
      <c r="E93" s="358"/>
      <c r="F93" s="358"/>
      <c r="G93" s="358"/>
      <c r="H93" s="358"/>
      <c r="I93" s="358"/>
      <c r="J93" s="358"/>
      <c r="K93" s="358"/>
      <c r="L93" s="358"/>
      <c r="M93" s="358"/>
      <c r="N93" s="358"/>
      <c r="O93" s="358"/>
      <c r="P93" s="358"/>
      <c r="Q93" s="358"/>
      <c r="R93" s="358"/>
      <c r="S93" s="358"/>
      <c r="T93" s="358"/>
      <c r="U93" s="358"/>
      <c r="V93" s="358"/>
      <c r="W93" s="358"/>
      <c r="X93" s="358"/>
      <c r="Y93" s="358"/>
      <c r="Z93" s="358"/>
      <c r="AA93" s="358"/>
      <c r="AB93" s="358"/>
      <c r="AC93" s="358"/>
    </row>
    <row r="94" spans="1:31" x14ac:dyDescent="0.2">
      <c r="A94" s="358" t="s">
        <v>580</v>
      </c>
      <c r="B94" s="358"/>
      <c r="C94" s="358"/>
      <c r="D94" s="358"/>
      <c r="E94" s="358"/>
      <c r="F94" s="358"/>
      <c r="G94" s="358"/>
      <c r="H94" s="358"/>
      <c r="I94" s="358"/>
      <c r="N94" s="206"/>
    </row>
    <row r="95" spans="1:31" x14ac:dyDescent="0.2">
      <c r="C95" s="278"/>
      <c r="N95" s="206"/>
    </row>
    <row r="96" spans="1:31" x14ac:dyDescent="0.2">
      <c r="N96" s="206"/>
    </row>
    <row r="97" spans="14:14" s="196" customFormat="1" x14ac:dyDescent="0.2">
      <c r="N97" s="206"/>
    </row>
    <row r="98" spans="14:14" s="196" customFormat="1" x14ac:dyDescent="0.2">
      <c r="N98" s="206"/>
    </row>
    <row r="99" spans="14:14" s="196" customFormat="1" x14ac:dyDescent="0.2">
      <c r="N99" s="206"/>
    </row>
    <row r="100" spans="14:14" s="196" customFormat="1" x14ac:dyDescent="0.2">
      <c r="N100" s="206"/>
    </row>
    <row r="101" spans="14:14" s="196" customFormat="1" x14ac:dyDescent="0.2">
      <c r="N101" s="206"/>
    </row>
    <row r="102" spans="14:14" s="196" customFormat="1" x14ac:dyDescent="0.2">
      <c r="N102" s="206"/>
    </row>
    <row r="103" spans="14:14" s="196" customFormat="1" x14ac:dyDescent="0.2">
      <c r="N103" s="206"/>
    </row>
    <row r="104" spans="14:14" s="196" customFormat="1" x14ac:dyDescent="0.2">
      <c r="N104" s="206"/>
    </row>
    <row r="105" spans="14:14" s="196" customFormat="1" x14ac:dyDescent="0.2">
      <c r="N105" s="206"/>
    </row>
    <row r="106" spans="14:14" s="196" customFormat="1" x14ac:dyDescent="0.2">
      <c r="N106" s="206"/>
    </row>
    <row r="107" spans="14:14" s="196" customFormat="1" x14ac:dyDescent="0.2">
      <c r="N107" s="206"/>
    </row>
    <row r="108" spans="14:14" s="196" customFormat="1" x14ac:dyDescent="0.2">
      <c r="N108" s="206"/>
    </row>
    <row r="109" spans="14:14" s="196" customFormat="1" x14ac:dyDescent="0.2">
      <c r="N109" s="206"/>
    </row>
    <row r="110" spans="14:14" s="196" customFormat="1" x14ac:dyDescent="0.2">
      <c r="N110" s="206"/>
    </row>
    <row r="111" spans="14:14" s="196" customFormat="1" x14ac:dyDescent="0.2">
      <c r="N111" s="206"/>
    </row>
    <row r="112" spans="14:14" s="196" customFormat="1" x14ac:dyDescent="0.2">
      <c r="N112" s="206"/>
    </row>
    <row r="113" spans="14:14" s="196" customFormat="1" x14ac:dyDescent="0.2">
      <c r="N113" s="206"/>
    </row>
    <row r="114" spans="14:14" s="196" customFormat="1" x14ac:dyDescent="0.2">
      <c r="N114" s="206"/>
    </row>
    <row r="115" spans="14:14" s="196" customFormat="1" x14ac:dyDescent="0.2">
      <c r="N115" s="206"/>
    </row>
    <row r="116" spans="14:14" s="196" customFormat="1" x14ac:dyDescent="0.2">
      <c r="N116" s="206"/>
    </row>
    <row r="117" spans="14:14" s="196" customFormat="1" x14ac:dyDescent="0.2">
      <c r="N117" s="206"/>
    </row>
    <row r="118" spans="14:14" s="196" customFormat="1" x14ac:dyDescent="0.2">
      <c r="N118" s="206"/>
    </row>
    <row r="119" spans="14:14" s="196" customFormat="1" x14ac:dyDescent="0.2">
      <c r="N119" s="206"/>
    </row>
    <row r="120" spans="14:14" s="196" customFormat="1" x14ac:dyDescent="0.2">
      <c r="N120" s="206"/>
    </row>
    <row r="121" spans="14:14" s="196" customFormat="1" x14ac:dyDescent="0.2">
      <c r="N121" s="206"/>
    </row>
    <row r="122" spans="14:14" s="196" customFormat="1" x14ac:dyDescent="0.2">
      <c r="N122" s="206"/>
    </row>
    <row r="123" spans="14:14" s="196" customFormat="1" x14ac:dyDescent="0.2">
      <c r="N123" s="206"/>
    </row>
    <row r="124" spans="14:14" s="196" customFormat="1" x14ac:dyDescent="0.2">
      <c r="N124" s="206"/>
    </row>
    <row r="125" spans="14:14" s="196" customFormat="1" x14ac:dyDescent="0.2">
      <c r="N125" s="206"/>
    </row>
    <row r="126" spans="14:14" s="196" customFormat="1" x14ac:dyDescent="0.2">
      <c r="N126" s="206"/>
    </row>
    <row r="127" spans="14:14" s="196" customFormat="1" x14ac:dyDescent="0.2">
      <c r="N127" s="206"/>
    </row>
    <row r="128" spans="14:14" s="196" customFormat="1" x14ac:dyDescent="0.2">
      <c r="N128" s="206"/>
    </row>
    <row r="129" spans="14:14" s="196" customFormat="1" x14ac:dyDescent="0.2">
      <c r="N129" s="206"/>
    </row>
    <row r="130" spans="14:14" s="196" customFormat="1" x14ac:dyDescent="0.2">
      <c r="N130" s="206"/>
    </row>
    <row r="131" spans="14:14" s="196" customFormat="1" x14ac:dyDescent="0.2">
      <c r="N131" s="206"/>
    </row>
    <row r="132" spans="14:14" s="196" customFormat="1" x14ac:dyDescent="0.2">
      <c r="N132" s="206"/>
    </row>
    <row r="133" spans="14:14" s="196" customFormat="1" x14ac:dyDescent="0.2">
      <c r="N133" s="206"/>
    </row>
    <row r="134" spans="14:14" s="196" customFormat="1" x14ac:dyDescent="0.2">
      <c r="N134" s="206"/>
    </row>
    <row r="135" spans="14:14" s="196" customFormat="1" x14ac:dyDescent="0.2">
      <c r="N135" s="206"/>
    </row>
    <row r="136" spans="14:14" s="196" customFormat="1" x14ac:dyDescent="0.2">
      <c r="N136" s="206"/>
    </row>
    <row r="137" spans="14:14" s="196" customFormat="1" x14ac:dyDescent="0.2">
      <c r="N137" s="206"/>
    </row>
    <row r="138" spans="14:14" s="196" customFormat="1" x14ac:dyDescent="0.2">
      <c r="N138" s="206"/>
    </row>
    <row r="139" spans="14:14" s="196" customFormat="1" x14ac:dyDescent="0.2">
      <c r="N139" s="206"/>
    </row>
    <row r="140" spans="14:14" s="196" customFormat="1" x14ac:dyDescent="0.2">
      <c r="N140" s="206"/>
    </row>
    <row r="141" spans="14:14" s="196" customFormat="1" x14ac:dyDescent="0.2">
      <c r="N141" s="206"/>
    </row>
    <row r="142" spans="14:14" s="196" customFormat="1" x14ac:dyDescent="0.2">
      <c r="N142" s="206"/>
    </row>
    <row r="143" spans="14:14" s="196" customFormat="1" x14ac:dyDescent="0.2">
      <c r="N143" s="206"/>
    </row>
    <row r="144" spans="14:14" s="196" customFormat="1" x14ac:dyDescent="0.2">
      <c r="N144" s="206"/>
    </row>
    <row r="145" spans="14:14" s="196" customFormat="1" x14ac:dyDescent="0.2">
      <c r="N145" s="206"/>
    </row>
    <row r="146" spans="14:14" s="196" customFormat="1" x14ac:dyDescent="0.2">
      <c r="N146" s="206"/>
    </row>
    <row r="147" spans="14:14" s="196" customFormat="1" x14ac:dyDescent="0.2">
      <c r="N147" s="206"/>
    </row>
    <row r="148" spans="14:14" s="196" customFormat="1" x14ac:dyDescent="0.2">
      <c r="N148" s="206"/>
    </row>
    <row r="149" spans="14:14" s="196" customFormat="1" x14ac:dyDescent="0.2">
      <c r="N149" s="206"/>
    </row>
    <row r="150" spans="14:14" s="196" customFormat="1" x14ac:dyDescent="0.2">
      <c r="N150" s="206"/>
    </row>
    <row r="151" spans="14:14" s="196" customFormat="1" x14ac:dyDescent="0.2">
      <c r="N151" s="206"/>
    </row>
    <row r="152" spans="14:14" s="196" customFormat="1" x14ac:dyDescent="0.2">
      <c r="N152" s="206"/>
    </row>
    <row r="153" spans="14:14" s="196" customFormat="1" x14ac:dyDescent="0.2">
      <c r="N153" s="206"/>
    </row>
    <row r="154" spans="14:14" s="196" customFormat="1" x14ac:dyDescent="0.2">
      <c r="N154" s="206"/>
    </row>
    <row r="155" spans="14:14" s="196" customFormat="1" x14ac:dyDescent="0.2">
      <c r="N155" s="206"/>
    </row>
    <row r="156" spans="14:14" s="196" customFormat="1" x14ac:dyDescent="0.2">
      <c r="N156" s="206"/>
    </row>
    <row r="157" spans="14:14" s="196" customFormat="1" x14ac:dyDescent="0.2">
      <c r="N157" s="206"/>
    </row>
    <row r="158" spans="14:14" s="196" customFormat="1" x14ac:dyDescent="0.2">
      <c r="N158" s="206"/>
    </row>
    <row r="159" spans="14:14" s="196" customFormat="1" x14ac:dyDescent="0.2">
      <c r="N159" s="206"/>
    </row>
    <row r="160" spans="14:14" s="196" customFormat="1" x14ac:dyDescent="0.2">
      <c r="N160" s="206"/>
    </row>
    <row r="161" spans="14:14" s="196" customFormat="1" x14ac:dyDescent="0.2">
      <c r="N161" s="206"/>
    </row>
    <row r="162" spans="14:14" s="196" customFormat="1" x14ac:dyDescent="0.2">
      <c r="N162" s="206"/>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G53" sqref="G53:H53"/>
    </sheetView>
  </sheetViews>
  <sheetFormatPr defaultRowHeight="15.75" x14ac:dyDescent="0.25"/>
  <cols>
    <col min="1" max="1" width="9.140625" style="31"/>
    <col min="2" max="2" width="37.7109375" style="31" customWidth="1"/>
    <col min="3" max="4" width="16" style="31" customWidth="1"/>
    <col min="5" max="6" width="16" style="31" hidden="1" customWidth="1"/>
    <col min="7" max="8" width="16" style="31" customWidth="1"/>
    <col min="9" max="10" width="18.28515625" style="31" customWidth="1"/>
    <col min="11" max="11" width="64.85546875" style="31" customWidth="1"/>
    <col min="12" max="251" width="9.140625" style="31"/>
    <col min="252" max="252" width="37.7109375" style="31" customWidth="1"/>
    <col min="253" max="253" width="9.140625" style="31"/>
    <col min="254" max="254" width="12.85546875" style="31" customWidth="1"/>
    <col min="255" max="256" width="0" style="31" hidden="1" customWidth="1"/>
    <col min="257" max="257" width="18.28515625" style="31" customWidth="1"/>
    <col min="258" max="258" width="64.85546875" style="31" customWidth="1"/>
    <col min="259" max="262" width="9.140625" style="31"/>
    <col min="263" max="263" width="14.85546875" style="31" customWidth="1"/>
    <col min="264" max="507" width="9.140625" style="31"/>
    <col min="508" max="508" width="37.7109375" style="31" customWidth="1"/>
    <col min="509" max="509" width="9.140625" style="31"/>
    <col min="510" max="510" width="12.85546875" style="31" customWidth="1"/>
    <col min="511" max="512" width="0" style="31" hidden="1" customWidth="1"/>
    <col min="513" max="513" width="18.28515625" style="31" customWidth="1"/>
    <col min="514" max="514" width="64.85546875" style="31" customWidth="1"/>
    <col min="515" max="518" width="9.140625" style="31"/>
    <col min="519" max="519" width="14.85546875" style="31" customWidth="1"/>
    <col min="520" max="763" width="9.140625" style="31"/>
    <col min="764" max="764" width="37.7109375" style="31" customWidth="1"/>
    <col min="765" max="765" width="9.140625" style="31"/>
    <col min="766" max="766" width="12.85546875" style="31" customWidth="1"/>
    <col min="767" max="768" width="0" style="31" hidden="1" customWidth="1"/>
    <col min="769" max="769" width="18.28515625" style="31" customWidth="1"/>
    <col min="770" max="770" width="64.85546875" style="31" customWidth="1"/>
    <col min="771" max="774" width="9.140625" style="31"/>
    <col min="775" max="775" width="14.85546875" style="31" customWidth="1"/>
    <col min="776" max="1019" width="9.140625" style="31"/>
    <col min="1020" max="1020" width="37.7109375" style="31" customWidth="1"/>
    <col min="1021" max="1021" width="9.140625" style="31"/>
    <col min="1022" max="1022" width="12.85546875" style="31" customWidth="1"/>
    <col min="1023" max="1024" width="0" style="31" hidden="1" customWidth="1"/>
    <col min="1025" max="1025" width="18.28515625" style="31" customWidth="1"/>
    <col min="1026" max="1026" width="64.85546875" style="31" customWidth="1"/>
    <col min="1027" max="1030" width="9.140625" style="31"/>
    <col min="1031" max="1031" width="14.85546875" style="31" customWidth="1"/>
    <col min="1032" max="1275" width="9.140625" style="31"/>
    <col min="1276" max="1276" width="37.7109375" style="31" customWidth="1"/>
    <col min="1277" max="1277" width="9.140625" style="31"/>
    <col min="1278" max="1278" width="12.85546875" style="31" customWidth="1"/>
    <col min="1279" max="1280" width="0" style="31" hidden="1" customWidth="1"/>
    <col min="1281" max="1281" width="18.28515625" style="31" customWidth="1"/>
    <col min="1282" max="1282" width="64.85546875" style="31" customWidth="1"/>
    <col min="1283" max="1286" width="9.140625" style="31"/>
    <col min="1287" max="1287" width="14.85546875" style="31" customWidth="1"/>
    <col min="1288" max="1531" width="9.140625" style="31"/>
    <col min="1532" max="1532" width="37.7109375" style="31" customWidth="1"/>
    <col min="1533" max="1533" width="9.140625" style="31"/>
    <col min="1534" max="1534" width="12.85546875" style="31" customWidth="1"/>
    <col min="1535" max="1536" width="0" style="31" hidden="1" customWidth="1"/>
    <col min="1537" max="1537" width="18.28515625" style="31" customWidth="1"/>
    <col min="1538" max="1538" width="64.85546875" style="31" customWidth="1"/>
    <col min="1539" max="1542" width="9.140625" style="31"/>
    <col min="1543" max="1543" width="14.85546875" style="31" customWidth="1"/>
    <col min="1544" max="1787" width="9.140625" style="31"/>
    <col min="1788" max="1788" width="37.7109375" style="31" customWidth="1"/>
    <col min="1789" max="1789" width="9.140625" style="31"/>
    <col min="1790" max="1790" width="12.85546875" style="31" customWidth="1"/>
    <col min="1791" max="1792" width="0" style="31" hidden="1" customWidth="1"/>
    <col min="1793" max="1793" width="18.28515625" style="31" customWidth="1"/>
    <col min="1794" max="1794" width="64.85546875" style="31" customWidth="1"/>
    <col min="1795" max="1798" width="9.140625" style="31"/>
    <col min="1799" max="1799" width="14.85546875" style="31" customWidth="1"/>
    <col min="1800" max="2043" width="9.140625" style="31"/>
    <col min="2044" max="2044" width="37.7109375" style="31" customWidth="1"/>
    <col min="2045" max="2045" width="9.140625" style="31"/>
    <col min="2046" max="2046" width="12.85546875" style="31" customWidth="1"/>
    <col min="2047" max="2048" width="0" style="31" hidden="1" customWidth="1"/>
    <col min="2049" max="2049" width="18.28515625" style="31" customWidth="1"/>
    <col min="2050" max="2050" width="64.85546875" style="31" customWidth="1"/>
    <col min="2051" max="2054" width="9.140625" style="31"/>
    <col min="2055" max="2055" width="14.85546875" style="31" customWidth="1"/>
    <col min="2056" max="2299" width="9.140625" style="31"/>
    <col min="2300" max="2300" width="37.7109375" style="31" customWidth="1"/>
    <col min="2301" max="2301" width="9.140625" style="31"/>
    <col min="2302" max="2302" width="12.85546875" style="31" customWidth="1"/>
    <col min="2303" max="2304" width="0" style="31" hidden="1" customWidth="1"/>
    <col min="2305" max="2305" width="18.28515625" style="31" customWidth="1"/>
    <col min="2306" max="2306" width="64.85546875" style="31" customWidth="1"/>
    <col min="2307" max="2310" width="9.140625" style="31"/>
    <col min="2311" max="2311" width="14.85546875" style="31" customWidth="1"/>
    <col min="2312" max="2555" width="9.140625" style="31"/>
    <col min="2556" max="2556" width="37.7109375" style="31" customWidth="1"/>
    <col min="2557" max="2557" width="9.140625" style="31"/>
    <col min="2558" max="2558" width="12.85546875" style="31" customWidth="1"/>
    <col min="2559" max="2560" width="0" style="31" hidden="1" customWidth="1"/>
    <col min="2561" max="2561" width="18.28515625" style="31" customWidth="1"/>
    <col min="2562" max="2562" width="64.85546875" style="31" customWidth="1"/>
    <col min="2563" max="2566" width="9.140625" style="31"/>
    <col min="2567" max="2567" width="14.85546875" style="31" customWidth="1"/>
    <col min="2568" max="2811" width="9.140625" style="31"/>
    <col min="2812" max="2812" width="37.7109375" style="31" customWidth="1"/>
    <col min="2813" max="2813" width="9.140625" style="31"/>
    <col min="2814" max="2814" width="12.85546875" style="31" customWidth="1"/>
    <col min="2815" max="2816" width="0" style="31" hidden="1" customWidth="1"/>
    <col min="2817" max="2817" width="18.28515625" style="31" customWidth="1"/>
    <col min="2818" max="2818" width="64.85546875" style="31" customWidth="1"/>
    <col min="2819" max="2822" width="9.140625" style="31"/>
    <col min="2823" max="2823" width="14.85546875" style="31" customWidth="1"/>
    <col min="2824" max="3067" width="9.140625" style="31"/>
    <col min="3068" max="3068" width="37.7109375" style="31" customWidth="1"/>
    <col min="3069" max="3069" width="9.140625" style="31"/>
    <col min="3070" max="3070" width="12.85546875" style="31" customWidth="1"/>
    <col min="3071" max="3072" width="0" style="31" hidden="1" customWidth="1"/>
    <col min="3073" max="3073" width="18.28515625" style="31" customWidth="1"/>
    <col min="3074" max="3074" width="64.85546875" style="31" customWidth="1"/>
    <col min="3075" max="3078" width="9.140625" style="31"/>
    <col min="3079" max="3079" width="14.85546875" style="31" customWidth="1"/>
    <col min="3080" max="3323" width="9.140625" style="31"/>
    <col min="3324" max="3324" width="37.7109375" style="31" customWidth="1"/>
    <col min="3325" max="3325" width="9.140625" style="31"/>
    <col min="3326" max="3326" width="12.85546875" style="31" customWidth="1"/>
    <col min="3327" max="3328" width="0" style="31" hidden="1" customWidth="1"/>
    <col min="3329" max="3329" width="18.28515625" style="31" customWidth="1"/>
    <col min="3330" max="3330" width="64.85546875" style="31" customWidth="1"/>
    <col min="3331" max="3334" width="9.140625" style="31"/>
    <col min="3335" max="3335" width="14.85546875" style="31" customWidth="1"/>
    <col min="3336" max="3579" width="9.140625" style="31"/>
    <col min="3580" max="3580" width="37.7109375" style="31" customWidth="1"/>
    <col min="3581" max="3581" width="9.140625" style="31"/>
    <col min="3582" max="3582" width="12.85546875" style="31" customWidth="1"/>
    <col min="3583" max="3584" width="0" style="31" hidden="1" customWidth="1"/>
    <col min="3585" max="3585" width="18.28515625" style="31" customWidth="1"/>
    <col min="3586" max="3586" width="64.85546875" style="31" customWidth="1"/>
    <col min="3587" max="3590" width="9.140625" style="31"/>
    <col min="3591" max="3591" width="14.85546875" style="31" customWidth="1"/>
    <col min="3592" max="3835" width="9.140625" style="31"/>
    <col min="3836" max="3836" width="37.7109375" style="31" customWidth="1"/>
    <col min="3837" max="3837" width="9.140625" style="31"/>
    <col min="3838" max="3838" width="12.85546875" style="31" customWidth="1"/>
    <col min="3839" max="3840" width="0" style="31" hidden="1" customWidth="1"/>
    <col min="3841" max="3841" width="18.28515625" style="31" customWidth="1"/>
    <col min="3842" max="3842" width="64.85546875" style="31" customWidth="1"/>
    <col min="3843" max="3846" width="9.140625" style="31"/>
    <col min="3847" max="3847" width="14.85546875" style="31" customWidth="1"/>
    <col min="3848" max="4091" width="9.140625" style="31"/>
    <col min="4092" max="4092" width="37.7109375" style="31" customWidth="1"/>
    <col min="4093" max="4093" width="9.140625" style="31"/>
    <col min="4094" max="4094" width="12.85546875" style="31" customWidth="1"/>
    <col min="4095" max="4096" width="0" style="31" hidden="1" customWidth="1"/>
    <col min="4097" max="4097" width="18.28515625" style="31" customWidth="1"/>
    <col min="4098" max="4098" width="64.85546875" style="31" customWidth="1"/>
    <col min="4099" max="4102" width="9.140625" style="31"/>
    <col min="4103" max="4103" width="14.85546875" style="31" customWidth="1"/>
    <col min="4104" max="4347" width="9.140625" style="31"/>
    <col min="4348" max="4348" width="37.7109375" style="31" customWidth="1"/>
    <col min="4349" max="4349" width="9.140625" style="31"/>
    <col min="4350" max="4350" width="12.85546875" style="31" customWidth="1"/>
    <col min="4351" max="4352" width="0" style="31" hidden="1" customWidth="1"/>
    <col min="4353" max="4353" width="18.28515625" style="31" customWidth="1"/>
    <col min="4354" max="4354" width="64.85546875" style="31" customWidth="1"/>
    <col min="4355" max="4358" width="9.140625" style="31"/>
    <col min="4359" max="4359" width="14.85546875" style="31" customWidth="1"/>
    <col min="4360" max="4603" width="9.140625" style="31"/>
    <col min="4604" max="4604" width="37.7109375" style="31" customWidth="1"/>
    <col min="4605" max="4605" width="9.140625" style="31"/>
    <col min="4606" max="4606" width="12.85546875" style="31" customWidth="1"/>
    <col min="4607" max="4608" width="0" style="31" hidden="1" customWidth="1"/>
    <col min="4609" max="4609" width="18.28515625" style="31" customWidth="1"/>
    <col min="4610" max="4610" width="64.85546875" style="31" customWidth="1"/>
    <col min="4611" max="4614" width="9.140625" style="31"/>
    <col min="4615" max="4615" width="14.85546875" style="31" customWidth="1"/>
    <col min="4616" max="4859" width="9.140625" style="31"/>
    <col min="4860" max="4860" width="37.7109375" style="31" customWidth="1"/>
    <col min="4861" max="4861" width="9.140625" style="31"/>
    <col min="4862" max="4862" width="12.85546875" style="31" customWidth="1"/>
    <col min="4863" max="4864" width="0" style="31" hidden="1" customWidth="1"/>
    <col min="4865" max="4865" width="18.28515625" style="31" customWidth="1"/>
    <col min="4866" max="4866" width="64.85546875" style="31" customWidth="1"/>
    <col min="4867" max="4870" width="9.140625" style="31"/>
    <col min="4871" max="4871" width="14.85546875" style="31" customWidth="1"/>
    <col min="4872" max="5115" width="9.140625" style="31"/>
    <col min="5116" max="5116" width="37.7109375" style="31" customWidth="1"/>
    <col min="5117" max="5117" width="9.140625" style="31"/>
    <col min="5118" max="5118" width="12.85546875" style="31" customWidth="1"/>
    <col min="5119" max="5120" width="0" style="31" hidden="1" customWidth="1"/>
    <col min="5121" max="5121" width="18.28515625" style="31" customWidth="1"/>
    <col min="5122" max="5122" width="64.85546875" style="31" customWidth="1"/>
    <col min="5123" max="5126" width="9.140625" style="31"/>
    <col min="5127" max="5127" width="14.85546875" style="31" customWidth="1"/>
    <col min="5128" max="5371" width="9.140625" style="31"/>
    <col min="5372" max="5372" width="37.7109375" style="31" customWidth="1"/>
    <col min="5373" max="5373" width="9.140625" style="31"/>
    <col min="5374" max="5374" width="12.85546875" style="31" customWidth="1"/>
    <col min="5375" max="5376" width="0" style="31" hidden="1" customWidth="1"/>
    <col min="5377" max="5377" width="18.28515625" style="31" customWidth="1"/>
    <col min="5378" max="5378" width="64.85546875" style="31" customWidth="1"/>
    <col min="5379" max="5382" width="9.140625" style="31"/>
    <col min="5383" max="5383" width="14.85546875" style="31" customWidth="1"/>
    <col min="5384" max="5627" width="9.140625" style="31"/>
    <col min="5628" max="5628" width="37.7109375" style="31" customWidth="1"/>
    <col min="5629" max="5629" width="9.140625" style="31"/>
    <col min="5630" max="5630" width="12.85546875" style="31" customWidth="1"/>
    <col min="5631" max="5632" width="0" style="31" hidden="1" customWidth="1"/>
    <col min="5633" max="5633" width="18.28515625" style="31" customWidth="1"/>
    <col min="5634" max="5634" width="64.85546875" style="31" customWidth="1"/>
    <col min="5635" max="5638" width="9.140625" style="31"/>
    <col min="5639" max="5639" width="14.85546875" style="31" customWidth="1"/>
    <col min="5640" max="5883" width="9.140625" style="31"/>
    <col min="5884" max="5884" width="37.7109375" style="31" customWidth="1"/>
    <col min="5885" max="5885" width="9.140625" style="31"/>
    <col min="5886" max="5886" width="12.85546875" style="31" customWidth="1"/>
    <col min="5887" max="5888" width="0" style="31" hidden="1" customWidth="1"/>
    <col min="5889" max="5889" width="18.28515625" style="31" customWidth="1"/>
    <col min="5890" max="5890" width="64.85546875" style="31" customWidth="1"/>
    <col min="5891" max="5894" width="9.140625" style="31"/>
    <col min="5895" max="5895" width="14.85546875" style="31" customWidth="1"/>
    <col min="5896" max="6139" width="9.140625" style="31"/>
    <col min="6140" max="6140" width="37.7109375" style="31" customWidth="1"/>
    <col min="6141" max="6141" width="9.140625" style="31"/>
    <col min="6142" max="6142" width="12.85546875" style="31" customWidth="1"/>
    <col min="6143" max="6144" width="0" style="31" hidden="1" customWidth="1"/>
    <col min="6145" max="6145" width="18.28515625" style="31" customWidth="1"/>
    <col min="6146" max="6146" width="64.85546875" style="31" customWidth="1"/>
    <col min="6147" max="6150" width="9.140625" style="31"/>
    <col min="6151" max="6151" width="14.85546875" style="31" customWidth="1"/>
    <col min="6152" max="6395" width="9.140625" style="31"/>
    <col min="6396" max="6396" width="37.7109375" style="31" customWidth="1"/>
    <col min="6397" max="6397" width="9.140625" style="31"/>
    <col min="6398" max="6398" width="12.85546875" style="31" customWidth="1"/>
    <col min="6399" max="6400" width="0" style="31" hidden="1" customWidth="1"/>
    <col min="6401" max="6401" width="18.28515625" style="31" customWidth="1"/>
    <col min="6402" max="6402" width="64.85546875" style="31" customWidth="1"/>
    <col min="6403" max="6406" width="9.140625" style="31"/>
    <col min="6407" max="6407" width="14.85546875" style="31" customWidth="1"/>
    <col min="6408" max="6651" width="9.140625" style="31"/>
    <col min="6652" max="6652" width="37.7109375" style="31" customWidth="1"/>
    <col min="6653" max="6653" width="9.140625" style="31"/>
    <col min="6654" max="6654" width="12.85546875" style="31" customWidth="1"/>
    <col min="6655" max="6656" width="0" style="31" hidden="1" customWidth="1"/>
    <col min="6657" max="6657" width="18.28515625" style="31" customWidth="1"/>
    <col min="6658" max="6658" width="64.85546875" style="31" customWidth="1"/>
    <col min="6659" max="6662" width="9.140625" style="31"/>
    <col min="6663" max="6663" width="14.85546875" style="31" customWidth="1"/>
    <col min="6664" max="6907" width="9.140625" style="31"/>
    <col min="6908" max="6908" width="37.7109375" style="31" customWidth="1"/>
    <col min="6909" max="6909" width="9.140625" style="31"/>
    <col min="6910" max="6910" width="12.85546875" style="31" customWidth="1"/>
    <col min="6911" max="6912" width="0" style="31" hidden="1" customWidth="1"/>
    <col min="6913" max="6913" width="18.28515625" style="31" customWidth="1"/>
    <col min="6914" max="6914" width="64.85546875" style="31" customWidth="1"/>
    <col min="6915" max="6918" width="9.140625" style="31"/>
    <col min="6919" max="6919" width="14.85546875" style="31" customWidth="1"/>
    <col min="6920" max="7163" width="9.140625" style="31"/>
    <col min="7164" max="7164" width="37.7109375" style="31" customWidth="1"/>
    <col min="7165" max="7165" width="9.140625" style="31"/>
    <col min="7166" max="7166" width="12.85546875" style="31" customWidth="1"/>
    <col min="7167" max="7168" width="0" style="31" hidden="1" customWidth="1"/>
    <col min="7169" max="7169" width="18.28515625" style="31" customWidth="1"/>
    <col min="7170" max="7170" width="64.85546875" style="31" customWidth="1"/>
    <col min="7171" max="7174" width="9.140625" style="31"/>
    <col min="7175" max="7175" width="14.85546875" style="31" customWidth="1"/>
    <col min="7176" max="7419" width="9.140625" style="31"/>
    <col min="7420" max="7420" width="37.7109375" style="31" customWidth="1"/>
    <col min="7421" max="7421" width="9.140625" style="31"/>
    <col min="7422" max="7422" width="12.85546875" style="31" customWidth="1"/>
    <col min="7423" max="7424" width="0" style="31" hidden="1" customWidth="1"/>
    <col min="7425" max="7425" width="18.28515625" style="31" customWidth="1"/>
    <col min="7426" max="7426" width="64.85546875" style="31" customWidth="1"/>
    <col min="7427" max="7430" width="9.140625" style="31"/>
    <col min="7431" max="7431" width="14.85546875" style="31" customWidth="1"/>
    <col min="7432" max="7675" width="9.140625" style="31"/>
    <col min="7676" max="7676" width="37.7109375" style="31" customWidth="1"/>
    <col min="7677" max="7677" width="9.140625" style="31"/>
    <col min="7678" max="7678" width="12.85546875" style="31" customWidth="1"/>
    <col min="7679" max="7680" width="0" style="31" hidden="1" customWidth="1"/>
    <col min="7681" max="7681" width="18.28515625" style="31" customWidth="1"/>
    <col min="7682" max="7682" width="64.85546875" style="31" customWidth="1"/>
    <col min="7683" max="7686" width="9.140625" style="31"/>
    <col min="7687" max="7687" width="14.85546875" style="31" customWidth="1"/>
    <col min="7688" max="7931" width="9.140625" style="31"/>
    <col min="7932" max="7932" width="37.7109375" style="31" customWidth="1"/>
    <col min="7933" max="7933" width="9.140625" style="31"/>
    <col min="7934" max="7934" width="12.85546875" style="31" customWidth="1"/>
    <col min="7935" max="7936" width="0" style="31" hidden="1" customWidth="1"/>
    <col min="7937" max="7937" width="18.28515625" style="31" customWidth="1"/>
    <col min="7938" max="7938" width="64.85546875" style="31" customWidth="1"/>
    <col min="7939" max="7942" width="9.140625" style="31"/>
    <col min="7943" max="7943" width="14.85546875" style="31" customWidth="1"/>
    <col min="7944" max="8187" width="9.140625" style="31"/>
    <col min="8188" max="8188" width="37.7109375" style="31" customWidth="1"/>
    <col min="8189" max="8189" width="9.140625" style="31"/>
    <col min="8190" max="8190" width="12.85546875" style="31" customWidth="1"/>
    <col min="8191" max="8192" width="0" style="31" hidden="1" customWidth="1"/>
    <col min="8193" max="8193" width="18.28515625" style="31" customWidth="1"/>
    <col min="8194" max="8194" width="64.85546875" style="31" customWidth="1"/>
    <col min="8195" max="8198" width="9.140625" style="31"/>
    <col min="8199" max="8199" width="14.85546875" style="31" customWidth="1"/>
    <col min="8200" max="8443" width="9.140625" style="31"/>
    <col min="8444" max="8444" width="37.7109375" style="31" customWidth="1"/>
    <col min="8445" max="8445" width="9.140625" style="31"/>
    <col min="8446" max="8446" width="12.85546875" style="31" customWidth="1"/>
    <col min="8447" max="8448" width="0" style="31" hidden="1" customWidth="1"/>
    <col min="8449" max="8449" width="18.28515625" style="31" customWidth="1"/>
    <col min="8450" max="8450" width="64.85546875" style="31" customWidth="1"/>
    <col min="8451" max="8454" width="9.140625" style="31"/>
    <col min="8455" max="8455" width="14.85546875" style="31" customWidth="1"/>
    <col min="8456" max="8699" width="9.140625" style="31"/>
    <col min="8700" max="8700" width="37.7109375" style="31" customWidth="1"/>
    <col min="8701" max="8701" width="9.140625" style="31"/>
    <col min="8702" max="8702" width="12.85546875" style="31" customWidth="1"/>
    <col min="8703" max="8704" width="0" style="31" hidden="1" customWidth="1"/>
    <col min="8705" max="8705" width="18.28515625" style="31" customWidth="1"/>
    <col min="8706" max="8706" width="64.85546875" style="31" customWidth="1"/>
    <col min="8707" max="8710" width="9.140625" style="31"/>
    <col min="8711" max="8711" width="14.85546875" style="31" customWidth="1"/>
    <col min="8712" max="8955" width="9.140625" style="31"/>
    <col min="8956" max="8956" width="37.7109375" style="31" customWidth="1"/>
    <col min="8957" max="8957" width="9.140625" style="31"/>
    <col min="8958" max="8958" width="12.85546875" style="31" customWidth="1"/>
    <col min="8959" max="8960" width="0" style="31" hidden="1" customWidth="1"/>
    <col min="8961" max="8961" width="18.28515625" style="31" customWidth="1"/>
    <col min="8962" max="8962" width="64.85546875" style="31" customWidth="1"/>
    <col min="8963" max="8966" width="9.140625" style="31"/>
    <col min="8967" max="8967" width="14.85546875" style="31" customWidth="1"/>
    <col min="8968" max="9211" width="9.140625" style="31"/>
    <col min="9212" max="9212" width="37.7109375" style="31" customWidth="1"/>
    <col min="9213" max="9213" width="9.140625" style="31"/>
    <col min="9214" max="9214" width="12.85546875" style="31" customWidth="1"/>
    <col min="9215" max="9216" width="0" style="31" hidden="1" customWidth="1"/>
    <col min="9217" max="9217" width="18.28515625" style="31" customWidth="1"/>
    <col min="9218" max="9218" width="64.85546875" style="31" customWidth="1"/>
    <col min="9219" max="9222" width="9.140625" style="31"/>
    <col min="9223" max="9223" width="14.85546875" style="31" customWidth="1"/>
    <col min="9224" max="9467" width="9.140625" style="31"/>
    <col min="9468" max="9468" width="37.7109375" style="31" customWidth="1"/>
    <col min="9469" max="9469" width="9.140625" style="31"/>
    <col min="9470" max="9470" width="12.85546875" style="31" customWidth="1"/>
    <col min="9471" max="9472" width="0" style="31" hidden="1" customWidth="1"/>
    <col min="9473" max="9473" width="18.28515625" style="31" customWidth="1"/>
    <col min="9474" max="9474" width="64.85546875" style="31" customWidth="1"/>
    <col min="9475" max="9478" width="9.140625" style="31"/>
    <col min="9479" max="9479" width="14.85546875" style="31" customWidth="1"/>
    <col min="9480" max="9723" width="9.140625" style="31"/>
    <col min="9724" max="9724" width="37.7109375" style="31" customWidth="1"/>
    <col min="9725" max="9725" width="9.140625" style="31"/>
    <col min="9726" max="9726" width="12.85546875" style="31" customWidth="1"/>
    <col min="9727" max="9728" width="0" style="31" hidden="1" customWidth="1"/>
    <col min="9729" max="9729" width="18.28515625" style="31" customWidth="1"/>
    <col min="9730" max="9730" width="64.85546875" style="31" customWidth="1"/>
    <col min="9731" max="9734" width="9.140625" style="31"/>
    <col min="9735" max="9735" width="14.85546875" style="31" customWidth="1"/>
    <col min="9736" max="9979" width="9.140625" style="31"/>
    <col min="9980" max="9980" width="37.7109375" style="31" customWidth="1"/>
    <col min="9981" max="9981" width="9.140625" style="31"/>
    <col min="9982" max="9982" width="12.85546875" style="31" customWidth="1"/>
    <col min="9983" max="9984" width="0" style="31" hidden="1" customWidth="1"/>
    <col min="9985" max="9985" width="18.28515625" style="31" customWidth="1"/>
    <col min="9986" max="9986" width="64.85546875" style="31" customWidth="1"/>
    <col min="9987" max="9990" width="9.140625" style="31"/>
    <col min="9991" max="9991" width="14.85546875" style="31" customWidth="1"/>
    <col min="9992" max="10235" width="9.140625" style="31"/>
    <col min="10236" max="10236" width="37.7109375" style="31" customWidth="1"/>
    <col min="10237" max="10237" width="9.140625" style="31"/>
    <col min="10238" max="10238" width="12.85546875" style="31" customWidth="1"/>
    <col min="10239" max="10240" width="0" style="31" hidden="1" customWidth="1"/>
    <col min="10241" max="10241" width="18.28515625" style="31" customWidth="1"/>
    <col min="10242" max="10242" width="64.85546875" style="31" customWidth="1"/>
    <col min="10243" max="10246" width="9.140625" style="31"/>
    <col min="10247" max="10247" width="14.85546875" style="31" customWidth="1"/>
    <col min="10248" max="10491" width="9.140625" style="31"/>
    <col min="10492" max="10492" width="37.7109375" style="31" customWidth="1"/>
    <col min="10493" max="10493" width="9.140625" style="31"/>
    <col min="10494" max="10494" width="12.85546875" style="31" customWidth="1"/>
    <col min="10495" max="10496" width="0" style="31" hidden="1" customWidth="1"/>
    <col min="10497" max="10497" width="18.28515625" style="31" customWidth="1"/>
    <col min="10498" max="10498" width="64.85546875" style="31" customWidth="1"/>
    <col min="10499" max="10502" width="9.140625" style="31"/>
    <col min="10503" max="10503" width="14.85546875" style="31" customWidth="1"/>
    <col min="10504" max="10747" width="9.140625" style="31"/>
    <col min="10748" max="10748" width="37.7109375" style="31" customWidth="1"/>
    <col min="10749" max="10749" width="9.140625" style="31"/>
    <col min="10750" max="10750" width="12.85546875" style="31" customWidth="1"/>
    <col min="10751" max="10752" width="0" style="31" hidden="1" customWidth="1"/>
    <col min="10753" max="10753" width="18.28515625" style="31" customWidth="1"/>
    <col min="10754" max="10754" width="64.85546875" style="31" customWidth="1"/>
    <col min="10755" max="10758" width="9.140625" style="31"/>
    <col min="10759" max="10759" width="14.85546875" style="31" customWidth="1"/>
    <col min="10760" max="11003" width="9.140625" style="31"/>
    <col min="11004" max="11004" width="37.7109375" style="31" customWidth="1"/>
    <col min="11005" max="11005" width="9.140625" style="31"/>
    <col min="11006" max="11006" width="12.85546875" style="31" customWidth="1"/>
    <col min="11007" max="11008" width="0" style="31" hidden="1" customWidth="1"/>
    <col min="11009" max="11009" width="18.28515625" style="31" customWidth="1"/>
    <col min="11010" max="11010" width="64.85546875" style="31" customWidth="1"/>
    <col min="11011" max="11014" width="9.140625" style="31"/>
    <col min="11015" max="11015" width="14.85546875" style="31" customWidth="1"/>
    <col min="11016" max="11259" width="9.140625" style="31"/>
    <col min="11260" max="11260" width="37.7109375" style="31" customWidth="1"/>
    <col min="11261" max="11261" width="9.140625" style="31"/>
    <col min="11262" max="11262" width="12.85546875" style="31" customWidth="1"/>
    <col min="11263" max="11264" width="0" style="31" hidden="1" customWidth="1"/>
    <col min="11265" max="11265" width="18.28515625" style="31" customWidth="1"/>
    <col min="11266" max="11266" width="64.85546875" style="31" customWidth="1"/>
    <col min="11267" max="11270" width="9.140625" style="31"/>
    <col min="11271" max="11271" width="14.85546875" style="31" customWidth="1"/>
    <col min="11272" max="11515" width="9.140625" style="31"/>
    <col min="11516" max="11516" width="37.7109375" style="31" customWidth="1"/>
    <col min="11517" max="11517" width="9.140625" style="31"/>
    <col min="11518" max="11518" width="12.85546875" style="31" customWidth="1"/>
    <col min="11519" max="11520" width="0" style="31" hidden="1" customWidth="1"/>
    <col min="11521" max="11521" width="18.28515625" style="31" customWidth="1"/>
    <col min="11522" max="11522" width="64.85546875" style="31" customWidth="1"/>
    <col min="11523" max="11526" width="9.140625" style="31"/>
    <col min="11527" max="11527" width="14.85546875" style="31" customWidth="1"/>
    <col min="11528" max="11771" width="9.140625" style="31"/>
    <col min="11772" max="11772" width="37.7109375" style="31" customWidth="1"/>
    <col min="11773" max="11773" width="9.140625" style="31"/>
    <col min="11774" max="11774" width="12.85546875" style="31" customWidth="1"/>
    <col min="11775" max="11776" width="0" style="31" hidden="1" customWidth="1"/>
    <col min="11777" max="11777" width="18.28515625" style="31" customWidth="1"/>
    <col min="11778" max="11778" width="64.85546875" style="31" customWidth="1"/>
    <col min="11779" max="11782" width="9.140625" style="31"/>
    <col min="11783" max="11783" width="14.85546875" style="31" customWidth="1"/>
    <col min="11784" max="12027" width="9.140625" style="31"/>
    <col min="12028" max="12028" width="37.7109375" style="31" customWidth="1"/>
    <col min="12029" max="12029" width="9.140625" style="31"/>
    <col min="12030" max="12030" width="12.85546875" style="31" customWidth="1"/>
    <col min="12031" max="12032" width="0" style="31" hidden="1" customWidth="1"/>
    <col min="12033" max="12033" width="18.28515625" style="31" customWidth="1"/>
    <col min="12034" max="12034" width="64.85546875" style="31" customWidth="1"/>
    <col min="12035" max="12038" width="9.140625" style="31"/>
    <col min="12039" max="12039" width="14.85546875" style="31" customWidth="1"/>
    <col min="12040" max="12283" width="9.140625" style="31"/>
    <col min="12284" max="12284" width="37.7109375" style="31" customWidth="1"/>
    <col min="12285" max="12285" width="9.140625" style="31"/>
    <col min="12286" max="12286" width="12.85546875" style="31" customWidth="1"/>
    <col min="12287" max="12288" width="0" style="31" hidden="1" customWidth="1"/>
    <col min="12289" max="12289" width="18.28515625" style="31" customWidth="1"/>
    <col min="12290" max="12290" width="64.85546875" style="31" customWidth="1"/>
    <col min="12291" max="12294" width="9.140625" style="31"/>
    <col min="12295" max="12295" width="14.85546875" style="31" customWidth="1"/>
    <col min="12296" max="12539" width="9.140625" style="31"/>
    <col min="12540" max="12540" width="37.7109375" style="31" customWidth="1"/>
    <col min="12541" max="12541" width="9.140625" style="31"/>
    <col min="12542" max="12542" width="12.85546875" style="31" customWidth="1"/>
    <col min="12543" max="12544" width="0" style="31" hidden="1" customWidth="1"/>
    <col min="12545" max="12545" width="18.28515625" style="31" customWidth="1"/>
    <col min="12546" max="12546" width="64.85546875" style="31" customWidth="1"/>
    <col min="12547" max="12550" width="9.140625" style="31"/>
    <col min="12551" max="12551" width="14.85546875" style="31" customWidth="1"/>
    <col min="12552" max="12795" width="9.140625" style="31"/>
    <col min="12796" max="12796" width="37.7109375" style="31" customWidth="1"/>
    <col min="12797" max="12797" width="9.140625" style="31"/>
    <col min="12798" max="12798" width="12.85546875" style="31" customWidth="1"/>
    <col min="12799" max="12800" width="0" style="31" hidden="1" customWidth="1"/>
    <col min="12801" max="12801" width="18.28515625" style="31" customWidth="1"/>
    <col min="12802" max="12802" width="64.85546875" style="31" customWidth="1"/>
    <col min="12803" max="12806" width="9.140625" style="31"/>
    <col min="12807" max="12807" width="14.85546875" style="31" customWidth="1"/>
    <col min="12808" max="13051" width="9.140625" style="31"/>
    <col min="13052" max="13052" width="37.7109375" style="31" customWidth="1"/>
    <col min="13053" max="13053" width="9.140625" style="31"/>
    <col min="13054" max="13054" width="12.85546875" style="31" customWidth="1"/>
    <col min="13055" max="13056" width="0" style="31" hidden="1" customWidth="1"/>
    <col min="13057" max="13057" width="18.28515625" style="31" customWidth="1"/>
    <col min="13058" max="13058" width="64.85546875" style="31" customWidth="1"/>
    <col min="13059" max="13062" width="9.140625" style="31"/>
    <col min="13063" max="13063" width="14.85546875" style="31" customWidth="1"/>
    <col min="13064" max="13307" width="9.140625" style="31"/>
    <col min="13308" max="13308" width="37.7109375" style="31" customWidth="1"/>
    <col min="13309" max="13309" width="9.140625" style="31"/>
    <col min="13310" max="13310" width="12.85546875" style="31" customWidth="1"/>
    <col min="13311" max="13312" width="0" style="31" hidden="1" customWidth="1"/>
    <col min="13313" max="13313" width="18.28515625" style="31" customWidth="1"/>
    <col min="13314" max="13314" width="64.85546875" style="31" customWidth="1"/>
    <col min="13315" max="13318" width="9.140625" style="31"/>
    <col min="13319" max="13319" width="14.85546875" style="31" customWidth="1"/>
    <col min="13320" max="13563" width="9.140625" style="31"/>
    <col min="13564" max="13564" width="37.7109375" style="31" customWidth="1"/>
    <col min="13565" max="13565" width="9.140625" style="31"/>
    <col min="13566" max="13566" width="12.85546875" style="31" customWidth="1"/>
    <col min="13567" max="13568" width="0" style="31" hidden="1" customWidth="1"/>
    <col min="13569" max="13569" width="18.28515625" style="31" customWidth="1"/>
    <col min="13570" max="13570" width="64.85546875" style="31" customWidth="1"/>
    <col min="13571" max="13574" width="9.140625" style="31"/>
    <col min="13575" max="13575" width="14.85546875" style="31" customWidth="1"/>
    <col min="13576" max="13819" width="9.140625" style="31"/>
    <col min="13820" max="13820" width="37.7109375" style="31" customWidth="1"/>
    <col min="13821" max="13821" width="9.140625" style="31"/>
    <col min="13822" max="13822" width="12.85546875" style="31" customWidth="1"/>
    <col min="13823" max="13824" width="0" style="31" hidden="1" customWidth="1"/>
    <col min="13825" max="13825" width="18.28515625" style="31" customWidth="1"/>
    <col min="13826" max="13826" width="64.85546875" style="31" customWidth="1"/>
    <col min="13827" max="13830" width="9.140625" style="31"/>
    <col min="13831" max="13831" width="14.85546875" style="31" customWidth="1"/>
    <col min="13832" max="14075" width="9.140625" style="31"/>
    <col min="14076" max="14076" width="37.7109375" style="31" customWidth="1"/>
    <col min="14077" max="14077" width="9.140625" style="31"/>
    <col min="14078" max="14078" width="12.85546875" style="31" customWidth="1"/>
    <col min="14079" max="14080" width="0" style="31" hidden="1" customWidth="1"/>
    <col min="14081" max="14081" width="18.28515625" style="31" customWidth="1"/>
    <col min="14082" max="14082" width="64.85546875" style="31" customWidth="1"/>
    <col min="14083" max="14086" width="9.140625" style="31"/>
    <col min="14087" max="14087" width="14.85546875" style="31" customWidth="1"/>
    <col min="14088" max="14331" width="9.140625" style="31"/>
    <col min="14332" max="14332" width="37.7109375" style="31" customWidth="1"/>
    <col min="14333" max="14333" width="9.140625" style="31"/>
    <col min="14334" max="14334" width="12.85546875" style="31" customWidth="1"/>
    <col min="14335" max="14336" width="0" style="31" hidden="1" customWidth="1"/>
    <col min="14337" max="14337" width="18.28515625" style="31" customWidth="1"/>
    <col min="14338" max="14338" width="64.85546875" style="31" customWidth="1"/>
    <col min="14339" max="14342" width="9.140625" style="31"/>
    <col min="14343" max="14343" width="14.85546875" style="31" customWidth="1"/>
    <col min="14344" max="14587" width="9.140625" style="31"/>
    <col min="14588" max="14588" width="37.7109375" style="31" customWidth="1"/>
    <col min="14589" max="14589" width="9.140625" style="31"/>
    <col min="14590" max="14590" width="12.85546875" style="31" customWidth="1"/>
    <col min="14591" max="14592" width="0" style="31" hidden="1" customWidth="1"/>
    <col min="14593" max="14593" width="18.28515625" style="31" customWidth="1"/>
    <col min="14594" max="14594" width="64.85546875" style="31" customWidth="1"/>
    <col min="14595" max="14598" width="9.140625" style="31"/>
    <col min="14599" max="14599" width="14.85546875" style="31" customWidth="1"/>
    <col min="14600" max="14843" width="9.140625" style="31"/>
    <col min="14844" max="14844" width="37.7109375" style="31" customWidth="1"/>
    <col min="14845" max="14845" width="9.140625" style="31"/>
    <col min="14846" max="14846" width="12.85546875" style="31" customWidth="1"/>
    <col min="14847" max="14848" width="0" style="31" hidden="1" customWidth="1"/>
    <col min="14849" max="14849" width="18.28515625" style="31" customWidth="1"/>
    <col min="14850" max="14850" width="64.85546875" style="31" customWidth="1"/>
    <col min="14851" max="14854" width="9.140625" style="31"/>
    <col min="14855" max="14855" width="14.85546875" style="31" customWidth="1"/>
    <col min="14856" max="15099" width="9.140625" style="31"/>
    <col min="15100" max="15100" width="37.7109375" style="31" customWidth="1"/>
    <col min="15101" max="15101" width="9.140625" style="31"/>
    <col min="15102" max="15102" width="12.85546875" style="31" customWidth="1"/>
    <col min="15103" max="15104" width="0" style="31" hidden="1" customWidth="1"/>
    <col min="15105" max="15105" width="18.28515625" style="31" customWidth="1"/>
    <col min="15106" max="15106" width="64.85546875" style="31" customWidth="1"/>
    <col min="15107" max="15110" width="9.140625" style="31"/>
    <col min="15111" max="15111" width="14.85546875" style="31" customWidth="1"/>
    <col min="15112" max="15355" width="9.140625" style="31"/>
    <col min="15356" max="15356" width="37.7109375" style="31" customWidth="1"/>
    <col min="15357" max="15357" width="9.140625" style="31"/>
    <col min="15358" max="15358" width="12.85546875" style="31" customWidth="1"/>
    <col min="15359" max="15360" width="0" style="31" hidden="1" customWidth="1"/>
    <col min="15361" max="15361" width="18.28515625" style="31" customWidth="1"/>
    <col min="15362" max="15362" width="64.85546875" style="31" customWidth="1"/>
    <col min="15363" max="15366" width="9.140625" style="31"/>
    <col min="15367" max="15367" width="14.85546875" style="31" customWidth="1"/>
    <col min="15368" max="15611" width="9.140625" style="31"/>
    <col min="15612" max="15612" width="37.7109375" style="31" customWidth="1"/>
    <col min="15613" max="15613" width="9.140625" style="31"/>
    <col min="15614" max="15614" width="12.85546875" style="31" customWidth="1"/>
    <col min="15615" max="15616" width="0" style="31" hidden="1" customWidth="1"/>
    <col min="15617" max="15617" width="18.28515625" style="31" customWidth="1"/>
    <col min="15618" max="15618" width="64.85546875" style="31" customWidth="1"/>
    <col min="15619" max="15622" width="9.140625" style="31"/>
    <col min="15623" max="15623" width="14.85546875" style="31" customWidth="1"/>
    <col min="15624" max="15867" width="9.140625" style="31"/>
    <col min="15868" max="15868" width="37.7109375" style="31" customWidth="1"/>
    <col min="15869" max="15869" width="9.140625" style="31"/>
    <col min="15870" max="15870" width="12.85546875" style="31" customWidth="1"/>
    <col min="15871" max="15872" width="0" style="31" hidden="1" customWidth="1"/>
    <col min="15873" max="15873" width="18.28515625" style="31" customWidth="1"/>
    <col min="15874" max="15874" width="64.85546875" style="31" customWidth="1"/>
    <col min="15875" max="15878" width="9.140625" style="31"/>
    <col min="15879" max="15879" width="14.85546875" style="31" customWidth="1"/>
    <col min="15880" max="16123" width="9.140625" style="31"/>
    <col min="16124" max="16124" width="37.7109375" style="31" customWidth="1"/>
    <col min="16125" max="16125" width="9.140625" style="31"/>
    <col min="16126" max="16126" width="12.85546875" style="31" customWidth="1"/>
    <col min="16127" max="16128" width="0" style="31" hidden="1" customWidth="1"/>
    <col min="16129" max="16129" width="18.28515625" style="31" customWidth="1"/>
    <col min="16130" max="16130" width="64.85546875" style="31" customWidth="1"/>
    <col min="16131" max="16134" width="9.140625" style="31"/>
    <col min="16135" max="16135" width="14.85546875" style="31" customWidth="1"/>
    <col min="16136" max="16384" width="9.140625" style="31"/>
  </cols>
  <sheetData>
    <row r="1" spans="1:43" ht="18.75" x14ac:dyDescent="0.25">
      <c r="K1" s="20" t="s">
        <v>66</v>
      </c>
    </row>
    <row r="2" spans="1:43" ht="18.75" x14ac:dyDescent="0.3">
      <c r="K2" s="11" t="s">
        <v>8</v>
      </c>
    </row>
    <row r="3" spans="1:43" ht="18.75" x14ac:dyDescent="0.3">
      <c r="K3" s="11" t="s">
        <v>65</v>
      </c>
    </row>
    <row r="4" spans="1:43" ht="18.75" x14ac:dyDescent="0.3">
      <c r="K4" s="11"/>
    </row>
    <row r="5" spans="1:43" x14ac:dyDescent="0.25">
      <c r="A5" s="310" t="str">
        <f>'1. паспорт местоположение'!A5:C5</f>
        <v>Год раскрытия информации: 2023 год</v>
      </c>
      <c r="B5" s="310"/>
      <c r="C5" s="310"/>
      <c r="D5" s="310"/>
      <c r="E5" s="310"/>
      <c r="F5" s="310"/>
      <c r="G5" s="310"/>
      <c r="H5" s="310"/>
      <c r="I5" s="310"/>
      <c r="J5" s="310"/>
      <c r="K5" s="310"/>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1"/>
    </row>
    <row r="7" spans="1:43" ht="18.75" x14ac:dyDescent="0.25">
      <c r="A7" s="319" t="s">
        <v>7</v>
      </c>
      <c r="B7" s="319"/>
      <c r="C7" s="319"/>
      <c r="D7" s="319"/>
      <c r="E7" s="319"/>
      <c r="F7" s="319"/>
      <c r="G7" s="319"/>
      <c r="H7" s="319"/>
      <c r="I7" s="319"/>
      <c r="J7" s="319"/>
      <c r="K7" s="319"/>
    </row>
    <row r="8" spans="1:43" ht="18.75" x14ac:dyDescent="0.25">
      <c r="A8" s="319"/>
      <c r="B8" s="319"/>
      <c r="C8" s="319"/>
      <c r="D8" s="319"/>
      <c r="E8" s="319"/>
      <c r="F8" s="319"/>
      <c r="G8" s="319"/>
      <c r="H8" s="319"/>
      <c r="I8" s="319"/>
      <c r="J8" s="319"/>
      <c r="K8" s="319"/>
    </row>
    <row r="9" spans="1:43" x14ac:dyDescent="0.25">
      <c r="A9" s="317" t="str">
        <f>'1. паспорт местоположение'!A9:C9</f>
        <v xml:space="preserve">Акционерное общество "Западная энергетическая компания" </v>
      </c>
      <c r="B9" s="317"/>
      <c r="C9" s="317"/>
      <c r="D9" s="317"/>
      <c r="E9" s="317"/>
      <c r="F9" s="317"/>
      <c r="G9" s="317"/>
      <c r="H9" s="317"/>
      <c r="I9" s="317"/>
      <c r="J9" s="317"/>
      <c r="K9" s="317"/>
    </row>
    <row r="10" spans="1:43" x14ac:dyDescent="0.25">
      <c r="A10" s="323" t="s">
        <v>6</v>
      </c>
      <c r="B10" s="323"/>
      <c r="C10" s="323"/>
      <c r="D10" s="323"/>
      <c r="E10" s="323"/>
      <c r="F10" s="323"/>
      <c r="G10" s="323"/>
      <c r="H10" s="323"/>
      <c r="I10" s="323"/>
      <c r="J10" s="323"/>
      <c r="K10" s="323"/>
    </row>
    <row r="11" spans="1:43" ht="18.75" x14ac:dyDescent="0.25">
      <c r="A11" s="319"/>
      <c r="B11" s="319"/>
      <c r="C11" s="319"/>
      <c r="D11" s="319"/>
      <c r="E11" s="319"/>
      <c r="F11" s="319"/>
      <c r="G11" s="319"/>
      <c r="H11" s="319"/>
      <c r="I11" s="319"/>
      <c r="J11" s="319"/>
      <c r="K11" s="319"/>
    </row>
    <row r="12" spans="1:43" x14ac:dyDescent="0.25">
      <c r="A12" s="317" t="str">
        <f>'1. паспорт местоположение'!A12:C12</f>
        <v>M 22-28</v>
      </c>
      <c r="B12" s="317"/>
      <c r="C12" s="317"/>
      <c r="D12" s="317"/>
      <c r="E12" s="317"/>
      <c r="F12" s="317"/>
      <c r="G12" s="317"/>
      <c r="H12" s="317"/>
      <c r="I12" s="317"/>
      <c r="J12" s="317"/>
      <c r="K12" s="317"/>
    </row>
    <row r="13" spans="1:43" x14ac:dyDescent="0.25">
      <c r="A13" s="323" t="s">
        <v>5</v>
      </c>
      <c r="B13" s="323"/>
      <c r="C13" s="323"/>
      <c r="D13" s="323"/>
      <c r="E13" s="323"/>
      <c r="F13" s="323"/>
      <c r="G13" s="323"/>
      <c r="H13" s="323"/>
      <c r="I13" s="323"/>
      <c r="J13" s="323"/>
      <c r="K13" s="323"/>
    </row>
    <row r="14" spans="1:43" ht="18.75" x14ac:dyDescent="0.25">
      <c r="A14" s="324"/>
      <c r="B14" s="324"/>
      <c r="C14" s="324"/>
      <c r="D14" s="324"/>
      <c r="E14" s="324"/>
      <c r="F14" s="324"/>
      <c r="G14" s="324"/>
      <c r="H14" s="324"/>
      <c r="I14" s="324"/>
      <c r="J14" s="324"/>
      <c r="K14" s="324"/>
    </row>
    <row r="15" spans="1:43" x14ac:dyDescent="0.25">
      <c r="A15" s="317" t="str">
        <f>'1. паспорт местоположение'!A15:C15</f>
        <v>Приобретение ВЛ-15кВ № 15-298 г. Светлый</v>
      </c>
      <c r="B15" s="317"/>
      <c r="C15" s="317"/>
      <c r="D15" s="317"/>
      <c r="E15" s="317"/>
      <c r="F15" s="317"/>
      <c r="G15" s="317"/>
      <c r="H15" s="317"/>
      <c r="I15" s="317"/>
      <c r="J15" s="317"/>
      <c r="K15" s="317"/>
    </row>
    <row r="16" spans="1:43" x14ac:dyDescent="0.25">
      <c r="A16" s="311" t="s">
        <v>4</v>
      </c>
      <c r="B16" s="311"/>
      <c r="C16" s="311"/>
      <c r="D16" s="311"/>
      <c r="E16" s="311"/>
      <c r="F16" s="311"/>
      <c r="G16" s="311"/>
      <c r="H16" s="311"/>
      <c r="I16" s="311"/>
      <c r="J16" s="311"/>
      <c r="K16" s="311"/>
    </row>
    <row r="17" spans="1:11" ht="15.75" customHeight="1" x14ac:dyDescent="0.25"/>
    <row r="18" spans="1:11" x14ac:dyDescent="0.25">
      <c r="K18" s="23"/>
    </row>
    <row r="19" spans="1:11" ht="15.75" customHeight="1" x14ac:dyDescent="0.25">
      <c r="A19" s="370" t="s">
        <v>392</v>
      </c>
      <c r="B19" s="370"/>
      <c r="C19" s="370"/>
      <c r="D19" s="370"/>
      <c r="E19" s="370"/>
      <c r="F19" s="370"/>
      <c r="G19" s="370"/>
      <c r="H19" s="370"/>
      <c r="I19" s="370"/>
      <c r="J19" s="370"/>
      <c r="K19" s="370"/>
    </row>
    <row r="20" spans="1:11" x14ac:dyDescent="0.25">
      <c r="A20" s="34"/>
      <c r="B20" s="34"/>
    </row>
    <row r="21" spans="1:11" ht="28.5" customHeight="1" x14ac:dyDescent="0.25">
      <c r="A21" s="365" t="s">
        <v>199</v>
      </c>
      <c r="B21" s="365" t="s">
        <v>486</v>
      </c>
      <c r="C21" s="365" t="s">
        <v>351</v>
      </c>
      <c r="D21" s="365"/>
      <c r="E21" s="365"/>
      <c r="F21" s="365"/>
      <c r="G21" s="365"/>
      <c r="H21" s="365"/>
      <c r="I21" s="365" t="s">
        <v>198</v>
      </c>
      <c r="J21" s="366" t="s">
        <v>352</v>
      </c>
      <c r="K21" s="365" t="s">
        <v>197</v>
      </c>
    </row>
    <row r="22" spans="1:11" ht="58.5" customHeight="1" x14ac:dyDescent="0.25">
      <c r="A22" s="365"/>
      <c r="B22" s="365"/>
      <c r="C22" s="369" t="s">
        <v>537</v>
      </c>
      <c r="D22" s="369"/>
      <c r="E22" s="369" t="s">
        <v>9</v>
      </c>
      <c r="F22" s="369"/>
      <c r="G22" s="369" t="s">
        <v>538</v>
      </c>
      <c r="H22" s="369"/>
      <c r="I22" s="365"/>
      <c r="J22" s="367"/>
      <c r="K22" s="365"/>
    </row>
    <row r="23" spans="1:11" ht="31.5" x14ac:dyDescent="0.25">
      <c r="A23" s="365"/>
      <c r="B23" s="365"/>
      <c r="C23" s="153" t="s">
        <v>196</v>
      </c>
      <c r="D23" s="153" t="s">
        <v>195</v>
      </c>
      <c r="E23" s="153" t="s">
        <v>196</v>
      </c>
      <c r="F23" s="153" t="s">
        <v>195</v>
      </c>
      <c r="G23" s="153" t="s">
        <v>196</v>
      </c>
      <c r="H23" s="153" t="s">
        <v>195</v>
      </c>
      <c r="I23" s="365"/>
      <c r="J23" s="368"/>
      <c r="K23" s="365"/>
    </row>
    <row r="24" spans="1:11" x14ac:dyDescent="0.25">
      <c r="A24" s="154">
        <v>1</v>
      </c>
      <c r="B24" s="154">
        <v>2</v>
      </c>
      <c r="C24" s="153">
        <v>3</v>
      </c>
      <c r="D24" s="153">
        <v>4</v>
      </c>
      <c r="E24" s="153">
        <v>5</v>
      </c>
      <c r="F24" s="153">
        <v>6</v>
      </c>
      <c r="G24" s="153">
        <v>7</v>
      </c>
      <c r="H24" s="153">
        <v>8</v>
      </c>
      <c r="I24" s="153">
        <v>9</v>
      </c>
      <c r="J24" s="153">
        <v>10</v>
      </c>
      <c r="K24" s="153">
        <v>11</v>
      </c>
    </row>
    <row r="25" spans="1:11" x14ac:dyDescent="0.25">
      <c r="A25" s="153">
        <v>1</v>
      </c>
      <c r="B25" s="158" t="s">
        <v>194</v>
      </c>
      <c r="C25" s="159"/>
      <c r="D25" s="159"/>
      <c r="E25" s="165"/>
      <c r="F25" s="165"/>
      <c r="G25" s="165"/>
      <c r="H25" s="165"/>
      <c r="I25" s="165"/>
      <c r="J25" s="149"/>
      <c r="K25" s="150"/>
    </row>
    <row r="26" spans="1:11" x14ac:dyDescent="0.25">
      <c r="A26" s="153" t="s">
        <v>487</v>
      </c>
      <c r="B26" s="162" t="s">
        <v>488</v>
      </c>
      <c r="C26" s="159"/>
      <c r="D26" s="159"/>
      <c r="E26" s="166">
        <v>42859</v>
      </c>
      <c r="F26" s="166">
        <v>42859</v>
      </c>
      <c r="G26" s="166"/>
      <c r="H26" s="166"/>
      <c r="I26" s="167"/>
      <c r="J26" s="149"/>
      <c r="K26" s="150"/>
    </row>
    <row r="27" spans="1:11" ht="31.5" x14ac:dyDescent="0.25">
      <c r="A27" s="153" t="s">
        <v>489</v>
      </c>
      <c r="B27" s="162" t="s">
        <v>490</v>
      </c>
      <c r="C27" s="159"/>
      <c r="D27" s="159"/>
      <c r="E27" s="166">
        <v>42807</v>
      </c>
      <c r="F27" s="166">
        <v>42807</v>
      </c>
      <c r="G27" s="166"/>
      <c r="H27" s="166"/>
      <c r="I27" s="167"/>
      <c r="J27" s="149"/>
      <c r="K27" s="150"/>
    </row>
    <row r="28" spans="1:11" ht="63" x14ac:dyDescent="0.25">
      <c r="A28" s="153" t="s">
        <v>492</v>
      </c>
      <c r="B28" s="162" t="s">
        <v>491</v>
      </c>
      <c r="C28" s="159" t="s">
        <v>540</v>
      </c>
      <c r="D28" s="159" t="s">
        <v>540</v>
      </c>
      <c r="E28" s="166" t="s">
        <v>436</v>
      </c>
      <c r="F28" s="166" t="s">
        <v>436</v>
      </c>
      <c r="G28" s="166" t="s">
        <v>436</v>
      </c>
      <c r="H28" s="166" t="s">
        <v>436</v>
      </c>
      <c r="I28" s="167"/>
      <c r="J28" s="149"/>
      <c r="K28" s="150"/>
    </row>
    <row r="29" spans="1:11" ht="31.5" x14ac:dyDescent="0.25">
      <c r="A29" s="153" t="s">
        <v>494</v>
      </c>
      <c r="B29" s="162" t="s">
        <v>493</v>
      </c>
      <c r="C29" s="159" t="s">
        <v>540</v>
      </c>
      <c r="D29" s="159" t="s">
        <v>540</v>
      </c>
      <c r="E29" s="166" t="s">
        <v>436</v>
      </c>
      <c r="F29" s="166" t="s">
        <v>436</v>
      </c>
      <c r="G29" s="166" t="s">
        <v>436</v>
      </c>
      <c r="H29" s="166" t="s">
        <v>436</v>
      </c>
      <c r="I29" s="167"/>
      <c r="J29" s="149"/>
      <c r="K29" s="150"/>
    </row>
    <row r="30" spans="1:11" ht="31.5" x14ac:dyDescent="0.25">
      <c r="A30" s="153" t="s">
        <v>496</v>
      </c>
      <c r="B30" s="162" t="s">
        <v>495</v>
      </c>
      <c r="C30" s="159" t="s">
        <v>540</v>
      </c>
      <c r="D30" s="159" t="s">
        <v>540</v>
      </c>
      <c r="E30" s="166" t="s">
        <v>436</v>
      </c>
      <c r="F30" s="166" t="s">
        <v>436</v>
      </c>
      <c r="G30" s="166" t="s">
        <v>436</v>
      </c>
      <c r="H30" s="166" t="s">
        <v>436</v>
      </c>
      <c r="I30" s="167"/>
      <c r="J30" s="149"/>
      <c r="K30" s="150"/>
    </row>
    <row r="31" spans="1:11" ht="31.5" x14ac:dyDescent="0.25">
      <c r="A31" s="153" t="s">
        <v>498</v>
      </c>
      <c r="B31" s="162" t="s">
        <v>497</v>
      </c>
      <c r="C31" s="159" t="s">
        <v>540</v>
      </c>
      <c r="D31" s="159" t="s">
        <v>540</v>
      </c>
      <c r="E31" s="166">
        <v>41806</v>
      </c>
      <c r="F31" s="166">
        <v>41806</v>
      </c>
      <c r="G31" s="166" t="s">
        <v>436</v>
      </c>
      <c r="H31" s="166" t="s">
        <v>436</v>
      </c>
      <c r="I31" s="167"/>
      <c r="J31" s="149"/>
      <c r="K31" s="150"/>
    </row>
    <row r="32" spans="1:11" ht="31.5" x14ac:dyDescent="0.25">
      <c r="A32" s="153" t="s">
        <v>500</v>
      </c>
      <c r="B32" s="162" t="s">
        <v>499</v>
      </c>
      <c r="C32" s="159" t="s">
        <v>540</v>
      </c>
      <c r="D32" s="159" t="s">
        <v>540</v>
      </c>
      <c r="E32" s="166">
        <v>42597</v>
      </c>
      <c r="F32" s="166">
        <v>42597</v>
      </c>
      <c r="G32" s="166" t="s">
        <v>436</v>
      </c>
      <c r="H32" s="166" t="s">
        <v>436</v>
      </c>
      <c r="I32" s="167"/>
      <c r="J32" s="149"/>
      <c r="K32" s="150"/>
    </row>
    <row r="33" spans="1:11" ht="47.25" x14ac:dyDescent="0.25">
      <c r="A33" s="153" t="s">
        <v>502</v>
      </c>
      <c r="B33" s="162" t="s">
        <v>501</v>
      </c>
      <c r="C33" s="159" t="s">
        <v>540</v>
      </c>
      <c r="D33" s="159" t="s">
        <v>540</v>
      </c>
      <c r="E33" s="166">
        <v>42720</v>
      </c>
      <c r="F33" s="166">
        <v>42720</v>
      </c>
      <c r="G33" s="166" t="s">
        <v>436</v>
      </c>
      <c r="H33" s="166" t="s">
        <v>436</v>
      </c>
      <c r="I33" s="167"/>
      <c r="J33" s="149"/>
      <c r="K33" s="150"/>
    </row>
    <row r="34" spans="1:11" ht="63" x14ac:dyDescent="0.25">
      <c r="A34" s="153" t="s">
        <v>504</v>
      </c>
      <c r="B34" s="162" t="s">
        <v>503</v>
      </c>
      <c r="C34" s="159" t="s">
        <v>540</v>
      </c>
      <c r="D34" s="159" t="s">
        <v>540</v>
      </c>
      <c r="E34" s="166" t="s">
        <v>436</v>
      </c>
      <c r="F34" s="166" t="s">
        <v>436</v>
      </c>
      <c r="G34" s="166" t="s">
        <v>436</v>
      </c>
      <c r="H34" s="166" t="s">
        <v>436</v>
      </c>
      <c r="I34" s="167"/>
      <c r="J34" s="151"/>
      <c r="K34" s="151"/>
    </row>
    <row r="35" spans="1:11" ht="31.5" x14ac:dyDescent="0.25">
      <c r="A35" s="153" t="s">
        <v>505</v>
      </c>
      <c r="B35" s="162" t="s">
        <v>193</v>
      </c>
      <c r="C35" s="159" t="s">
        <v>540</v>
      </c>
      <c r="D35" s="159" t="s">
        <v>540</v>
      </c>
      <c r="E35" s="166">
        <v>42731</v>
      </c>
      <c r="F35" s="166">
        <v>42731</v>
      </c>
      <c r="G35" s="166" t="s">
        <v>436</v>
      </c>
      <c r="H35" s="166" t="s">
        <v>436</v>
      </c>
      <c r="I35" s="167"/>
      <c r="J35" s="151"/>
      <c r="K35" s="151"/>
    </row>
    <row r="36" spans="1:11" ht="31.5" x14ac:dyDescent="0.25">
      <c r="A36" s="153" t="s">
        <v>507</v>
      </c>
      <c r="B36" s="162" t="s">
        <v>506</v>
      </c>
      <c r="C36" s="159" t="s">
        <v>540</v>
      </c>
      <c r="D36" s="159" t="s">
        <v>540</v>
      </c>
      <c r="E36" s="166">
        <v>42993</v>
      </c>
      <c r="F36" s="166">
        <v>42993</v>
      </c>
      <c r="G36" s="166" t="s">
        <v>436</v>
      </c>
      <c r="H36" s="166" t="s">
        <v>436</v>
      </c>
      <c r="I36" s="167"/>
      <c r="J36" s="161"/>
      <c r="K36" s="150"/>
    </row>
    <row r="37" spans="1:11" x14ac:dyDescent="0.25">
      <c r="A37" s="153" t="s">
        <v>508</v>
      </c>
      <c r="B37" s="162" t="s">
        <v>192</v>
      </c>
      <c r="C37" s="159" t="s">
        <v>540</v>
      </c>
      <c r="D37" s="159" t="s">
        <v>540</v>
      </c>
      <c r="E37" s="166">
        <v>43054</v>
      </c>
      <c r="F37" s="166">
        <v>43305</v>
      </c>
      <c r="G37" s="166" t="s">
        <v>436</v>
      </c>
      <c r="H37" s="166" t="s">
        <v>436</v>
      </c>
      <c r="I37" s="167"/>
      <c r="J37" s="152"/>
      <c r="K37" s="150"/>
    </row>
    <row r="38" spans="1:11" x14ac:dyDescent="0.25">
      <c r="A38" s="160" t="s">
        <v>509</v>
      </c>
      <c r="B38" s="163" t="s">
        <v>191</v>
      </c>
      <c r="C38" s="159" t="s">
        <v>540</v>
      </c>
      <c r="D38" s="159" t="s">
        <v>540</v>
      </c>
      <c r="E38" s="166"/>
      <c r="F38" s="166"/>
      <c r="G38" s="166" t="s">
        <v>436</v>
      </c>
      <c r="H38" s="166" t="s">
        <v>436</v>
      </c>
      <c r="I38" s="167"/>
      <c r="J38" s="150"/>
      <c r="K38" s="150"/>
    </row>
    <row r="39" spans="1:11" ht="63" x14ac:dyDescent="0.25">
      <c r="A39" s="153" t="s">
        <v>511</v>
      </c>
      <c r="B39" s="162" t="s">
        <v>510</v>
      </c>
      <c r="C39" s="159" t="s">
        <v>540</v>
      </c>
      <c r="D39" s="159" t="s">
        <v>540</v>
      </c>
      <c r="E39" s="166">
        <v>42843</v>
      </c>
      <c r="F39" s="166">
        <v>42843</v>
      </c>
      <c r="G39" s="166" t="s">
        <v>436</v>
      </c>
      <c r="H39" s="166" t="s">
        <v>436</v>
      </c>
      <c r="I39" s="167"/>
      <c r="J39" s="150"/>
      <c r="K39" s="150"/>
    </row>
    <row r="40" spans="1:11" x14ac:dyDescent="0.25">
      <c r="A40" s="153" t="s">
        <v>513</v>
      </c>
      <c r="B40" s="162" t="s">
        <v>512</v>
      </c>
      <c r="C40" s="159" t="s">
        <v>540</v>
      </c>
      <c r="D40" s="159" t="s">
        <v>540</v>
      </c>
      <c r="E40" s="166">
        <v>43038</v>
      </c>
      <c r="F40" s="166">
        <v>43038</v>
      </c>
      <c r="G40" s="166" t="s">
        <v>436</v>
      </c>
      <c r="H40" s="166" t="s">
        <v>436</v>
      </c>
      <c r="I40" s="167"/>
      <c r="J40" s="150"/>
      <c r="K40" s="150"/>
    </row>
    <row r="41" spans="1:11" ht="47.25" x14ac:dyDescent="0.25">
      <c r="A41" s="153" t="s">
        <v>515</v>
      </c>
      <c r="B41" s="163" t="s">
        <v>514</v>
      </c>
      <c r="C41" s="159" t="s">
        <v>540</v>
      </c>
      <c r="D41" s="159" t="s">
        <v>540</v>
      </c>
      <c r="E41" s="166"/>
      <c r="F41" s="166"/>
      <c r="G41" s="166" t="s">
        <v>436</v>
      </c>
      <c r="H41" s="166" t="s">
        <v>436</v>
      </c>
      <c r="I41" s="167"/>
      <c r="J41" s="150"/>
      <c r="K41" s="150"/>
    </row>
    <row r="42" spans="1:11" ht="31.5" x14ac:dyDescent="0.25">
      <c r="A42" s="153" t="s">
        <v>517</v>
      </c>
      <c r="B42" s="162" t="s">
        <v>516</v>
      </c>
      <c r="C42" s="159" t="s">
        <v>540</v>
      </c>
      <c r="D42" s="159" t="s">
        <v>540</v>
      </c>
      <c r="E42" s="166">
        <v>43070</v>
      </c>
      <c r="F42" s="166">
        <v>43097</v>
      </c>
      <c r="G42" s="166" t="s">
        <v>436</v>
      </c>
      <c r="H42" s="166" t="s">
        <v>436</v>
      </c>
      <c r="I42" s="167"/>
      <c r="J42" s="150"/>
      <c r="K42" s="150"/>
    </row>
    <row r="43" spans="1:11" x14ac:dyDescent="0.25">
      <c r="A43" s="153" t="s">
        <v>518</v>
      </c>
      <c r="B43" s="162" t="s">
        <v>190</v>
      </c>
      <c r="C43" s="159" t="s">
        <v>540</v>
      </c>
      <c r="D43" s="159" t="s">
        <v>540</v>
      </c>
      <c r="E43" s="166">
        <v>43054</v>
      </c>
      <c r="F43" s="166">
        <v>43218</v>
      </c>
      <c r="G43" s="166" t="s">
        <v>436</v>
      </c>
      <c r="H43" s="166" t="s">
        <v>436</v>
      </c>
      <c r="I43" s="167"/>
      <c r="J43" s="150"/>
      <c r="K43" s="150"/>
    </row>
    <row r="44" spans="1:11" x14ac:dyDescent="0.25">
      <c r="A44" s="153" t="s">
        <v>519</v>
      </c>
      <c r="B44" s="162" t="s">
        <v>189</v>
      </c>
      <c r="C44" s="159" t="s">
        <v>540</v>
      </c>
      <c r="D44" s="159" t="s">
        <v>540</v>
      </c>
      <c r="E44" s="166">
        <v>43084</v>
      </c>
      <c r="F44" s="166">
        <v>43266</v>
      </c>
      <c r="G44" s="166" t="s">
        <v>436</v>
      </c>
      <c r="H44" s="166" t="s">
        <v>436</v>
      </c>
      <c r="I44" s="167"/>
      <c r="J44" s="150"/>
      <c r="K44" s="150"/>
    </row>
    <row r="45" spans="1:11" ht="78.75" x14ac:dyDescent="0.25">
      <c r="A45" s="153" t="s">
        <v>521</v>
      </c>
      <c r="B45" s="162" t="s">
        <v>520</v>
      </c>
      <c r="C45" s="159" t="s">
        <v>540</v>
      </c>
      <c r="D45" s="159" t="s">
        <v>540</v>
      </c>
      <c r="E45" s="166">
        <v>43343</v>
      </c>
      <c r="F45" s="166">
        <v>43343</v>
      </c>
      <c r="G45" s="166" t="s">
        <v>436</v>
      </c>
      <c r="H45" s="166" t="s">
        <v>436</v>
      </c>
      <c r="I45" s="167"/>
      <c r="J45" s="150"/>
      <c r="K45" s="150"/>
    </row>
    <row r="46" spans="1:11" ht="157.5" x14ac:dyDescent="0.25">
      <c r="A46" s="153" t="s">
        <v>523</v>
      </c>
      <c r="B46" s="162" t="s">
        <v>522</v>
      </c>
      <c r="C46" s="159" t="s">
        <v>540</v>
      </c>
      <c r="D46" s="159" t="s">
        <v>540</v>
      </c>
      <c r="E46" s="166">
        <v>43319</v>
      </c>
      <c r="F46" s="166">
        <v>43319</v>
      </c>
      <c r="G46" s="166" t="s">
        <v>436</v>
      </c>
      <c r="H46" s="166" t="s">
        <v>436</v>
      </c>
      <c r="I46" s="167"/>
      <c r="J46" s="150"/>
      <c r="K46" s="150"/>
    </row>
    <row r="47" spans="1:11" x14ac:dyDescent="0.25">
      <c r="A47" s="153" t="s">
        <v>533</v>
      </c>
      <c r="B47" s="162" t="s">
        <v>188</v>
      </c>
      <c r="C47" s="159" t="s">
        <v>540</v>
      </c>
      <c r="D47" s="159" t="s">
        <v>540</v>
      </c>
      <c r="E47" s="166">
        <v>43220</v>
      </c>
      <c r="F47" s="166">
        <v>43318</v>
      </c>
      <c r="G47" s="166" t="s">
        <v>436</v>
      </c>
      <c r="H47" s="166" t="s">
        <v>436</v>
      </c>
      <c r="I47" s="167"/>
      <c r="J47" s="150"/>
      <c r="K47" s="150"/>
    </row>
    <row r="48" spans="1:11" ht="31.5" x14ac:dyDescent="0.25">
      <c r="A48" s="153" t="s">
        <v>524</v>
      </c>
      <c r="B48" s="163" t="s">
        <v>187</v>
      </c>
      <c r="C48" s="159" t="s">
        <v>540</v>
      </c>
      <c r="D48" s="159" t="s">
        <v>540</v>
      </c>
      <c r="E48" s="166"/>
      <c r="F48" s="166"/>
      <c r="G48" s="166" t="s">
        <v>436</v>
      </c>
      <c r="H48" s="166" t="s">
        <v>436</v>
      </c>
      <c r="I48" s="167"/>
      <c r="J48" s="150"/>
      <c r="K48" s="150"/>
    </row>
    <row r="49" spans="1:11" ht="31.5" x14ac:dyDescent="0.25">
      <c r="A49" s="153" t="s">
        <v>534</v>
      </c>
      <c r="B49" s="162" t="s">
        <v>186</v>
      </c>
      <c r="C49" s="159" t="s">
        <v>540</v>
      </c>
      <c r="D49" s="159" t="s">
        <v>540</v>
      </c>
      <c r="E49" s="166">
        <v>43318</v>
      </c>
      <c r="F49" s="166">
        <v>43320</v>
      </c>
      <c r="G49" s="166" t="s">
        <v>436</v>
      </c>
      <c r="H49" s="166" t="s">
        <v>436</v>
      </c>
      <c r="I49" s="167"/>
      <c r="J49" s="150"/>
      <c r="K49" s="150"/>
    </row>
    <row r="50" spans="1:11" ht="78.75" x14ac:dyDescent="0.25">
      <c r="A50" s="160" t="s">
        <v>526</v>
      </c>
      <c r="B50" s="162" t="s">
        <v>525</v>
      </c>
      <c r="C50" s="159" t="s">
        <v>540</v>
      </c>
      <c r="D50" s="159" t="s">
        <v>540</v>
      </c>
      <c r="E50" s="166">
        <v>43343</v>
      </c>
      <c r="F50" s="166">
        <v>43343</v>
      </c>
      <c r="G50" s="166" t="s">
        <v>436</v>
      </c>
      <c r="H50" s="166" t="s">
        <v>436</v>
      </c>
      <c r="I50" s="167"/>
      <c r="J50" s="150"/>
      <c r="K50" s="150"/>
    </row>
    <row r="51" spans="1:11" ht="63" x14ac:dyDescent="0.25">
      <c r="A51" s="153" t="s">
        <v>528</v>
      </c>
      <c r="B51" s="162" t="s">
        <v>527</v>
      </c>
      <c r="C51" s="159" t="s">
        <v>540</v>
      </c>
      <c r="D51" s="159" t="s">
        <v>540</v>
      </c>
      <c r="E51" s="166">
        <v>43343</v>
      </c>
      <c r="F51" s="166">
        <v>43343</v>
      </c>
      <c r="G51" s="166" t="s">
        <v>436</v>
      </c>
      <c r="H51" s="166" t="s">
        <v>436</v>
      </c>
      <c r="I51" s="167"/>
      <c r="J51" s="150"/>
      <c r="K51" s="150"/>
    </row>
    <row r="52" spans="1:11" ht="63" x14ac:dyDescent="0.25">
      <c r="A52" s="153" t="s">
        <v>529</v>
      </c>
      <c r="B52" s="162" t="s">
        <v>185</v>
      </c>
      <c r="C52" s="159" t="s">
        <v>540</v>
      </c>
      <c r="D52" s="159" t="s">
        <v>540</v>
      </c>
      <c r="E52" s="166"/>
      <c r="F52" s="166"/>
      <c r="G52" s="166" t="s">
        <v>436</v>
      </c>
      <c r="H52" s="166" t="s">
        <v>436</v>
      </c>
      <c r="I52" s="167"/>
      <c r="J52" s="150"/>
      <c r="K52" s="150"/>
    </row>
    <row r="53" spans="1:11" ht="31.5" x14ac:dyDescent="0.25">
      <c r="A53" s="153" t="s">
        <v>531</v>
      </c>
      <c r="B53" s="162" t="s">
        <v>530</v>
      </c>
      <c r="C53" s="159" t="s">
        <v>540</v>
      </c>
      <c r="D53" s="159" t="s">
        <v>540</v>
      </c>
      <c r="E53" s="166">
        <v>43343</v>
      </c>
      <c r="F53" s="166">
        <v>43343</v>
      </c>
      <c r="G53" s="166">
        <v>44782</v>
      </c>
      <c r="H53" s="166">
        <v>44783</v>
      </c>
      <c r="I53" s="167"/>
      <c r="J53" s="150"/>
      <c r="K53" s="150"/>
    </row>
    <row r="54" spans="1:11" ht="31.5" x14ac:dyDescent="0.25">
      <c r="A54" s="153" t="s">
        <v>535</v>
      </c>
      <c r="B54" s="162" t="s">
        <v>184</v>
      </c>
      <c r="C54" s="159" t="s">
        <v>540</v>
      </c>
      <c r="D54" s="159" t="s">
        <v>540</v>
      </c>
      <c r="E54" s="166">
        <v>43353</v>
      </c>
      <c r="F54" s="166">
        <v>43353</v>
      </c>
      <c r="G54" s="166" t="s">
        <v>436</v>
      </c>
      <c r="H54" s="166"/>
      <c r="I54" s="167"/>
      <c r="J54" s="150"/>
      <c r="K54" s="15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2023-02-24T17:04:20Z</dcterms:modified>
</cp:coreProperties>
</file>