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5\паспорт карта\"/>
    </mc:Choice>
  </mc:AlternateContent>
  <xr:revisionPtr revIDLastSave="0" documentId="13_ncr:1_{5137C3CC-8C74-411B-8692-D4068D428EDF}" xr6:coauthVersionLast="47" xr6:coauthVersionMax="47" xr10:uidLastSave="{00000000-0000-0000-0000-000000000000}"/>
  <bookViews>
    <workbookView xWindow="405" yWindow="0" windowWidth="28290" windowHeight="1560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C47" i="27" l="1"/>
  <c r="D47" i="27"/>
  <c r="E47" i="27"/>
  <c r="B47" i="27"/>
  <c r="A5" i="27"/>
  <c r="D81" i="27"/>
  <c r="C81"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D135" i="27"/>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5" i="27"/>
  <c r="AU134" i="27"/>
  <c r="AV134" i="27" s="1"/>
  <c r="AW134" i="27" s="1"/>
  <c r="AX134" i="27" s="1"/>
  <c r="AY134"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I117" i="27"/>
  <c r="G116" i="27"/>
  <c r="I116" i="27" s="1"/>
  <c r="I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H138" i="27" l="1"/>
  <c r="B81" i="27"/>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D79" i="27"/>
  <c r="E79"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8" i="27"/>
  <c r="L139" i="27" s="1"/>
  <c r="J76" i="27"/>
  <c r="J65" i="27"/>
  <c r="J59" i="27" s="1"/>
  <c r="K67" i="27"/>
  <c r="B83" i="27" l="1"/>
  <c r="B86" i="27" s="1"/>
  <c r="B72" i="27"/>
  <c r="C78" i="27"/>
  <c r="C83" i="27" s="1"/>
  <c r="C86" i="27" s="1"/>
  <c r="D78" i="27"/>
  <c r="D83" i="27" s="1"/>
  <c r="D86" i="27" s="1"/>
  <c r="M138" i="27"/>
  <c r="M139" i="27" s="1"/>
  <c r="L67" i="27"/>
  <c r="K76" i="27"/>
  <c r="K65" i="27"/>
  <c r="K59" i="27" s="1"/>
  <c r="G106" i="27"/>
  <c r="H107" i="27"/>
  <c r="I107" i="27" s="1"/>
  <c r="B88" i="27"/>
  <c r="C84" i="27" l="1"/>
  <c r="D88" i="27"/>
  <c r="B84" i="27"/>
  <c r="B89" i="27" s="1"/>
  <c r="C88" i="27"/>
  <c r="D84" i="27"/>
  <c r="D89" i="27" s="1"/>
  <c r="E78" i="27"/>
  <c r="E83" i="27" s="1"/>
  <c r="E86" i="27" s="1"/>
  <c r="E87" i="27" s="1"/>
  <c r="C89" i="27"/>
  <c r="E84" i="27"/>
  <c r="D87" i="27"/>
  <c r="C87" i="27"/>
  <c r="B87" i="27"/>
  <c r="B90" i="27" s="1"/>
  <c r="M67" i="27"/>
  <c r="L76" i="27"/>
  <c r="L65" i="27"/>
  <c r="L59" i="27" s="1"/>
  <c r="N138" i="27"/>
  <c r="H106" i="27"/>
  <c r="J107" i="27"/>
  <c r="E89" i="27" l="1"/>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s="1"/>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8" i="27"/>
  <c r="T139" i="27" s="1"/>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8" i="27"/>
  <c r="U139" i="27" s="1"/>
  <c r="K79" i="27" l="1"/>
  <c r="J70" i="27"/>
  <c r="J75" i="27"/>
  <c r="G88" i="27"/>
  <c r="G87" i="27"/>
  <c r="F87" i="27"/>
  <c r="F90" i="27" s="1"/>
  <c r="U67" i="27"/>
  <c r="T76" i="27"/>
  <c r="T65" i="27"/>
  <c r="T59" i="27" s="1"/>
  <c r="K80" i="27"/>
  <c r="K66" i="27"/>
  <c r="K68" i="27" s="1"/>
  <c r="P106" i="27"/>
  <c r="L49" i="27" s="1"/>
  <c r="L58" i="27" s="1"/>
  <c r="V138" i="27"/>
  <c r="V139" i="27" s="1"/>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8" i="27"/>
  <c r="X139" i="27" s="1"/>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s="1"/>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8" i="27"/>
  <c r="AG139" i="27" s="1"/>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Y90" i="27" s="1"/>
  <c r="X90" i="27"/>
  <c r="Y72" i="27"/>
  <c r="Z71" i="27"/>
  <c r="AB80" i="27"/>
  <c r="AB66" i="27"/>
  <c r="AB68" i="27" s="1"/>
  <c r="AB79" i="27"/>
  <c r="Y88" i="27"/>
  <c r="AG106" i="27"/>
  <c r="AC49" i="27" s="1"/>
  <c r="AC58" i="27" s="1"/>
  <c r="AA75" i="27"/>
  <c r="AA70" i="27"/>
  <c r="AM138" i="27"/>
  <c r="AM139" i="27" s="1"/>
  <c r="Y84" i="27" l="1"/>
  <c r="Y89" i="27" s="1"/>
  <c r="Z78" i="27"/>
  <c r="Z83" i="27" s="1"/>
  <c r="Z72" i="27"/>
  <c r="Z86" i="27"/>
  <c r="Z87" i="27" s="1"/>
  <c r="Z90" i="27" s="1"/>
  <c r="Z88" i="27"/>
  <c r="Z84" i="27"/>
  <c r="AC80" i="27"/>
  <c r="AC66" i="27"/>
  <c r="AC68" i="27" s="1"/>
  <c r="AC79" i="27"/>
  <c r="AA71" i="27"/>
  <c r="AA78" i="27" s="1"/>
  <c r="AA83" i="27" s="1"/>
  <c r="AN138" i="27"/>
  <c r="AN139" i="27" s="1"/>
  <c r="AH106" i="27"/>
  <c r="AD49" i="27" s="1"/>
  <c r="AD58" i="27" s="1"/>
  <c r="AB75" i="27"/>
  <c r="AB70" i="27"/>
  <c r="Z89" i="27" l="1"/>
  <c r="AA86" i="27"/>
  <c r="AA87" i="27" s="1"/>
  <c r="AA90" i="27" s="1"/>
  <c r="AA88" i="27"/>
  <c r="AA84" i="27"/>
  <c r="AA89" i="27" s="1"/>
  <c r="AC75" i="27"/>
  <c r="AC70" i="27"/>
  <c r="AD80" i="27"/>
  <c r="AD66" i="27"/>
  <c r="AD68" i="27" s="1"/>
  <c r="AD79" i="27"/>
  <c r="AA72" i="27"/>
  <c r="AB71" i="27"/>
  <c r="AB78" i="27" s="1"/>
  <c r="AB83" i="27" s="1"/>
  <c r="AO138" i="27"/>
  <c r="AI106" i="27"/>
  <c r="AE49" i="27" s="1"/>
  <c r="AE58" i="27" s="1"/>
  <c r="AB86" i="27" l="1"/>
  <c r="AB87" i="27" s="1"/>
  <c r="AB90" i="27" s="1"/>
  <c r="AB84" i="27"/>
  <c r="AB89" i="27" s="1"/>
  <c r="AB88" i="27"/>
  <c r="AP138" i="27"/>
  <c r="AP139" i="27" s="1"/>
  <c r="AC71" i="27"/>
  <c r="AC78" i="27" s="1"/>
  <c r="AC83" i="27" s="1"/>
  <c r="AO139" i="27"/>
  <c r="AE80" i="27"/>
  <c r="AE66" i="27"/>
  <c r="AE68" i="27" s="1"/>
  <c r="AE79" i="27"/>
  <c r="AB72" i="27"/>
  <c r="AD70" i="27"/>
  <c r="AD75" i="27"/>
  <c r="AJ106" i="27"/>
  <c r="AC72" i="27" l="1"/>
  <c r="AC86" i="27"/>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8" i="27" l="1"/>
  <c r="AV139" i="27" s="1"/>
  <c r="AW138" i="27" l="1"/>
  <c r="AX138" i="27" l="1"/>
  <c r="AX139" i="27" s="1"/>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64"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G24" i="15"/>
  <c r="B59" i="22" l="1"/>
  <c r="B46" i="22"/>
  <c r="B72" i="22"/>
  <c r="B88" i="22"/>
  <c r="B68" i="22"/>
  <c r="B30" i="22"/>
  <c r="B83" i="22" s="1"/>
  <c r="B63" i="22"/>
  <c r="B76" i="22"/>
  <c r="B51" i="22"/>
  <c r="B80" i="22"/>
  <c r="B90" i="22"/>
  <c r="B42" i="22"/>
  <c r="B55" i="22"/>
  <c r="E24" i="15"/>
  <c r="E30" i="15"/>
  <c r="C50" i="7" l="1"/>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<sst xmlns="http://schemas.openxmlformats.org/spreadsheetml/2006/main" count="1258" uniqueCount="611">
  <si>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</si>
  <si>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</si>
  <si>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</si>
  <si>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</si>
  <si>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</si>
  <si>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</si>
  <si>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</si>
  <si>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</si>
  <si>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</si>
  <si>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</si>
  <si>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</si>
  <si>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</si>
  <si>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</si>
  <si>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</si>
  <si>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</si>
  <si>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</si>
  <si>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</si>
  <si>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</si>
  <si>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</si>
  <si>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</si>
  <si>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</si>
  <si>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</si>
  <si>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</si>
  <si>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</si>
  <si>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</si>
  <si>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</si>
  <si>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</si>
  <si>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</si>
  <si>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</si>
  <si>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</si>
  <si>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</si>
  <si>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</si>
  <si>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</si>
  <si>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</si>
  <si>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</si>
  <si>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</si>
  <si>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</si>
  <si>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</si>
  <si>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</si>
  <si>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</si>
  <si>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</si>
  <si>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</si>
  <si>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</si>
  <si>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</si>
  <si>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</si>
  <si>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</si>
  <si>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</si>
  <si>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</si>
  <si>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</si>
  <si>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</si>
  <si>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</si>
  <si>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</si>
  <si>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</si>
  <si>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</si>
  <si>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</si>
  <si>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</si>
  <si>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</si>
  <si>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</si>
  <si>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</si>
  <si>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</si>
  <si>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</si>
  <si>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</si>
  <si>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</si>
  <si>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</si>
  <si>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</si>
  <si>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</si>
  <si>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</si>
  <si>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</si>
  <si>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</si>
  <si>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</si>
  <si>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</si>
  <si>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</si>
  <si>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</si>
  <si>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</si>
  <si>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</si>
  <si>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</si>
  <si>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</si>
  <si>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</si>
  <si>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</si>
  <si>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</si>
  <si>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</si>
  <si>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</si>
  <si>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</si>
  <si>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</si>
  <si>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</si>
  <si>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</si>
  <si>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</si>
  <si>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</si>
  <si>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</si>
  <si>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</si>
  <si>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</si>
  <si>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</si>
  <si>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</si>
  <si>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</si>
  <si>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</si>
  <si>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</si>
  <si>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</si>
  <si>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</si>
  <si>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</si>
  <si>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</si>
  <si>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</si>
  <si>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</si>
  <si>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</si>
  <si>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</si>
  <si>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</si>
  <si>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</si>
  <si>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</si>
  <si>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</si>
  <si>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</si>
  <si>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</si>
  <si>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</si>
  <si>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</si>
  <si>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</si>
  <si>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</si>
  <si>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</si>
  <si>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</si>
  <si>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</si>
  <si>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</si>
  <si>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</si>
  <si>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</si>
  <si>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</si>
  <si>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</si>
  <si>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</si>
  <si>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</si>
  <si>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</si>
  <si>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</si>
  <si>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</si>
  <si>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</si>
  <si>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</si>
  <si>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</si>
  <si>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</si>
  <si>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</si>
  <si>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</si>
  <si>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</si>
  <si>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</si>
  <si>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</si>
  <si>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</si>
  <si>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</si>
  <si>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</si>
  <si>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</si>
  <si>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</si>
  <si>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</si>
  <si>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</si>
  <si>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</si>
  <si>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</si>
  <si>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</si>
  <si>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</si>
  <si>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</si>
  <si>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</si>
  <si>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</si>
  <si>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</si>
  <si>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</si>
  <si>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</si>
  <si>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</si>
  <si>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</si>
  <si>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</si>
  <si>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</si>
  <si>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</si>
  <si>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</si>
  <si>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</si>
  <si>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</si>
  <si>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</si>
  <si>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</si>
  <si>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</si>
  <si>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</si>
  <si>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</si>
  <si>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</si>
  <si>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</si>
  <si>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</si>
  <si>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</si>
  <si>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</si>
  <si>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</si>
  <si>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</si>
  <si>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</si>
  <si>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</si>
  <si>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</si>
  <si>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</si>
  <si>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</si>
  <si>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</si>
  <si>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</si>
  <si>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</si>
  <si>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</si>
  <si>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</si>
  <si>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</si>
  <si>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</si>
  <si>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</si>
  <si>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</si>
  <si>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</si>
  <si>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</si>
  <si>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</si>
  <si>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</si>
  <si>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</si>
  <si>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</si>
  <si>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</si>
  <si>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</si>
  <si>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</si>
  <si>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</si>
  <si>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</si>
  <si>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</si>
  <si>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</si>
  <si>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</si>
  <si>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</si>
  <si>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</si>
  <si>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</si>
  <si>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</si>
  <si>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</si>
  <si>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</si>
  <si>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</si>
  <si>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</si>
  <si>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</si>
  <si>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</si>
  <si>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</si>
  <si>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</si>
  <si>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</si>
  <si>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</si>
  <si>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</si>
  <si>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</si>
  <si>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</si>
  <si>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</si>
  <si>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</si>
  <si>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</si>
  <si>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</si>
  <si>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</si>
  <si>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</si>
  <si>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</si>
  <si>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</si>
  <si>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</si>
  <si>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</si>
  <si>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</si>
  <si>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</si>
  <si>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</si>
  <si>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</si>
  <si>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</si>
  <si>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</si>
  <si>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</si>
  <si>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</si>
  <si>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</si>
  <si>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</si>
  <si>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</si>
  <si>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</si>
  <si>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</si>
  <si>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</si>
  <si>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</si>
  <si>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</si>
  <si>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</si>
  <si>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</si>
  <si>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</si>
  <si>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</si>
  <si>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</si>
  <si>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</si>
  <si>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</si>
  <si>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</si>
  <si>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</si>
  <si>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</si>
  <si>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</si>
  <si>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</si>
  <si>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</si>
  <si>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</si>
  <si>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</si>
  <si>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</si>
  <si>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</si>
  <si>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</si>
  <si>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</si>
  <si>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</si>
  <si>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</si>
  <si>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</si>
  <si>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</si>
  <si>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</si>
  <si>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</si>
  <si>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</si>
  <si>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</si>
  <si>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</si>
  <si>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</si>
  <si>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</si>
  <si>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</si>
  <si>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</si>
  <si>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</si>
  <si>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</si>
  <si>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</si>
  <si>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</si>
  <si>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</si>
  <si>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</si>
  <si>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</si>
  <si>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</si>
  <si>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</si>
  <si>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</si>
  <si>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</si>
  <si>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</si>
  <si>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</si>
  <si>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</si>
  <si>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</si>
  <si>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</si>
  <si>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</si>
  <si>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</si>
  <si>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</si>
  <si>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</si>
  <si>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</si>
  <si>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</si>
  <si>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</si>
  <si>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</si>
  <si>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</si>
  <si>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</si>
  <si>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</si>
  <si>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</si>
  <si>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</si>
  <si>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</si>
  <si>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</si>
  <si>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</si>
  <si>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</si>
  <si>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</si>
  <si>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</si>
  <si>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</si>
  <si>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</si>
  <si>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</si>
  <si>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</si>
  <si>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</si>
  <si>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</si>
  <si>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</si>
  <si>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</si>
  <si>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</si>
  <si>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</si>
  <si>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</si>
  <si>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</si>
  <si>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</si>
  <si>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</si>
  <si>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</si>
  <si>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</si>
  <si>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</si>
  <si>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</si>
  <si>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</si>
  <si>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</si>
  <si>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</si>
  <si>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</si>
  <si>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</si>
  <si>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</si>
  <si>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</si>
  <si>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</si>
  <si>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</si>
  <si>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</si>
  <si>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</si>
  <si>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</si>
  <si>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</si>
  <si>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</si>
  <si>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</si>
  <si>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</si>
  <si>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</si>
  <si>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</si>
  <si>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</si>
  <si>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</si>
  <si>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</si>
  <si>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</si>
  <si>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</si>
  <si>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</si>
  <si>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</si>
  <si>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</si>
  <si>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</si>
  <si>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</si>
  <si>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</si>
  <si>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</si>
  <si>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</si>
  <si>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</si>
  <si>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</si>
  <si>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</si>
  <si>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</si>
  <si>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</si>
  <si>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</si>
  <si>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</si>
  <si>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</si>
  <si>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</si>
  <si>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</si>
  <si>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</si>
  <si>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</si>
  <si>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</si>
  <si>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</si>
  <si>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</si>
  <si>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</si>
  <si>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</si>
  <si>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</si>
  <si>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</si>
  <si>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</si>
  <si>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</si>
  <si>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</si>
  <si>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</si>
  <si>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</si>
  <si>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</si>
  <si>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</si>
  <si>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</si>
  <si>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</si>
  <si>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</si>
  <si>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</si>
  <si>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</si>
  <si>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</si>
  <si>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</si>
  <si>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</si>
  <si>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</si>
  <si>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</si>
  <si>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</si>
  <si>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</si>
  <si>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</si>
  <si>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</si>
  <si>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</si>
  <si>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</si>
  <si>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</si>
  <si>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</si>
  <si>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</si>
  <si>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</si>
  <si>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</si>
  <si>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</si>
  <si>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</si>
  <si>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</si>
  <si>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</si>
  <si>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</si>
  <si>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</si>
  <si>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</si>
  <si>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</si>
  <si>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</si>
  <si>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</si>
  <si>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</si>
  <si>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</si>
  <si>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</si>
  <si>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</si>
  <si>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</si>
  <si>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</si>
  <si>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</si>
  <si>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</si>
  <si>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</si>
  <si>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</si>
  <si>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</si>
  <si>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</si>
  <si>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</si>
  <si>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</si>
  <si>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</si>
  <si>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</si>
  <si>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</si>
  <si>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</si>
  <si>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</si>
  <si>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</si>
  <si>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</si>
  <si>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</si>
  <si>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</si>
  <si>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</si>
  <si>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</si>
  <si>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</si>
  <si>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</si>
  <si>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</si>
  <si>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</si>
  <si>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</si>
  <si>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</si>
  <si>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</si>
  <si>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</si>
  <si>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</si>
  <si>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</si>
  <si>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</si>
  <si>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</si>
  <si>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</si>
  <si>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</si>
  <si>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</si>
  <si>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</si>
  <si>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</si>
  <si>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</si>
  <si>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</si>
  <si>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</si>
  <si>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</si>
  <si>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</si>
  <si>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</si>
  <si>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</si>
  <si>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</si>
  <si>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</si>
  <si>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</si>
  <si>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</si>
  <si>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</si>
  <si>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</si>
  <si>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</si>
  <si>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</si>
  <si>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</si>
  <si>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</si>
  <si>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</si>
  <si>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</si>
  <si>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</si>
  <si>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</si>
  <si>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</si>
  <si>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</si>
  <si>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</si>
  <si>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</si>
  <si>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</si>
  <si>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</si>
  <si>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</si>
  <si>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</si>
  <si>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</si>
  <si>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</si>
  <si>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</si>
  <si>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</si>
  <si>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</si>
  <si>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</si>
  <si>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</si>
  <si>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</si>
  <si>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</si>
  <si>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</si>
  <si>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</si>
  <si>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</si>
  <si>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</si>
  <si>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</si>
  <si>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</si>
  <si>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</si>
  <si>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</si>
  <si>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</si>
  <si>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</si>
  <si>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</si>
  <si>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</si>
  <si>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</si>
  <si>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</si>
  <si>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</si>
  <si>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</si>
  <si>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</si>
  <si>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</si>
  <si>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</si>
  <si>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</si>
  <si>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</si>
  <si>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</si>
  <si>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</si>
  <si>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</si>
  <si>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</si>
  <si>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</si>
  <si>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</si>
  <si>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</si>
  <si>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</si>
  <si>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</si>
  <si>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</si>
  <si>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</si>
  <si>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</si>
  <si>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</si>
  <si>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</si>
  <si>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</si>
  <si>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</si>
  <si>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</si>
  <si>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</si>
  <si>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</si>
  <si>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</si>
  <si>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</si>
  <si>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</si>
  <si>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</si>
  <si>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</si>
  <si>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</si>
  <si>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</si>
  <si>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</si>
  <si>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</si>
  <si>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</si>
  <si>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</si>
  <si>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</si>
  <si>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</si>
  <si>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</si>
  <si>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</si>
  <si>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</si>
  <si>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</si>
  <si>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</si>
  <si>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</si>
  <si>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</si>
  <si>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</si>
  <si>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</si>
  <si>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</si>
  <si>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</si>
  <si>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</si>
  <si>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</si>
  <si>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</si>
  <si>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</si>
  <si>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</si>
  <si>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</si>
  <si>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</si>
  <si>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</si>
  <si>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</si>
  <si>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</si>
  <si>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</si>
  <si>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</si>
  <si>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</si>
  <si>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</si>
  <si>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</si>
  <si>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</si>
  <si>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</si>
  <si>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</si>
  <si>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</si>
  <si>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</si>
  <si>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</si>
  <si>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</si>
  <si>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</si>
  <si>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</si>
  <si>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</si>
  <si>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</si>
  <si>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</si>
  <si>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</si>
  <si>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</si>
  <si>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</si>
  <si>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</si>
  <si>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</si>
  <si>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</si>
  <si>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</si>
  <si>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</si>
  <si>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</si>
  <si>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</si>
  <si>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</si>
  <si>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</si>
  <si>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</si>
  <si>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</si>
  <si>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</si>
  <si>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</si>
  <si>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Приобретение аппарата испытания диэлектриков АИД-70М</t>
  </si>
  <si>
    <t>Обеспечение текущей деятельности в сфере электроэнергетики, в том числе  хозяйственное обеспечение деятельности</t>
  </si>
  <si>
    <t>M 22-05</t>
  </si>
  <si>
    <t>Аппарат испытания диэлектриков АИД-70М - 256 666,67 рублей без НДС</t>
  </si>
  <si>
    <t>Год раскрытия информации: 2023 год</t>
  </si>
  <si>
    <t>Согласно Прогноза социально-экономического развития Российской Федерации на 2021 год и на плановый период 2022 и 2023 годов (опубликовано 26 сентября 2022 г.)</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</si>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</sst>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B20" sqref="B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7" t="s">
        <v>608</v>
      </c>
      <c r="B5" s="337"/>
      <c r="C5" s="337"/>
      <c r="D5" s="116"/>
      <c r="E5" s="116"/>
      <c r="F5" s="116"/>
      <c r="G5" s="116"/>
      <c r="H5" s="116"/>
      <c r="I5" s="116"/>
      <c r="J5" s="116"/>
    </row>
    <row r="6" spans="1:22" s="8" customFormat="1" ht="18.75" x14ac:dyDescent="0.3">
      <c r="A6" s="13"/>
      <c r="H6" s="12"/>
    </row>
    <row r="7" spans="1:22" s="8" customFormat="1" ht="18.75" x14ac:dyDescent="0.2">
      <c r="A7" s="341" t="s">
        <v>7</v>
      </c>
      <c r="B7" s="341"/>
      <c r="C7" s="34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2" t="s">
        <v>548</v>
      </c>
      <c r="B9" s="342"/>
      <c r="C9" s="342"/>
      <c r="D9" s="7"/>
      <c r="E9" s="7"/>
      <c r="F9" s="7"/>
      <c r="G9" s="7"/>
      <c r="H9" s="7"/>
      <c r="I9" s="10"/>
      <c r="J9" s="10"/>
      <c r="K9" s="10"/>
      <c r="L9" s="10"/>
      <c r="M9" s="10"/>
      <c r="N9" s="10"/>
      <c r="O9" s="10"/>
      <c r="P9" s="10"/>
      <c r="Q9" s="10"/>
      <c r="R9" s="10"/>
      <c r="S9" s="10"/>
      <c r="T9" s="10"/>
      <c r="U9" s="10"/>
      <c r="V9" s="10"/>
    </row>
    <row r="10" spans="1:22" s="8" customFormat="1" ht="18.75" x14ac:dyDescent="0.2">
      <c r="A10" s="338" t="s">
        <v>6</v>
      </c>
      <c r="B10" s="338"/>
      <c r="C10" s="33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0" t="s">
        <v>606</v>
      </c>
      <c r="B12" s="340"/>
      <c r="C12" s="340"/>
      <c r="D12" s="7"/>
      <c r="E12" s="7"/>
      <c r="F12" s="7"/>
      <c r="G12" s="7"/>
      <c r="H12" s="7"/>
      <c r="I12" s="10"/>
      <c r="J12" s="10"/>
      <c r="K12" s="10"/>
      <c r="L12" s="10"/>
      <c r="M12" s="10"/>
      <c r="N12" s="10"/>
      <c r="O12" s="10"/>
      <c r="P12" s="10"/>
      <c r="Q12" s="10"/>
      <c r="R12" s="10"/>
      <c r="S12" s="10"/>
      <c r="T12" s="10"/>
      <c r="U12" s="10"/>
      <c r="V12" s="10"/>
    </row>
    <row r="13" spans="1:22" s="8" customFormat="1" ht="18.75" x14ac:dyDescent="0.2">
      <c r="A13" s="338" t="s">
        <v>5</v>
      </c>
      <c r="B13" s="338"/>
      <c r="C13" s="33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3" t="s">
        <v>604</v>
      </c>
      <c r="B15" s="343"/>
      <c r="C15" s="343"/>
      <c r="D15" s="7"/>
      <c r="E15" s="7"/>
      <c r="F15" s="7"/>
      <c r="G15" s="7"/>
      <c r="H15" s="7"/>
      <c r="I15" s="7"/>
      <c r="J15" s="7"/>
      <c r="K15" s="7"/>
      <c r="L15" s="7"/>
      <c r="M15" s="7"/>
      <c r="N15" s="7"/>
      <c r="O15" s="7"/>
      <c r="P15" s="7"/>
      <c r="Q15" s="7"/>
      <c r="R15" s="7"/>
      <c r="S15" s="7"/>
      <c r="T15" s="7"/>
      <c r="U15" s="7"/>
      <c r="V15" s="7"/>
    </row>
    <row r="16" spans="1:22" s="3" customFormat="1" ht="15" customHeight="1" x14ac:dyDescent="0.2">
      <c r="A16" s="338" t="s">
        <v>4</v>
      </c>
      <c r="B16" s="338"/>
      <c r="C16" s="33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9" t="s">
        <v>494</v>
      </c>
      <c r="B18" s="340"/>
      <c r="C18" s="34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605</v>
      </c>
      <c r="D23" s="5"/>
      <c r="E23" s="5"/>
      <c r="F23" s="5"/>
      <c r="G23" s="5"/>
      <c r="H23" s="5"/>
      <c r="I23" s="4"/>
      <c r="J23" s="4"/>
      <c r="K23" s="4"/>
      <c r="L23" s="4"/>
      <c r="M23" s="4"/>
      <c r="N23" s="4"/>
      <c r="O23" s="4"/>
      <c r="P23" s="4"/>
      <c r="Q23" s="4"/>
      <c r="R23" s="4"/>
      <c r="S23" s="4"/>
    </row>
    <row r="24" spans="1:22" s="3" customFormat="1" ht="22.5" customHeight="1" x14ac:dyDescent="0.2">
      <c r="A24" s="334"/>
      <c r="B24" s="335"/>
      <c r="C24" s="336"/>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4"/>
      <c r="B39" s="335"/>
      <c r="C39" s="336"/>
    </row>
    <row r="40" spans="1:18" ht="63" x14ac:dyDescent="0.25">
      <c r="A40" s="22" t="s">
        <v>455</v>
      </c>
      <c r="B40" s="115" t="s">
        <v>507</v>
      </c>
      <c r="C40" s="135" t="str">
        <f>CONCATENATE("Фхо=",ROUND('6.2. Паспорт фин осв ввод'!C24,2)," млн.руб.")</f>
        <v>Фхо=0,31 млн.руб.</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4"/>
      <c r="B47" s="335"/>
      <c r="C47" s="336"/>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ввод'!AC27,2)," млн.рублей")</f>
        <v>0 млн.рублей</v>
      </c>
      <c r="D50" s="1" t="s">
        <v>529</v>
      </c>
    </row>
    <row r="51" spans="1:4" ht="78" customHeight="1" x14ac:dyDescent="0.25">
      <c r="A51" s="22" t="s">
        <v>459</v>
      </c>
      <c r="B51" s="115" t="s">
        <v>506</v>
      </c>
      <c r="C51" s="153" t="str">
        <f>CONCATENATE(ROUND('6.2. Паспорт фин осв ввод'!AC33,2)," млн.рублей")</f>
        <v>0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13" zoomScale="80" zoomScaleNormal="80" zoomScaleSheetLayoutView="70" workbookViewId="0">
      <selection activeCell="AC24" sqref="AC24:AC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C5" s="12"/>
    </row>
    <row r="6" spans="1:29"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7" t="str">
        <f>'1. паспорт местоположение'!A12:C12</f>
        <v>M 22-05</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4" t="str">
        <f>'1. паспорт местоположение'!A15</f>
        <v>Приобретение аппарата испытания диэлектриков АИД-70М</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row>
    <row r="15" spans="1:29" ht="15.75" customHeight="1"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row>
    <row r="16" spans="1:29"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row>
    <row r="18" spans="1:32" x14ac:dyDescent="0.25">
      <c r="A18" s="411" t="s">
        <v>479</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20" spans="1:32" ht="33" customHeight="1" x14ac:dyDescent="0.25">
      <c r="A20" s="404" t="s">
        <v>182</v>
      </c>
      <c r="B20" s="404" t="s">
        <v>181</v>
      </c>
      <c r="C20" s="403" t="s">
        <v>180</v>
      </c>
      <c r="D20" s="403"/>
      <c r="E20" s="405" t="s">
        <v>179</v>
      </c>
      <c r="F20" s="405"/>
      <c r="G20" s="404" t="s">
        <v>551</v>
      </c>
      <c r="H20" s="401" t="s">
        <v>550</v>
      </c>
      <c r="I20" s="402"/>
      <c r="J20" s="402"/>
      <c r="K20" s="402"/>
      <c r="L20" s="401" t="s">
        <v>539</v>
      </c>
      <c r="M20" s="402"/>
      <c r="N20" s="402"/>
      <c r="O20" s="402"/>
      <c r="P20" s="401" t="s">
        <v>538</v>
      </c>
      <c r="Q20" s="402"/>
      <c r="R20" s="402"/>
      <c r="S20" s="402"/>
      <c r="T20" s="401" t="s">
        <v>542</v>
      </c>
      <c r="U20" s="402"/>
      <c r="V20" s="402"/>
      <c r="W20" s="402"/>
      <c r="X20" s="401" t="s">
        <v>603</v>
      </c>
      <c r="Y20" s="402"/>
      <c r="Z20" s="402"/>
      <c r="AA20" s="402"/>
      <c r="AB20" s="409" t="s">
        <v>178</v>
      </c>
      <c r="AC20" s="409"/>
      <c r="AD20" s="53"/>
      <c r="AE20" s="53"/>
      <c r="AF20" s="53"/>
    </row>
    <row r="21" spans="1:32" ht="99.75" customHeight="1" x14ac:dyDescent="0.25">
      <c r="A21" s="397"/>
      <c r="B21" s="397"/>
      <c r="C21" s="403"/>
      <c r="D21" s="403"/>
      <c r="E21" s="405"/>
      <c r="F21" s="405"/>
      <c r="G21" s="397"/>
      <c r="H21" s="403" t="s">
        <v>2</v>
      </c>
      <c r="I21" s="403"/>
      <c r="J21" s="403" t="s">
        <v>552</v>
      </c>
      <c r="K21" s="403"/>
      <c r="L21" s="403" t="s">
        <v>2</v>
      </c>
      <c r="M21" s="403"/>
      <c r="N21" s="403" t="s">
        <v>552</v>
      </c>
      <c r="O21" s="403"/>
      <c r="P21" s="403" t="s">
        <v>2</v>
      </c>
      <c r="Q21" s="403"/>
      <c r="R21" s="403" t="s">
        <v>552</v>
      </c>
      <c r="S21" s="403"/>
      <c r="T21" s="403" t="s">
        <v>2</v>
      </c>
      <c r="U21" s="403"/>
      <c r="V21" s="403" t="s">
        <v>177</v>
      </c>
      <c r="W21" s="403"/>
      <c r="X21" s="403" t="s">
        <v>2</v>
      </c>
      <c r="Y21" s="403"/>
      <c r="Z21" s="403" t="s">
        <v>177</v>
      </c>
      <c r="AA21" s="403"/>
      <c r="AB21" s="409"/>
      <c r="AC21" s="409"/>
    </row>
    <row r="22" spans="1:32" ht="89.25" customHeight="1" x14ac:dyDescent="0.25">
      <c r="A22" s="398"/>
      <c r="B22" s="398"/>
      <c r="C22" s="151" t="s">
        <v>2</v>
      </c>
      <c r="D22" s="151" t="s">
        <v>177</v>
      </c>
      <c r="E22" s="136" t="s">
        <v>549</v>
      </c>
      <c r="F22" s="136" t="s">
        <v>610</v>
      </c>
      <c r="G22" s="398"/>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543</v>
      </c>
      <c r="AC22" s="151" t="s">
        <v>177</v>
      </c>
    </row>
    <row r="23" spans="1:32" ht="19.5" customHeight="1" x14ac:dyDescent="0.25">
      <c r="A23" s="162">
        <v>1</v>
      </c>
      <c r="B23" s="162">
        <v>2</v>
      </c>
      <c r="C23" s="162">
        <v>3</v>
      </c>
      <c r="D23" s="162">
        <v>4</v>
      </c>
      <c r="E23" s="162">
        <v>5</v>
      </c>
      <c r="F23" s="162">
        <v>6</v>
      </c>
      <c r="G23" s="162">
        <v>7</v>
      </c>
      <c r="H23" s="190">
        <f>G23+1</f>
        <v>8</v>
      </c>
      <c r="I23" s="190">
        <f t="shared" ref="I23:AC23" si="0">H23+1</f>
        <v>9</v>
      </c>
      <c r="J23" s="190">
        <f t="shared" si="0"/>
        <v>10</v>
      </c>
      <c r="K23" s="190">
        <f t="shared" si="0"/>
        <v>11</v>
      </c>
      <c r="L23" s="190">
        <f t="shared" si="0"/>
        <v>12</v>
      </c>
      <c r="M23" s="190">
        <f t="shared" si="0"/>
        <v>13</v>
      </c>
      <c r="N23" s="190">
        <f t="shared" si="0"/>
        <v>14</v>
      </c>
      <c r="O23" s="190">
        <f t="shared" si="0"/>
        <v>15</v>
      </c>
      <c r="P23" s="190">
        <f t="shared" si="0"/>
        <v>16</v>
      </c>
      <c r="Q23" s="190">
        <f t="shared" si="0"/>
        <v>17</v>
      </c>
      <c r="R23" s="190">
        <f t="shared" si="0"/>
        <v>18</v>
      </c>
      <c r="S23" s="190">
        <f t="shared" si="0"/>
        <v>19</v>
      </c>
      <c r="T23" s="190">
        <f t="shared" si="0"/>
        <v>20</v>
      </c>
      <c r="U23" s="190">
        <f t="shared" si="0"/>
        <v>21</v>
      </c>
      <c r="V23" s="190">
        <f t="shared" si="0"/>
        <v>22</v>
      </c>
      <c r="W23" s="190">
        <f t="shared" si="0"/>
        <v>23</v>
      </c>
      <c r="X23" s="190">
        <f t="shared" si="0"/>
        <v>24</v>
      </c>
      <c r="Y23" s="190">
        <f t="shared" si="0"/>
        <v>25</v>
      </c>
      <c r="Z23" s="190">
        <f t="shared" si="0"/>
        <v>26</v>
      </c>
      <c r="AA23" s="190">
        <f t="shared" si="0"/>
        <v>27</v>
      </c>
      <c r="AB23" s="190">
        <f t="shared" si="0"/>
        <v>28</v>
      </c>
      <c r="AC23" s="190">
        <f t="shared" si="0"/>
        <v>29</v>
      </c>
    </row>
    <row r="24" spans="1:32" ht="47.25" customHeight="1" x14ac:dyDescent="0.25">
      <c r="A24" s="163">
        <v>1</v>
      </c>
      <c r="B24" s="164" t="s">
        <v>176</v>
      </c>
      <c r="C24" s="165">
        <v>0.308</v>
      </c>
      <c r="D24" s="165">
        <v>0.308</v>
      </c>
      <c r="E24" s="165">
        <f t="shared" ref="E24:W24" si="1">SUM(E25:E29)</f>
        <v>0.308</v>
      </c>
      <c r="F24" s="165">
        <v>0</v>
      </c>
      <c r="G24" s="165">
        <f t="shared" si="1"/>
        <v>0</v>
      </c>
      <c r="H24" s="165" t="s">
        <v>526</v>
      </c>
      <c r="I24" s="165">
        <v>0</v>
      </c>
      <c r="J24" s="165">
        <v>0</v>
      </c>
      <c r="K24" s="165">
        <v>0</v>
      </c>
      <c r="L24" s="165" t="s">
        <v>526</v>
      </c>
      <c r="M24" s="165">
        <f t="shared" si="1"/>
        <v>0</v>
      </c>
      <c r="N24" s="165">
        <f t="shared" si="1"/>
        <v>0</v>
      </c>
      <c r="O24" s="165">
        <f t="shared" si="1"/>
        <v>0</v>
      </c>
      <c r="P24" s="165">
        <v>0.308</v>
      </c>
      <c r="Q24" s="165">
        <f t="shared" si="1"/>
        <v>0</v>
      </c>
      <c r="R24" s="165">
        <v>0.308</v>
      </c>
      <c r="S24" s="165">
        <f t="shared" si="1"/>
        <v>0</v>
      </c>
      <c r="T24" s="165" t="s">
        <v>526</v>
      </c>
      <c r="U24" s="165">
        <f t="shared" si="1"/>
        <v>0</v>
      </c>
      <c r="V24" s="165">
        <f t="shared" si="1"/>
        <v>0</v>
      </c>
      <c r="W24" s="165">
        <f t="shared" si="1"/>
        <v>0</v>
      </c>
      <c r="X24" s="165" t="s">
        <v>526</v>
      </c>
      <c r="Y24" s="165">
        <v>0</v>
      </c>
      <c r="Z24" s="165">
        <v>0</v>
      </c>
      <c r="AA24" s="165">
        <v>0</v>
      </c>
      <c r="AB24" s="165">
        <v>0.308</v>
      </c>
      <c r="AC24" s="166">
        <v>0</v>
      </c>
    </row>
    <row r="25" spans="1:32" ht="24" customHeight="1" x14ac:dyDescent="0.25">
      <c r="A25" s="167" t="s">
        <v>175</v>
      </c>
      <c r="B25" s="168" t="s">
        <v>174</v>
      </c>
      <c r="C25" s="165">
        <v>0</v>
      </c>
      <c r="D25" s="165">
        <v>0</v>
      </c>
      <c r="E25" s="169">
        <f>C25</f>
        <v>0</v>
      </c>
      <c r="F25" s="165">
        <v>0</v>
      </c>
      <c r="G25" s="170">
        <v>0</v>
      </c>
      <c r="H25" s="165" t="s">
        <v>526</v>
      </c>
      <c r="I25" s="170">
        <v>0</v>
      </c>
      <c r="J25" s="170">
        <v>0</v>
      </c>
      <c r="K25" s="170">
        <v>0</v>
      </c>
      <c r="L25" s="165" t="s">
        <v>526</v>
      </c>
      <c r="M25" s="170">
        <v>0</v>
      </c>
      <c r="N25" s="170">
        <v>0</v>
      </c>
      <c r="O25" s="170">
        <v>0</v>
      </c>
      <c r="P25" s="165">
        <v>0</v>
      </c>
      <c r="Q25" s="170">
        <v>0</v>
      </c>
      <c r="R25" s="165">
        <v>0</v>
      </c>
      <c r="S25" s="170">
        <v>0</v>
      </c>
      <c r="T25" s="165" t="s">
        <v>526</v>
      </c>
      <c r="U25" s="170">
        <v>0</v>
      </c>
      <c r="V25" s="170">
        <v>0</v>
      </c>
      <c r="W25" s="170">
        <v>0</v>
      </c>
      <c r="X25" s="165" t="s">
        <v>526</v>
      </c>
      <c r="Y25" s="170">
        <v>0</v>
      </c>
      <c r="Z25" s="170">
        <v>0</v>
      </c>
      <c r="AA25" s="170">
        <v>0</v>
      </c>
      <c r="AB25" s="165">
        <v>0</v>
      </c>
      <c r="AC25" s="166">
        <v>0</v>
      </c>
    </row>
    <row r="26" spans="1:32" x14ac:dyDescent="0.25">
      <c r="A26" s="167" t="s">
        <v>173</v>
      </c>
      <c r="B26" s="168" t="s">
        <v>172</v>
      </c>
      <c r="C26" s="165">
        <v>0</v>
      </c>
      <c r="D26" s="165">
        <v>0</v>
      </c>
      <c r="E26" s="170">
        <f t="shared" ref="E26:E64" si="2">C26</f>
        <v>0</v>
      </c>
      <c r="F26" s="165">
        <v>0</v>
      </c>
      <c r="G26" s="170">
        <v>0</v>
      </c>
      <c r="H26" s="165" t="s">
        <v>526</v>
      </c>
      <c r="I26" s="170">
        <v>0</v>
      </c>
      <c r="J26" s="170">
        <v>0</v>
      </c>
      <c r="K26" s="170">
        <v>0</v>
      </c>
      <c r="L26" s="165" t="s">
        <v>526</v>
      </c>
      <c r="M26" s="170">
        <v>0</v>
      </c>
      <c r="N26" s="170">
        <v>0</v>
      </c>
      <c r="O26" s="170">
        <v>0</v>
      </c>
      <c r="P26" s="165">
        <v>0</v>
      </c>
      <c r="Q26" s="170">
        <v>0</v>
      </c>
      <c r="R26" s="165">
        <v>0</v>
      </c>
      <c r="S26" s="170">
        <v>0</v>
      </c>
      <c r="T26" s="165" t="s">
        <v>526</v>
      </c>
      <c r="U26" s="170">
        <v>0</v>
      </c>
      <c r="V26" s="170">
        <v>0</v>
      </c>
      <c r="W26" s="170">
        <v>0</v>
      </c>
      <c r="X26" s="165" t="s">
        <v>526</v>
      </c>
      <c r="Y26" s="170">
        <v>0</v>
      </c>
      <c r="Z26" s="170">
        <v>0</v>
      </c>
      <c r="AA26" s="170">
        <v>0</v>
      </c>
      <c r="AB26" s="165">
        <v>0</v>
      </c>
      <c r="AC26" s="166">
        <v>0</v>
      </c>
    </row>
    <row r="27" spans="1:32" ht="31.5" x14ac:dyDescent="0.25">
      <c r="A27" s="167" t="s">
        <v>171</v>
      </c>
      <c r="B27" s="168" t="s">
        <v>416</v>
      </c>
      <c r="C27" s="165">
        <v>0.308</v>
      </c>
      <c r="D27" s="165">
        <v>0.308</v>
      </c>
      <c r="E27" s="170">
        <f t="shared" si="2"/>
        <v>0.308</v>
      </c>
      <c r="F27" s="165">
        <v>0</v>
      </c>
      <c r="G27" s="170">
        <v>0</v>
      </c>
      <c r="H27" s="165" t="s">
        <v>526</v>
      </c>
      <c r="I27" s="170">
        <v>0</v>
      </c>
      <c r="J27" s="170">
        <v>0</v>
      </c>
      <c r="K27" s="170">
        <v>0</v>
      </c>
      <c r="L27" s="165" t="s">
        <v>526</v>
      </c>
      <c r="M27" s="170">
        <v>0</v>
      </c>
      <c r="N27" s="170">
        <v>0</v>
      </c>
      <c r="O27" s="170">
        <v>0</v>
      </c>
      <c r="P27" s="165">
        <v>0.308</v>
      </c>
      <c r="Q27" s="170">
        <v>0</v>
      </c>
      <c r="R27" s="165">
        <v>0.308</v>
      </c>
      <c r="S27" s="170">
        <v>0</v>
      </c>
      <c r="T27" s="165" t="s">
        <v>526</v>
      </c>
      <c r="U27" s="170">
        <v>0</v>
      </c>
      <c r="V27" s="170">
        <v>0</v>
      </c>
      <c r="W27" s="170">
        <v>0</v>
      </c>
      <c r="X27" s="165" t="s">
        <v>526</v>
      </c>
      <c r="Y27" s="170">
        <v>0</v>
      </c>
      <c r="Z27" s="170">
        <v>0</v>
      </c>
      <c r="AA27" s="170">
        <v>0</v>
      </c>
      <c r="AB27" s="165">
        <v>0.308</v>
      </c>
      <c r="AC27" s="166">
        <v>0</v>
      </c>
    </row>
    <row r="28" spans="1:32" x14ac:dyDescent="0.25">
      <c r="A28" s="167" t="s">
        <v>170</v>
      </c>
      <c r="B28" s="168" t="s">
        <v>169</v>
      </c>
      <c r="C28" s="165">
        <v>0</v>
      </c>
      <c r="D28" s="165">
        <v>0</v>
      </c>
      <c r="E28" s="170">
        <f t="shared" si="2"/>
        <v>0</v>
      </c>
      <c r="F28" s="165">
        <v>0</v>
      </c>
      <c r="G28" s="170">
        <v>0</v>
      </c>
      <c r="H28" s="165" t="s">
        <v>526</v>
      </c>
      <c r="I28" s="170">
        <v>0</v>
      </c>
      <c r="J28" s="170">
        <v>0</v>
      </c>
      <c r="K28" s="170">
        <v>0</v>
      </c>
      <c r="L28" s="165" t="s">
        <v>526</v>
      </c>
      <c r="M28" s="170">
        <v>0</v>
      </c>
      <c r="N28" s="170">
        <v>0</v>
      </c>
      <c r="O28" s="170">
        <v>0</v>
      </c>
      <c r="P28" s="165">
        <v>0</v>
      </c>
      <c r="Q28" s="170">
        <v>0</v>
      </c>
      <c r="R28" s="165">
        <v>0</v>
      </c>
      <c r="S28" s="170">
        <v>0</v>
      </c>
      <c r="T28" s="165" t="s">
        <v>526</v>
      </c>
      <c r="U28" s="170">
        <v>0</v>
      </c>
      <c r="V28" s="170">
        <v>0</v>
      </c>
      <c r="W28" s="170">
        <v>0</v>
      </c>
      <c r="X28" s="165" t="s">
        <v>526</v>
      </c>
      <c r="Y28" s="170">
        <v>0</v>
      </c>
      <c r="Z28" s="170">
        <v>0</v>
      </c>
      <c r="AA28" s="170">
        <v>0</v>
      </c>
      <c r="AB28" s="165">
        <v>0</v>
      </c>
      <c r="AC28" s="166">
        <v>0</v>
      </c>
    </row>
    <row r="29" spans="1:32" x14ac:dyDescent="0.25">
      <c r="A29" s="167" t="s">
        <v>168</v>
      </c>
      <c r="B29" s="52" t="s">
        <v>167</v>
      </c>
      <c r="C29" s="165">
        <v>0</v>
      </c>
      <c r="D29" s="165">
        <v>0</v>
      </c>
      <c r="E29" s="170">
        <f t="shared" si="2"/>
        <v>0</v>
      </c>
      <c r="F29" s="165">
        <v>0</v>
      </c>
      <c r="G29" s="170">
        <v>0</v>
      </c>
      <c r="H29" s="165" t="s">
        <v>526</v>
      </c>
      <c r="I29" s="170">
        <v>0</v>
      </c>
      <c r="J29" s="170">
        <v>0</v>
      </c>
      <c r="K29" s="170">
        <v>0</v>
      </c>
      <c r="L29" s="165" t="s">
        <v>526</v>
      </c>
      <c r="M29" s="170">
        <v>0</v>
      </c>
      <c r="N29" s="170">
        <v>0</v>
      </c>
      <c r="O29" s="170">
        <v>0</v>
      </c>
      <c r="P29" s="165">
        <v>0</v>
      </c>
      <c r="Q29" s="170">
        <v>0</v>
      </c>
      <c r="R29" s="165">
        <v>0</v>
      </c>
      <c r="S29" s="170">
        <v>0</v>
      </c>
      <c r="T29" s="165" t="s">
        <v>526</v>
      </c>
      <c r="U29" s="170">
        <v>0</v>
      </c>
      <c r="V29" s="170">
        <v>0</v>
      </c>
      <c r="W29" s="170">
        <v>0</v>
      </c>
      <c r="X29" s="165" t="s">
        <v>526</v>
      </c>
      <c r="Y29" s="170">
        <v>0</v>
      </c>
      <c r="Z29" s="170">
        <v>0</v>
      </c>
      <c r="AA29" s="170">
        <v>0</v>
      </c>
      <c r="AB29" s="165">
        <v>0</v>
      </c>
      <c r="AC29" s="166">
        <v>0</v>
      </c>
    </row>
    <row r="30" spans="1:32" ht="47.25" x14ac:dyDescent="0.25">
      <c r="A30" s="163" t="s">
        <v>61</v>
      </c>
      <c r="B30" s="164" t="s">
        <v>166</v>
      </c>
      <c r="C30" s="165">
        <v>0.25666666666666665</v>
      </c>
      <c r="D30" s="165">
        <v>0.25666666666666665</v>
      </c>
      <c r="E30" s="165">
        <f t="shared" si="2"/>
        <v>0.25666666666666665</v>
      </c>
      <c r="F30" s="165">
        <v>0</v>
      </c>
      <c r="G30" s="165">
        <f>SUM(G31:G34)</f>
        <v>0</v>
      </c>
      <c r="H30" s="165" t="s">
        <v>526</v>
      </c>
      <c r="I30" s="165">
        <v>0</v>
      </c>
      <c r="J30" s="165">
        <v>0</v>
      </c>
      <c r="K30" s="165">
        <v>0</v>
      </c>
      <c r="L30" s="165" t="s">
        <v>526</v>
      </c>
      <c r="M30" s="165">
        <f t="shared" ref="M30:W30" si="3">SUM(M31:M34)</f>
        <v>0</v>
      </c>
      <c r="N30" s="165">
        <f t="shared" si="3"/>
        <v>0</v>
      </c>
      <c r="O30" s="165">
        <f t="shared" si="3"/>
        <v>0</v>
      </c>
      <c r="P30" s="165">
        <v>0.25666666666666665</v>
      </c>
      <c r="Q30" s="165">
        <f t="shared" si="3"/>
        <v>0</v>
      </c>
      <c r="R30" s="165">
        <v>0.25666666666666665</v>
      </c>
      <c r="S30" s="165">
        <f t="shared" si="3"/>
        <v>0</v>
      </c>
      <c r="T30" s="165" t="s">
        <v>526</v>
      </c>
      <c r="U30" s="165">
        <f t="shared" si="3"/>
        <v>0</v>
      </c>
      <c r="V30" s="165">
        <f t="shared" si="3"/>
        <v>0</v>
      </c>
      <c r="W30" s="165">
        <f t="shared" si="3"/>
        <v>0</v>
      </c>
      <c r="X30" s="165" t="s">
        <v>526</v>
      </c>
      <c r="Y30" s="165">
        <v>0</v>
      </c>
      <c r="Z30" s="165">
        <v>0</v>
      </c>
      <c r="AA30" s="165">
        <v>0</v>
      </c>
      <c r="AB30" s="165">
        <v>0.25666666666666665</v>
      </c>
      <c r="AC30" s="166">
        <v>0</v>
      </c>
    </row>
    <row r="31" spans="1:32" x14ac:dyDescent="0.25">
      <c r="A31" s="163" t="s">
        <v>165</v>
      </c>
      <c r="B31" s="168" t="s">
        <v>164</v>
      </c>
      <c r="C31" s="165">
        <v>0</v>
      </c>
      <c r="D31" s="165">
        <v>0</v>
      </c>
      <c r="E31" s="170">
        <f t="shared" si="2"/>
        <v>0</v>
      </c>
      <c r="F31" s="165">
        <v>0</v>
      </c>
      <c r="G31" s="170">
        <v>0</v>
      </c>
      <c r="H31" s="165" t="s">
        <v>526</v>
      </c>
      <c r="I31" s="170">
        <v>0</v>
      </c>
      <c r="J31" s="170">
        <v>0</v>
      </c>
      <c r="K31" s="170">
        <v>0</v>
      </c>
      <c r="L31" s="165" t="s">
        <v>526</v>
      </c>
      <c r="M31" s="170">
        <v>0</v>
      </c>
      <c r="N31" s="170">
        <v>0</v>
      </c>
      <c r="O31" s="170">
        <v>0</v>
      </c>
      <c r="P31" s="165">
        <v>0</v>
      </c>
      <c r="Q31" s="170">
        <v>0</v>
      </c>
      <c r="R31" s="165">
        <v>0</v>
      </c>
      <c r="S31" s="170">
        <v>0</v>
      </c>
      <c r="T31" s="165" t="s">
        <v>526</v>
      </c>
      <c r="U31" s="170">
        <v>0</v>
      </c>
      <c r="V31" s="170">
        <v>0</v>
      </c>
      <c r="W31" s="170">
        <v>0</v>
      </c>
      <c r="X31" s="165" t="s">
        <v>526</v>
      </c>
      <c r="Y31" s="170">
        <v>0</v>
      </c>
      <c r="Z31" s="170">
        <v>0</v>
      </c>
      <c r="AA31" s="170">
        <v>0</v>
      </c>
      <c r="AB31" s="165">
        <v>0</v>
      </c>
      <c r="AC31" s="166">
        <v>0</v>
      </c>
    </row>
    <row r="32" spans="1:32" ht="31.5" x14ac:dyDescent="0.25">
      <c r="A32" s="163" t="s">
        <v>163</v>
      </c>
      <c r="B32" s="168" t="s">
        <v>162</v>
      </c>
      <c r="C32" s="165">
        <v>0</v>
      </c>
      <c r="D32" s="165">
        <v>0</v>
      </c>
      <c r="E32" s="170">
        <f t="shared" si="2"/>
        <v>0</v>
      </c>
      <c r="F32" s="165">
        <v>0</v>
      </c>
      <c r="G32" s="170">
        <v>0</v>
      </c>
      <c r="H32" s="165" t="s">
        <v>526</v>
      </c>
      <c r="I32" s="170">
        <v>0</v>
      </c>
      <c r="J32" s="170">
        <v>0</v>
      </c>
      <c r="K32" s="170">
        <v>0</v>
      </c>
      <c r="L32" s="165" t="s">
        <v>526</v>
      </c>
      <c r="M32" s="170">
        <v>0</v>
      </c>
      <c r="N32" s="170">
        <v>0</v>
      </c>
      <c r="O32" s="170">
        <v>0</v>
      </c>
      <c r="P32" s="165">
        <v>0</v>
      </c>
      <c r="Q32" s="170">
        <v>0</v>
      </c>
      <c r="R32" s="165">
        <v>0</v>
      </c>
      <c r="S32" s="170">
        <v>0</v>
      </c>
      <c r="T32" s="165" t="s">
        <v>526</v>
      </c>
      <c r="U32" s="170">
        <v>0</v>
      </c>
      <c r="V32" s="170">
        <v>0</v>
      </c>
      <c r="W32" s="170">
        <v>0</v>
      </c>
      <c r="X32" s="165" t="s">
        <v>526</v>
      </c>
      <c r="Y32" s="170">
        <v>0</v>
      </c>
      <c r="Z32" s="170">
        <v>0</v>
      </c>
      <c r="AA32" s="170">
        <v>0</v>
      </c>
      <c r="AB32" s="165">
        <v>0</v>
      </c>
      <c r="AC32" s="166">
        <v>0</v>
      </c>
    </row>
    <row r="33" spans="1:29" x14ac:dyDescent="0.25">
      <c r="A33" s="163" t="s">
        <v>161</v>
      </c>
      <c r="B33" s="168" t="s">
        <v>160</v>
      </c>
      <c r="C33" s="165">
        <v>0.25666666666666665</v>
      </c>
      <c r="D33" s="165">
        <v>0.25666666666666665</v>
      </c>
      <c r="E33" s="170">
        <f t="shared" si="2"/>
        <v>0.25666666666666665</v>
      </c>
      <c r="F33" s="165">
        <v>0</v>
      </c>
      <c r="G33" s="170">
        <v>0</v>
      </c>
      <c r="H33" s="165" t="s">
        <v>526</v>
      </c>
      <c r="I33" s="170">
        <v>0</v>
      </c>
      <c r="J33" s="170">
        <v>0</v>
      </c>
      <c r="K33" s="170">
        <v>0</v>
      </c>
      <c r="L33" s="165" t="s">
        <v>526</v>
      </c>
      <c r="M33" s="170">
        <v>0</v>
      </c>
      <c r="N33" s="170">
        <v>0</v>
      </c>
      <c r="O33" s="170">
        <v>0</v>
      </c>
      <c r="P33" s="165">
        <v>0.25666666666666665</v>
      </c>
      <c r="Q33" s="170">
        <v>0</v>
      </c>
      <c r="R33" s="165">
        <v>0.25666666666666665</v>
      </c>
      <c r="S33" s="170">
        <v>0</v>
      </c>
      <c r="T33" s="165" t="s">
        <v>526</v>
      </c>
      <c r="U33" s="170">
        <v>0</v>
      </c>
      <c r="V33" s="170">
        <v>0</v>
      </c>
      <c r="W33" s="170">
        <v>0</v>
      </c>
      <c r="X33" s="165" t="s">
        <v>526</v>
      </c>
      <c r="Y33" s="170">
        <v>0</v>
      </c>
      <c r="Z33" s="170">
        <v>0</v>
      </c>
      <c r="AA33" s="170">
        <v>0</v>
      </c>
      <c r="AB33" s="165">
        <v>0.25666666666666665</v>
      </c>
      <c r="AC33" s="166">
        <v>0</v>
      </c>
    </row>
    <row r="34" spans="1:29" x14ac:dyDescent="0.25">
      <c r="A34" s="163" t="s">
        <v>159</v>
      </c>
      <c r="B34" s="168" t="s">
        <v>158</v>
      </c>
      <c r="C34" s="165">
        <v>0</v>
      </c>
      <c r="D34" s="165">
        <v>0</v>
      </c>
      <c r="E34" s="170">
        <f t="shared" si="2"/>
        <v>0</v>
      </c>
      <c r="F34" s="165">
        <v>0</v>
      </c>
      <c r="G34" s="170">
        <v>0</v>
      </c>
      <c r="H34" s="165" t="s">
        <v>526</v>
      </c>
      <c r="I34" s="170">
        <v>0</v>
      </c>
      <c r="J34" s="170">
        <v>0</v>
      </c>
      <c r="K34" s="170">
        <v>0</v>
      </c>
      <c r="L34" s="165" t="s">
        <v>526</v>
      </c>
      <c r="M34" s="170">
        <v>0</v>
      </c>
      <c r="N34" s="170">
        <v>0</v>
      </c>
      <c r="O34" s="170">
        <v>0</v>
      </c>
      <c r="P34" s="165">
        <v>0</v>
      </c>
      <c r="Q34" s="170">
        <v>0</v>
      </c>
      <c r="R34" s="165">
        <v>0</v>
      </c>
      <c r="S34" s="170">
        <v>0</v>
      </c>
      <c r="T34" s="165" t="s">
        <v>526</v>
      </c>
      <c r="U34" s="170">
        <v>0</v>
      </c>
      <c r="V34" s="170">
        <v>0</v>
      </c>
      <c r="W34" s="170">
        <v>0</v>
      </c>
      <c r="X34" s="165" t="s">
        <v>526</v>
      </c>
      <c r="Y34" s="170">
        <v>0</v>
      </c>
      <c r="Z34" s="170">
        <v>0</v>
      </c>
      <c r="AA34" s="170">
        <v>0</v>
      </c>
      <c r="AB34" s="165">
        <v>0</v>
      </c>
      <c r="AC34" s="166">
        <v>0</v>
      </c>
    </row>
    <row r="35" spans="1:29" ht="31.5" x14ac:dyDescent="0.25">
      <c r="A35" s="163" t="s">
        <v>60</v>
      </c>
      <c r="B35" s="164" t="s">
        <v>157</v>
      </c>
      <c r="C35" s="165">
        <v>0</v>
      </c>
      <c r="D35" s="165">
        <v>0</v>
      </c>
      <c r="E35" s="171">
        <f t="shared" si="2"/>
        <v>0</v>
      </c>
      <c r="F35" s="165">
        <v>0</v>
      </c>
      <c r="G35" s="165">
        <v>0</v>
      </c>
      <c r="H35" s="165" t="s">
        <v>526</v>
      </c>
      <c r="I35" s="165">
        <v>0</v>
      </c>
      <c r="J35" s="165">
        <v>0</v>
      </c>
      <c r="K35" s="165">
        <v>0</v>
      </c>
      <c r="L35" s="165" t="s">
        <v>526</v>
      </c>
      <c r="M35" s="165">
        <v>0</v>
      </c>
      <c r="N35" s="165">
        <v>0</v>
      </c>
      <c r="O35" s="165">
        <v>0</v>
      </c>
      <c r="P35" s="165">
        <v>0</v>
      </c>
      <c r="Q35" s="165">
        <v>0</v>
      </c>
      <c r="R35" s="165">
        <v>0</v>
      </c>
      <c r="S35" s="165">
        <v>0</v>
      </c>
      <c r="T35" s="165" t="s">
        <v>526</v>
      </c>
      <c r="U35" s="165">
        <v>0</v>
      </c>
      <c r="V35" s="165">
        <v>0</v>
      </c>
      <c r="W35" s="165">
        <v>0</v>
      </c>
      <c r="X35" s="165" t="s">
        <v>526</v>
      </c>
      <c r="Y35" s="165">
        <v>0</v>
      </c>
      <c r="Z35" s="165">
        <v>0</v>
      </c>
      <c r="AA35" s="165">
        <v>0</v>
      </c>
      <c r="AB35" s="165">
        <v>0</v>
      </c>
      <c r="AC35" s="166">
        <v>0</v>
      </c>
    </row>
    <row r="36" spans="1:29" ht="31.5" x14ac:dyDescent="0.25">
      <c r="A36" s="167" t="s">
        <v>156</v>
      </c>
      <c r="B36" s="172" t="s">
        <v>155</v>
      </c>
      <c r="C36" s="165">
        <v>0</v>
      </c>
      <c r="D36" s="165">
        <v>0</v>
      </c>
      <c r="E36" s="170">
        <f t="shared" si="2"/>
        <v>0</v>
      </c>
      <c r="F36" s="165">
        <v>0</v>
      </c>
      <c r="G36" s="170">
        <v>0</v>
      </c>
      <c r="H36" s="165" t="s">
        <v>526</v>
      </c>
      <c r="I36" s="170">
        <v>0</v>
      </c>
      <c r="J36" s="170">
        <v>0</v>
      </c>
      <c r="K36" s="170">
        <v>0</v>
      </c>
      <c r="L36" s="165" t="s">
        <v>526</v>
      </c>
      <c r="M36" s="170">
        <v>0</v>
      </c>
      <c r="N36" s="170">
        <v>0</v>
      </c>
      <c r="O36" s="170">
        <v>0</v>
      </c>
      <c r="P36" s="165">
        <v>0</v>
      </c>
      <c r="Q36" s="170">
        <v>0</v>
      </c>
      <c r="R36" s="165">
        <v>0</v>
      </c>
      <c r="S36" s="170">
        <v>0</v>
      </c>
      <c r="T36" s="165" t="s">
        <v>526</v>
      </c>
      <c r="U36" s="170">
        <v>0</v>
      </c>
      <c r="V36" s="170">
        <v>0</v>
      </c>
      <c r="W36" s="170">
        <v>0</v>
      </c>
      <c r="X36" s="165" t="s">
        <v>526</v>
      </c>
      <c r="Y36" s="170">
        <v>0</v>
      </c>
      <c r="Z36" s="170">
        <v>0</v>
      </c>
      <c r="AA36" s="170">
        <v>0</v>
      </c>
      <c r="AB36" s="165">
        <v>0</v>
      </c>
      <c r="AC36" s="166">
        <v>0</v>
      </c>
    </row>
    <row r="37" spans="1:29" x14ac:dyDescent="0.25">
      <c r="A37" s="167" t="s">
        <v>154</v>
      </c>
      <c r="B37" s="172" t="s">
        <v>144</v>
      </c>
      <c r="C37" s="165">
        <v>0</v>
      </c>
      <c r="D37" s="165">
        <v>0</v>
      </c>
      <c r="E37" s="170">
        <f t="shared" si="2"/>
        <v>0</v>
      </c>
      <c r="F37" s="165">
        <v>0</v>
      </c>
      <c r="G37" s="170">
        <v>0</v>
      </c>
      <c r="H37" s="165" t="s">
        <v>526</v>
      </c>
      <c r="I37" s="170">
        <v>0</v>
      </c>
      <c r="J37" s="170">
        <v>0</v>
      </c>
      <c r="K37" s="170">
        <v>0</v>
      </c>
      <c r="L37" s="165" t="s">
        <v>526</v>
      </c>
      <c r="M37" s="170">
        <v>0</v>
      </c>
      <c r="N37" s="170">
        <v>0</v>
      </c>
      <c r="O37" s="170">
        <v>0</v>
      </c>
      <c r="P37" s="165">
        <v>0</v>
      </c>
      <c r="Q37" s="170">
        <v>0</v>
      </c>
      <c r="R37" s="165">
        <v>0</v>
      </c>
      <c r="S37" s="170">
        <v>0</v>
      </c>
      <c r="T37" s="165" t="s">
        <v>526</v>
      </c>
      <c r="U37" s="170">
        <v>0</v>
      </c>
      <c r="V37" s="170">
        <v>0</v>
      </c>
      <c r="W37" s="170">
        <v>0</v>
      </c>
      <c r="X37" s="165" t="s">
        <v>526</v>
      </c>
      <c r="Y37" s="170">
        <v>0</v>
      </c>
      <c r="Z37" s="170">
        <v>0</v>
      </c>
      <c r="AA37" s="170">
        <v>0</v>
      </c>
      <c r="AB37" s="165">
        <v>0</v>
      </c>
      <c r="AC37" s="166">
        <v>0</v>
      </c>
    </row>
    <row r="38" spans="1:29" x14ac:dyDescent="0.25">
      <c r="A38" s="167" t="s">
        <v>153</v>
      </c>
      <c r="B38" s="172" t="s">
        <v>142</v>
      </c>
      <c r="C38" s="165">
        <v>0</v>
      </c>
      <c r="D38" s="165">
        <v>0</v>
      </c>
      <c r="E38" s="170">
        <f t="shared" si="2"/>
        <v>0</v>
      </c>
      <c r="F38" s="165">
        <v>0</v>
      </c>
      <c r="G38" s="170">
        <v>0</v>
      </c>
      <c r="H38" s="165" t="s">
        <v>526</v>
      </c>
      <c r="I38" s="170">
        <v>0</v>
      </c>
      <c r="J38" s="170">
        <v>0</v>
      </c>
      <c r="K38" s="170">
        <v>0</v>
      </c>
      <c r="L38" s="165" t="s">
        <v>526</v>
      </c>
      <c r="M38" s="170">
        <v>0</v>
      </c>
      <c r="N38" s="170">
        <v>0</v>
      </c>
      <c r="O38" s="170">
        <v>0</v>
      </c>
      <c r="P38" s="165">
        <v>0</v>
      </c>
      <c r="Q38" s="170">
        <v>0</v>
      </c>
      <c r="R38" s="165">
        <v>0</v>
      </c>
      <c r="S38" s="170">
        <v>0</v>
      </c>
      <c r="T38" s="165" t="s">
        <v>526</v>
      </c>
      <c r="U38" s="170">
        <v>0</v>
      </c>
      <c r="V38" s="170">
        <v>0</v>
      </c>
      <c r="W38" s="170">
        <v>0</v>
      </c>
      <c r="X38" s="165" t="s">
        <v>526</v>
      </c>
      <c r="Y38" s="170">
        <v>0</v>
      </c>
      <c r="Z38" s="170">
        <v>0</v>
      </c>
      <c r="AA38" s="170">
        <v>0</v>
      </c>
      <c r="AB38" s="165">
        <v>0</v>
      </c>
      <c r="AC38" s="166">
        <v>0</v>
      </c>
    </row>
    <row r="39" spans="1:29" ht="31.5" x14ac:dyDescent="0.25">
      <c r="A39" s="167" t="s">
        <v>152</v>
      </c>
      <c r="B39" s="168" t="s">
        <v>140</v>
      </c>
      <c r="C39" s="165">
        <v>0</v>
      </c>
      <c r="D39" s="165">
        <v>0</v>
      </c>
      <c r="E39" s="170">
        <f t="shared" si="2"/>
        <v>0</v>
      </c>
      <c r="F39" s="165">
        <v>0</v>
      </c>
      <c r="G39" s="170">
        <v>0</v>
      </c>
      <c r="H39" s="165" t="s">
        <v>526</v>
      </c>
      <c r="I39" s="170">
        <v>0</v>
      </c>
      <c r="J39" s="170">
        <v>0</v>
      </c>
      <c r="K39" s="170">
        <v>0</v>
      </c>
      <c r="L39" s="165" t="s">
        <v>526</v>
      </c>
      <c r="M39" s="170">
        <v>0</v>
      </c>
      <c r="N39" s="170">
        <v>0</v>
      </c>
      <c r="O39" s="170">
        <v>0</v>
      </c>
      <c r="P39" s="165">
        <v>0</v>
      </c>
      <c r="Q39" s="170">
        <v>0</v>
      </c>
      <c r="R39" s="165">
        <v>0</v>
      </c>
      <c r="S39" s="170">
        <v>0</v>
      </c>
      <c r="T39" s="165" t="s">
        <v>526</v>
      </c>
      <c r="U39" s="170">
        <v>0</v>
      </c>
      <c r="V39" s="170">
        <v>0</v>
      </c>
      <c r="W39" s="170">
        <v>0</v>
      </c>
      <c r="X39" s="165" t="s">
        <v>526</v>
      </c>
      <c r="Y39" s="170">
        <v>0</v>
      </c>
      <c r="Z39" s="170">
        <v>0</v>
      </c>
      <c r="AA39" s="170">
        <v>0</v>
      </c>
      <c r="AB39" s="165">
        <v>0</v>
      </c>
      <c r="AC39" s="166">
        <v>0</v>
      </c>
    </row>
    <row r="40" spans="1:29" ht="31.5" x14ac:dyDescent="0.25">
      <c r="A40" s="167" t="s">
        <v>151</v>
      </c>
      <c r="B40" s="168" t="s">
        <v>138</v>
      </c>
      <c r="C40" s="165">
        <v>0</v>
      </c>
      <c r="D40" s="165">
        <v>0</v>
      </c>
      <c r="E40" s="170">
        <f t="shared" si="2"/>
        <v>0</v>
      </c>
      <c r="F40" s="165">
        <v>0</v>
      </c>
      <c r="G40" s="170">
        <v>0</v>
      </c>
      <c r="H40" s="165" t="s">
        <v>526</v>
      </c>
      <c r="I40" s="170">
        <v>0</v>
      </c>
      <c r="J40" s="170">
        <v>0</v>
      </c>
      <c r="K40" s="170">
        <v>0</v>
      </c>
      <c r="L40" s="165" t="s">
        <v>526</v>
      </c>
      <c r="M40" s="170">
        <v>0</v>
      </c>
      <c r="N40" s="170">
        <v>0</v>
      </c>
      <c r="O40" s="170">
        <v>0</v>
      </c>
      <c r="P40" s="165">
        <v>0</v>
      </c>
      <c r="Q40" s="170">
        <v>0</v>
      </c>
      <c r="R40" s="165">
        <v>0</v>
      </c>
      <c r="S40" s="170">
        <v>0</v>
      </c>
      <c r="T40" s="165" t="s">
        <v>526</v>
      </c>
      <c r="U40" s="170">
        <v>0</v>
      </c>
      <c r="V40" s="170">
        <v>0</v>
      </c>
      <c r="W40" s="170">
        <v>0</v>
      </c>
      <c r="X40" s="165" t="s">
        <v>526</v>
      </c>
      <c r="Y40" s="170">
        <v>0</v>
      </c>
      <c r="Z40" s="170">
        <v>0</v>
      </c>
      <c r="AA40" s="170">
        <v>0</v>
      </c>
      <c r="AB40" s="165">
        <v>0</v>
      </c>
      <c r="AC40" s="166">
        <v>0</v>
      </c>
    </row>
    <row r="41" spans="1:29" x14ac:dyDescent="0.25">
      <c r="A41" s="167" t="s">
        <v>150</v>
      </c>
      <c r="B41" s="168" t="s">
        <v>136</v>
      </c>
      <c r="C41" s="165">
        <v>0</v>
      </c>
      <c r="D41" s="165">
        <v>0</v>
      </c>
      <c r="E41" s="170">
        <f t="shared" si="2"/>
        <v>0</v>
      </c>
      <c r="F41" s="165">
        <v>0</v>
      </c>
      <c r="G41" s="170">
        <v>0</v>
      </c>
      <c r="H41" s="165" t="s">
        <v>526</v>
      </c>
      <c r="I41" s="170">
        <v>0</v>
      </c>
      <c r="J41" s="170">
        <v>0</v>
      </c>
      <c r="K41" s="170">
        <v>0</v>
      </c>
      <c r="L41" s="165" t="s">
        <v>526</v>
      </c>
      <c r="M41" s="170">
        <v>0</v>
      </c>
      <c r="N41" s="170">
        <v>0</v>
      </c>
      <c r="O41" s="170">
        <v>0</v>
      </c>
      <c r="P41" s="165">
        <v>0</v>
      </c>
      <c r="Q41" s="170">
        <v>0</v>
      </c>
      <c r="R41" s="165">
        <v>0</v>
      </c>
      <c r="S41" s="170">
        <v>0</v>
      </c>
      <c r="T41" s="165" t="s">
        <v>526</v>
      </c>
      <c r="U41" s="170">
        <v>0</v>
      </c>
      <c r="V41" s="170">
        <v>0</v>
      </c>
      <c r="W41" s="170">
        <v>0</v>
      </c>
      <c r="X41" s="165" t="s">
        <v>526</v>
      </c>
      <c r="Y41" s="170">
        <v>0</v>
      </c>
      <c r="Z41" s="170">
        <v>0</v>
      </c>
      <c r="AA41" s="170">
        <v>0</v>
      </c>
      <c r="AB41" s="165">
        <v>0</v>
      </c>
      <c r="AC41" s="166">
        <v>0</v>
      </c>
    </row>
    <row r="42" spans="1:29" ht="18.75" x14ac:dyDescent="0.25">
      <c r="A42" s="167" t="s">
        <v>149</v>
      </c>
      <c r="B42" s="172" t="s">
        <v>544</v>
      </c>
      <c r="C42" s="165">
        <v>0</v>
      </c>
      <c r="D42" s="165">
        <v>0</v>
      </c>
      <c r="E42" s="170">
        <f t="shared" si="2"/>
        <v>0</v>
      </c>
      <c r="F42" s="165">
        <v>0</v>
      </c>
      <c r="G42" s="170">
        <v>0</v>
      </c>
      <c r="H42" s="165" t="s">
        <v>526</v>
      </c>
      <c r="I42" s="170">
        <v>0</v>
      </c>
      <c r="J42" s="170">
        <v>0</v>
      </c>
      <c r="K42" s="170">
        <v>0</v>
      </c>
      <c r="L42" s="165" t="s">
        <v>526</v>
      </c>
      <c r="M42" s="170">
        <v>0</v>
      </c>
      <c r="N42" s="170">
        <v>0</v>
      </c>
      <c r="O42" s="170">
        <v>0</v>
      </c>
      <c r="P42" s="165">
        <v>0</v>
      </c>
      <c r="Q42" s="170">
        <v>0</v>
      </c>
      <c r="R42" s="165">
        <v>0</v>
      </c>
      <c r="S42" s="170">
        <v>0</v>
      </c>
      <c r="T42" s="165" t="s">
        <v>526</v>
      </c>
      <c r="U42" s="170">
        <v>0</v>
      </c>
      <c r="V42" s="170">
        <v>0</v>
      </c>
      <c r="W42" s="170">
        <v>0</v>
      </c>
      <c r="X42" s="165" t="s">
        <v>526</v>
      </c>
      <c r="Y42" s="170">
        <v>0</v>
      </c>
      <c r="Z42" s="170">
        <v>0</v>
      </c>
      <c r="AA42" s="170">
        <v>0</v>
      </c>
      <c r="AB42" s="165">
        <v>0</v>
      </c>
      <c r="AC42" s="166">
        <v>0</v>
      </c>
    </row>
    <row r="43" spans="1:29" x14ac:dyDescent="0.25">
      <c r="A43" s="163" t="s">
        <v>59</v>
      </c>
      <c r="B43" s="164" t="s">
        <v>148</v>
      </c>
      <c r="C43" s="165">
        <v>0</v>
      </c>
      <c r="D43" s="165">
        <v>0</v>
      </c>
      <c r="E43" s="171">
        <f t="shared" si="2"/>
        <v>0</v>
      </c>
      <c r="F43" s="165">
        <v>0</v>
      </c>
      <c r="G43" s="165">
        <v>0</v>
      </c>
      <c r="H43" s="165" t="s">
        <v>526</v>
      </c>
      <c r="I43" s="165">
        <v>0</v>
      </c>
      <c r="J43" s="165">
        <v>0</v>
      </c>
      <c r="K43" s="165">
        <v>0</v>
      </c>
      <c r="L43" s="165" t="s">
        <v>526</v>
      </c>
      <c r="M43" s="165">
        <v>0</v>
      </c>
      <c r="N43" s="165">
        <v>0</v>
      </c>
      <c r="O43" s="165">
        <v>0</v>
      </c>
      <c r="P43" s="165">
        <v>0</v>
      </c>
      <c r="Q43" s="165">
        <v>0</v>
      </c>
      <c r="R43" s="165">
        <v>0</v>
      </c>
      <c r="S43" s="165">
        <v>0</v>
      </c>
      <c r="T43" s="165" t="s">
        <v>526</v>
      </c>
      <c r="U43" s="165">
        <v>0</v>
      </c>
      <c r="V43" s="165">
        <v>0</v>
      </c>
      <c r="W43" s="165">
        <v>0</v>
      </c>
      <c r="X43" s="165" t="s">
        <v>526</v>
      </c>
      <c r="Y43" s="165">
        <v>0</v>
      </c>
      <c r="Z43" s="165">
        <v>0</v>
      </c>
      <c r="AA43" s="165">
        <v>0</v>
      </c>
      <c r="AB43" s="165">
        <v>0</v>
      </c>
      <c r="AC43" s="166">
        <v>0</v>
      </c>
    </row>
    <row r="44" spans="1:29" x14ac:dyDescent="0.25">
      <c r="A44" s="167" t="s">
        <v>147</v>
      </c>
      <c r="B44" s="168" t="s">
        <v>146</v>
      </c>
      <c r="C44" s="165">
        <v>0</v>
      </c>
      <c r="D44" s="165">
        <v>0</v>
      </c>
      <c r="E44" s="170">
        <f t="shared" si="2"/>
        <v>0</v>
      </c>
      <c r="F44" s="165">
        <v>0</v>
      </c>
      <c r="G44" s="170">
        <v>0</v>
      </c>
      <c r="H44" s="165" t="s">
        <v>526</v>
      </c>
      <c r="I44" s="170">
        <v>0</v>
      </c>
      <c r="J44" s="170">
        <v>0</v>
      </c>
      <c r="K44" s="170">
        <v>0</v>
      </c>
      <c r="L44" s="165" t="s">
        <v>526</v>
      </c>
      <c r="M44" s="170">
        <v>0</v>
      </c>
      <c r="N44" s="170">
        <v>0</v>
      </c>
      <c r="O44" s="170">
        <v>0</v>
      </c>
      <c r="P44" s="165">
        <v>0</v>
      </c>
      <c r="Q44" s="170">
        <v>0</v>
      </c>
      <c r="R44" s="165">
        <v>0</v>
      </c>
      <c r="S44" s="170">
        <v>0</v>
      </c>
      <c r="T44" s="165" t="s">
        <v>526</v>
      </c>
      <c r="U44" s="170">
        <v>0</v>
      </c>
      <c r="V44" s="170">
        <v>0</v>
      </c>
      <c r="W44" s="170">
        <v>0</v>
      </c>
      <c r="X44" s="165" t="s">
        <v>526</v>
      </c>
      <c r="Y44" s="170">
        <v>0</v>
      </c>
      <c r="Z44" s="170">
        <v>0</v>
      </c>
      <c r="AA44" s="170">
        <v>0</v>
      </c>
      <c r="AB44" s="165">
        <v>0</v>
      </c>
      <c r="AC44" s="166">
        <v>0</v>
      </c>
    </row>
    <row r="45" spans="1:29" x14ac:dyDescent="0.25">
      <c r="A45" s="167" t="s">
        <v>145</v>
      </c>
      <c r="B45" s="168" t="s">
        <v>144</v>
      </c>
      <c r="C45" s="165">
        <v>0</v>
      </c>
      <c r="D45" s="165">
        <v>0</v>
      </c>
      <c r="E45" s="170">
        <f t="shared" si="2"/>
        <v>0</v>
      </c>
      <c r="F45" s="165">
        <v>0</v>
      </c>
      <c r="G45" s="170">
        <v>0</v>
      </c>
      <c r="H45" s="165" t="s">
        <v>526</v>
      </c>
      <c r="I45" s="170">
        <v>0</v>
      </c>
      <c r="J45" s="170">
        <v>0</v>
      </c>
      <c r="K45" s="170">
        <v>0</v>
      </c>
      <c r="L45" s="165" t="s">
        <v>526</v>
      </c>
      <c r="M45" s="170">
        <v>0</v>
      </c>
      <c r="N45" s="170">
        <v>0</v>
      </c>
      <c r="O45" s="170">
        <v>0</v>
      </c>
      <c r="P45" s="165">
        <v>0</v>
      </c>
      <c r="Q45" s="170">
        <v>0</v>
      </c>
      <c r="R45" s="165">
        <v>0</v>
      </c>
      <c r="S45" s="170">
        <v>0</v>
      </c>
      <c r="T45" s="165" t="s">
        <v>526</v>
      </c>
      <c r="U45" s="170">
        <v>0</v>
      </c>
      <c r="V45" s="170">
        <v>0</v>
      </c>
      <c r="W45" s="170">
        <v>0</v>
      </c>
      <c r="X45" s="165" t="s">
        <v>526</v>
      </c>
      <c r="Y45" s="170">
        <v>0</v>
      </c>
      <c r="Z45" s="170">
        <v>0</v>
      </c>
      <c r="AA45" s="170">
        <v>0</v>
      </c>
      <c r="AB45" s="165">
        <v>0</v>
      </c>
      <c r="AC45" s="166">
        <v>0</v>
      </c>
    </row>
    <row r="46" spans="1:29" x14ac:dyDescent="0.25">
      <c r="A46" s="167" t="s">
        <v>143</v>
      </c>
      <c r="B46" s="168" t="s">
        <v>142</v>
      </c>
      <c r="C46" s="165">
        <v>0</v>
      </c>
      <c r="D46" s="165">
        <v>0</v>
      </c>
      <c r="E46" s="170">
        <f t="shared" si="2"/>
        <v>0</v>
      </c>
      <c r="F46" s="165">
        <v>0</v>
      </c>
      <c r="G46" s="170">
        <v>0</v>
      </c>
      <c r="H46" s="165" t="s">
        <v>526</v>
      </c>
      <c r="I46" s="170">
        <v>0</v>
      </c>
      <c r="J46" s="170">
        <v>0</v>
      </c>
      <c r="K46" s="170">
        <v>0</v>
      </c>
      <c r="L46" s="165" t="s">
        <v>526</v>
      </c>
      <c r="M46" s="170">
        <v>0</v>
      </c>
      <c r="N46" s="170">
        <v>0</v>
      </c>
      <c r="O46" s="170">
        <v>0</v>
      </c>
      <c r="P46" s="165">
        <v>0</v>
      </c>
      <c r="Q46" s="170">
        <v>0</v>
      </c>
      <c r="R46" s="165">
        <v>0</v>
      </c>
      <c r="S46" s="170">
        <v>0</v>
      </c>
      <c r="T46" s="165" t="s">
        <v>526</v>
      </c>
      <c r="U46" s="170">
        <v>0</v>
      </c>
      <c r="V46" s="170">
        <v>0</v>
      </c>
      <c r="W46" s="170">
        <v>0</v>
      </c>
      <c r="X46" s="165" t="s">
        <v>526</v>
      </c>
      <c r="Y46" s="170">
        <v>0</v>
      </c>
      <c r="Z46" s="170">
        <v>0</v>
      </c>
      <c r="AA46" s="170">
        <v>0</v>
      </c>
      <c r="AB46" s="165">
        <v>0</v>
      </c>
      <c r="AC46" s="166">
        <v>0</v>
      </c>
    </row>
    <row r="47" spans="1:29" ht="31.5" x14ac:dyDescent="0.25">
      <c r="A47" s="167" t="s">
        <v>141</v>
      </c>
      <c r="B47" s="168" t="s">
        <v>140</v>
      </c>
      <c r="C47" s="165">
        <v>0</v>
      </c>
      <c r="D47" s="165">
        <v>0</v>
      </c>
      <c r="E47" s="170">
        <f t="shared" si="2"/>
        <v>0</v>
      </c>
      <c r="F47" s="165">
        <v>0</v>
      </c>
      <c r="G47" s="170">
        <v>0</v>
      </c>
      <c r="H47" s="165" t="s">
        <v>526</v>
      </c>
      <c r="I47" s="170">
        <v>0</v>
      </c>
      <c r="J47" s="170">
        <v>0</v>
      </c>
      <c r="K47" s="170">
        <v>0</v>
      </c>
      <c r="L47" s="165" t="s">
        <v>526</v>
      </c>
      <c r="M47" s="170">
        <v>0</v>
      </c>
      <c r="N47" s="170">
        <v>0</v>
      </c>
      <c r="O47" s="170">
        <v>0</v>
      </c>
      <c r="P47" s="165">
        <v>0</v>
      </c>
      <c r="Q47" s="170">
        <v>0</v>
      </c>
      <c r="R47" s="165">
        <v>0</v>
      </c>
      <c r="S47" s="170">
        <v>0</v>
      </c>
      <c r="T47" s="165" t="s">
        <v>526</v>
      </c>
      <c r="U47" s="170">
        <v>0</v>
      </c>
      <c r="V47" s="170">
        <v>0</v>
      </c>
      <c r="W47" s="170">
        <v>0</v>
      </c>
      <c r="X47" s="165" t="s">
        <v>526</v>
      </c>
      <c r="Y47" s="170">
        <v>0</v>
      </c>
      <c r="Z47" s="170">
        <v>0</v>
      </c>
      <c r="AA47" s="170">
        <v>0</v>
      </c>
      <c r="AB47" s="165">
        <v>0</v>
      </c>
      <c r="AC47" s="166">
        <v>0</v>
      </c>
    </row>
    <row r="48" spans="1:29" ht="31.5" x14ac:dyDescent="0.25">
      <c r="A48" s="167" t="s">
        <v>139</v>
      </c>
      <c r="B48" s="168" t="s">
        <v>138</v>
      </c>
      <c r="C48" s="165">
        <v>0</v>
      </c>
      <c r="D48" s="165">
        <v>0</v>
      </c>
      <c r="E48" s="170">
        <f t="shared" si="2"/>
        <v>0</v>
      </c>
      <c r="F48" s="165">
        <v>0</v>
      </c>
      <c r="G48" s="170">
        <v>0</v>
      </c>
      <c r="H48" s="165" t="s">
        <v>526</v>
      </c>
      <c r="I48" s="170">
        <v>0</v>
      </c>
      <c r="J48" s="170">
        <v>0</v>
      </c>
      <c r="K48" s="170">
        <v>0</v>
      </c>
      <c r="L48" s="165" t="s">
        <v>526</v>
      </c>
      <c r="M48" s="170">
        <v>0</v>
      </c>
      <c r="N48" s="170">
        <v>0</v>
      </c>
      <c r="O48" s="170">
        <v>0</v>
      </c>
      <c r="P48" s="165">
        <v>0</v>
      </c>
      <c r="Q48" s="170">
        <v>0</v>
      </c>
      <c r="R48" s="165">
        <v>0</v>
      </c>
      <c r="S48" s="170">
        <v>0</v>
      </c>
      <c r="T48" s="165" t="s">
        <v>526</v>
      </c>
      <c r="U48" s="170">
        <v>0</v>
      </c>
      <c r="V48" s="170">
        <v>0</v>
      </c>
      <c r="W48" s="170">
        <v>0</v>
      </c>
      <c r="X48" s="165" t="s">
        <v>526</v>
      </c>
      <c r="Y48" s="170">
        <v>0</v>
      </c>
      <c r="Z48" s="170">
        <v>0</v>
      </c>
      <c r="AA48" s="170">
        <v>0</v>
      </c>
      <c r="AB48" s="165">
        <v>0</v>
      </c>
      <c r="AC48" s="166">
        <v>0</v>
      </c>
    </row>
    <row r="49" spans="1:29" x14ac:dyDescent="0.25">
      <c r="A49" s="167" t="s">
        <v>137</v>
      </c>
      <c r="B49" s="168" t="s">
        <v>136</v>
      </c>
      <c r="C49" s="165">
        <v>0</v>
      </c>
      <c r="D49" s="165">
        <v>0</v>
      </c>
      <c r="E49" s="170">
        <f t="shared" si="2"/>
        <v>0</v>
      </c>
      <c r="F49" s="165">
        <v>0</v>
      </c>
      <c r="G49" s="170">
        <v>0</v>
      </c>
      <c r="H49" s="165" t="s">
        <v>526</v>
      </c>
      <c r="I49" s="170">
        <v>0</v>
      </c>
      <c r="J49" s="170">
        <v>0</v>
      </c>
      <c r="K49" s="170">
        <v>0</v>
      </c>
      <c r="L49" s="165" t="s">
        <v>526</v>
      </c>
      <c r="M49" s="170">
        <v>0</v>
      </c>
      <c r="N49" s="170">
        <v>0</v>
      </c>
      <c r="O49" s="170">
        <v>0</v>
      </c>
      <c r="P49" s="165">
        <v>0</v>
      </c>
      <c r="Q49" s="170">
        <v>0</v>
      </c>
      <c r="R49" s="165">
        <v>0</v>
      </c>
      <c r="S49" s="170">
        <v>0</v>
      </c>
      <c r="T49" s="165" t="s">
        <v>526</v>
      </c>
      <c r="U49" s="170">
        <v>0</v>
      </c>
      <c r="V49" s="170">
        <v>0</v>
      </c>
      <c r="W49" s="170">
        <v>0</v>
      </c>
      <c r="X49" s="165" t="s">
        <v>526</v>
      </c>
      <c r="Y49" s="170">
        <v>0</v>
      </c>
      <c r="Z49" s="170">
        <v>0</v>
      </c>
      <c r="AA49" s="170">
        <v>0</v>
      </c>
      <c r="AB49" s="165">
        <v>0</v>
      </c>
      <c r="AC49" s="166">
        <v>0</v>
      </c>
    </row>
    <row r="50" spans="1:29" ht="18.75" x14ac:dyDescent="0.25">
      <c r="A50" s="167" t="s">
        <v>135</v>
      </c>
      <c r="B50" s="172" t="s">
        <v>544</v>
      </c>
      <c r="C50" s="165">
        <v>0</v>
      </c>
      <c r="D50" s="165">
        <v>0</v>
      </c>
      <c r="E50" s="170">
        <f t="shared" si="2"/>
        <v>0</v>
      </c>
      <c r="F50" s="165">
        <v>0</v>
      </c>
      <c r="G50" s="170">
        <v>0</v>
      </c>
      <c r="H50" s="165" t="s">
        <v>526</v>
      </c>
      <c r="I50" s="170">
        <v>0</v>
      </c>
      <c r="J50" s="170">
        <v>0</v>
      </c>
      <c r="K50" s="170">
        <v>0</v>
      </c>
      <c r="L50" s="165" t="s">
        <v>526</v>
      </c>
      <c r="M50" s="170">
        <v>0</v>
      </c>
      <c r="N50" s="170">
        <v>0</v>
      </c>
      <c r="O50" s="170">
        <v>0</v>
      </c>
      <c r="P50" s="165">
        <v>0</v>
      </c>
      <c r="Q50" s="170">
        <v>0</v>
      </c>
      <c r="R50" s="165">
        <v>0</v>
      </c>
      <c r="S50" s="170">
        <v>0</v>
      </c>
      <c r="T50" s="165" t="s">
        <v>526</v>
      </c>
      <c r="U50" s="170">
        <v>0</v>
      </c>
      <c r="V50" s="170">
        <v>0</v>
      </c>
      <c r="W50" s="170">
        <v>0</v>
      </c>
      <c r="X50" s="165" t="s">
        <v>526</v>
      </c>
      <c r="Y50" s="170">
        <v>0</v>
      </c>
      <c r="Z50" s="170">
        <v>0</v>
      </c>
      <c r="AA50" s="170">
        <v>0</v>
      </c>
      <c r="AB50" s="165">
        <v>0</v>
      </c>
      <c r="AC50" s="166">
        <v>0</v>
      </c>
    </row>
    <row r="51" spans="1:29" ht="35.25" customHeight="1" x14ac:dyDescent="0.25">
      <c r="A51" s="163" t="s">
        <v>57</v>
      </c>
      <c r="B51" s="164" t="s">
        <v>134</v>
      </c>
      <c r="C51" s="165">
        <v>0</v>
      </c>
      <c r="D51" s="165">
        <v>0</v>
      </c>
      <c r="E51" s="171">
        <f t="shared" si="2"/>
        <v>0</v>
      </c>
      <c r="F51" s="165">
        <v>0</v>
      </c>
      <c r="G51" s="165">
        <v>0</v>
      </c>
      <c r="H51" s="165" t="s">
        <v>526</v>
      </c>
      <c r="I51" s="165">
        <v>0</v>
      </c>
      <c r="J51" s="165">
        <v>0</v>
      </c>
      <c r="K51" s="165">
        <v>0</v>
      </c>
      <c r="L51" s="165" t="s">
        <v>526</v>
      </c>
      <c r="M51" s="165">
        <v>0</v>
      </c>
      <c r="N51" s="165">
        <v>0</v>
      </c>
      <c r="O51" s="165">
        <v>0</v>
      </c>
      <c r="P51" s="165">
        <v>0</v>
      </c>
      <c r="Q51" s="165">
        <v>0</v>
      </c>
      <c r="R51" s="165">
        <v>0</v>
      </c>
      <c r="S51" s="165">
        <v>0</v>
      </c>
      <c r="T51" s="165" t="s">
        <v>526</v>
      </c>
      <c r="U51" s="165">
        <v>0</v>
      </c>
      <c r="V51" s="165">
        <v>0</v>
      </c>
      <c r="W51" s="165">
        <v>0</v>
      </c>
      <c r="X51" s="165" t="s">
        <v>526</v>
      </c>
      <c r="Y51" s="165">
        <v>0</v>
      </c>
      <c r="Z51" s="165">
        <v>0</v>
      </c>
      <c r="AA51" s="165">
        <v>0</v>
      </c>
      <c r="AB51" s="165">
        <v>0</v>
      </c>
      <c r="AC51" s="166">
        <v>0</v>
      </c>
    </row>
    <row r="52" spans="1:29" x14ac:dyDescent="0.25">
      <c r="A52" s="167" t="s">
        <v>133</v>
      </c>
      <c r="B52" s="168" t="s">
        <v>132</v>
      </c>
      <c r="C52" s="165">
        <v>0.25666666666666665</v>
      </c>
      <c r="D52" s="165">
        <v>0.25666666666666665</v>
      </c>
      <c r="E52" s="170">
        <f t="shared" si="2"/>
        <v>0.25666666666666665</v>
      </c>
      <c r="F52" s="165">
        <v>0</v>
      </c>
      <c r="G52" s="170">
        <v>0</v>
      </c>
      <c r="H52" s="165" t="s">
        <v>526</v>
      </c>
      <c r="I52" s="170">
        <v>0</v>
      </c>
      <c r="J52" s="170">
        <v>0</v>
      </c>
      <c r="K52" s="170">
        <v>0</v>
      </c>
      <c r="L52" s="165" t="s">
        <v>526</v>
      </c>
      <c r="M52" s="170">
        <v>0</v>
      </c>
      <c r="N52" s="170">
        <v>0</v>
      </c>
      <c r="O52" s="170">
        <v>0</v>
      </c>
      <c r="P52" s="165">
        <v>0.25666666666666665</v>
      </c>
      <c r="Q52" s="170">
        <v>0</v>
      </c>
      <c r="R52" s="165">
        <v>0.25666666666666665</v>
      </c>
      <c r="S52" s="170">
        <v>0</v>
      </c>
      <c r="T52" s="165" t="s">
        <v>526</v>
      </c>
      <c r="U52" s="170">
        <v>0</v>
      </c>
      <c r="V52" s="170">
        <v>0</v>
      </c>
      <c r="W52" s="170">
        <v>0</v>
      </c>
      <c r="X52" s="165" t="s">
        <v>526</v>
      </c>
      <c r="Y52" s="170">
        <v>0</v>
      </c>
      <c r="Z52" s="170">
        <v>0</v>
      </c>
      <c r="AA52" s="170">
        <v>0</v>
      </c>
      <c r="AB52" s="165">
        <v>0.25666666666666665</v>
      </c>
      <c r="AC52" s="166">
        <v>0</v>
      </c>
    </row>
    <row r="53" spans="1:29" x14ac:dyDescent="0.25">
      <c r="A53" s="167" t="s">
        <v>131</v>
      </c>
      <c r="B53" s="168" t="s">
        <v>125</v>
      </c>
      <c r="C53" s="165">
        <v>0</v>
      </c>
      <c r="D53" s="165">
        <v>0</v>
      </c>
      <c r="E53" s="170">
        <f t="shared" si="2"/>
        <v>0</v>
      </c>
      <c r="F53" s="165">
        <v>0</v>
      </c>
      <c r="G53" s="170">
        <v>0</v>
      </c>
      <c r="H53" s="165" t="s">
        <v>526</v>
      </c>
      <c r="I53" s="170">
        <v>0</v>
      </c>
      <c r="J53" s="170">
        <v>0</v>
      </c>
      <c r="K53" s="170">
        <v>0</v>
      </c>
      <c r="L53" s="165" t="s">
        <v>526</v>
      </c>
      <c r="M53" s="170">
        <v>0</v>
      </c>
      <c r="N53" s="170">
        <v>0</v>
      </c>
      <c r="O53" s="170">
        <v>0</v>
      </c>
      <c r="P53" s="165">
        <v>0</v>
      </c>
      <c r="Q53" s="170">
        <v>0</v>
      </c>
      <c r="R53" s="165">
        <v>0</v>
      </c>
      <c r="S53" s="170">
        <v>0</v>
      </c>
      <c r="T53" s="165" t="s">
        <v>526</v>
      </c>
      <c r="U53" s="170">
        <v>0</v>
      </c>
      <c r="V53" s="170">
        <v>0</v>
      </c>
      <c r="W53" s="170">
        <v>0</v>
      </c>
      <c r="X53" s="165" t="s">
        <v>526</v>
      </c>
      <c r="Y53" s="170">
        <v>0</v>
      </c>
      <c r="Z53" s="170">
        <v>0</v>
      </c>
      <c r="AA53" s="170">
        <v>0</v>
      </c>
      <c r="AB53" s="165">
        <v>0</v>
      </c>
      <c r="AC53" s="166">
        <v>0</v>
      </c>
    </row>
    <row r="54" spans="1:29" x14ac:dyDescent="0.25">
      <c r="A54" s="167" t="s">
        <v>130</v>
      </c>
      <c r="B54" s="172" t="s">
        <v>124</v>
      </c>
      <c r="C54" s="165">
        <v>0</v>
      </c>
      <c r="D54" s="165">
        <v>0</v>
      </c>
      <c r="E54" s="170">
        <f t="shared" si="2"/>
        <v>0</v>
      </c>
      <c r="F54" s="165">
        <v>0</v>
      </c>
      <c r="G54" s="170">
        <v>0</v>
      </c>
      <c r="H54" s="165" t="s">
        <v>526</v>
      </c>
      <c r="I54" s="170">
        <v>0</v>
      </c>
      <c r="J54" s="170">
        <v>0</v>
      </c>
      <c r="K54" s="170">
        <v>0</v>
      </c>
      <c r="L54" s="165" t="s">
        <v>526</v>
      </c>
      <c r="M54" s="170">
        <v>0</v>
      </c>
      <c r="N54" s="170">
        <v>0</v>
      </c>
      <c r="O54" s="170">
        <v>0</v>
      </c>
      <c r="P54" s="165">
        <v>0</v>
      </c>
      <c r="Q54" s="170">
        <v>0</v>
      </c>
      <c r="R54" s="165">
        <v>0</v>
      </c>
      <c r="S54" s="170">
        <v>0</v>
      </c>
      <c r="T54" s="165" t="s">
        <v>526</v>
      </c>
      <c r="U54" s="170">
        <v>0</v>
      </c>
      <c r="V54" s="170">
        <v>0</v>
      </c>
      <c r="W54" s="170">
        <v>0</v>
      </c>
      <c r="X54" s="165" t="s">
        <v>526</v>
      </c>
      <c r="Y54" s="170">
        <v>0</v>
      </c>
      <c r="Z54" s="170">
        <v>0</v>
      </c>
      <c r="AA54" s="170">
        <v>0</v>
      </c>
      <c r="AB54" s="165">
        <v>0</v>
      </c>
      <c r="AC54" s="166">
        <v>0</v>
      </c>
    </row>
    <row r="55" spans="1:29" x14ac:dyDescent="0.25">
      <c r="A55" s="167" t="s">
        <v>129</v>
      </c>
      <c r="B55" s="172" t="s">
        <v>123</v>
      </c>
      <c r="C55" s="165">
        <v>0</v>
      </c>
      <c r="D55" s="165">
        <v>0</v>
      </c>
      <c r="E55" s="170">
        <f t="shared" si="2"/>
        <v>0</v>
      </c>
      <c r="F55" s="165">
        <v>0</v>
      </c>
      <c r="G55" s="170">
        <v>0</v>
      </c>
      <c r="H55" s="165" t="s">
        <v>526</v>
      </c>
      <c r="I55" s="170">
        <v>0</v>
      </c>
      <c r="J55" s="170">
        <v>0</v>
      </c>
      <c r="K55" s="170">
        <v>0</v>
      </c>
      <c r="L55" s="165" t="s">
        <v>526</v>
      </c>
      <c r="M55" s="170">
        <v>0</v>
      </c>
      <c r="N55" s="170">
        <v>0</v>
      </c>
      <c r="O55" s="170">
        <v>0</v>
      </c>
      <c r="P55" s="165">
        <v>0</v>
      </c>
      <c r="Q55" s="170">
        <v>0</v>
      </c>
      <c r="R55" s="165">
        <v>0</v>
      </c>
      <c r="S55" s="170">
        <v>0</v>
      </c>
      <c r="T55" s="165" t="s">
        <v>526</v>
      </c>
      <c r="U55" s="170">
        <v>0</v>
      </c>
      <c r="V55" s="170">
        <v>0</v>
      </c>
      <c r="W55" s="170">
        <v>0</v>
      </c>
      <c r="X55" s="165" t="s">
        <v>526</v>
      </c>
      <c r="Y55" s="170">
        <v>0</v>
      </c>
      <c r="Z55" s="170">
        <v>0</v>
      </c>
      <c r="AA55" s="170">
        <v>0</v>
      </c>
      <c r="AB55" s="165">
        <v>0</v>
      </c>
      <c r="AC55" s="166">
        <v>0</v>
      </c>
    </row>
    <row r="56" spans="1:29" x14ac:dyDescent="0.25">
      <c r="A56" s="167" t="s">
        <v>128</v>
      </c>
      <c r="B56" s="172" t="s">
        <v>122</v>
      </c>
      <c r="C56" s="165">
        <v>0</v>
      </c>
      <c r="D56" s="165">
        <v>0</v>
      </c>
      <c r="E56" s="170">
        <f t="shared" si="2"/>
        <v>0</v>
      </c>
      <c r="F56" s="165">
        <v>0</v>
      </c>
      <c r="G56" s="170">
        <v>0</v>
      </c>
      <c r="H56" s="165" t="s">
        <v>526</v>
      </c>
      <c r="I56" s="170">
        <v>0</v>
      </c>
      <c r="J56" s="170">
        <v>0</v>
      </c>
      <c r="K56" s="170">
        <v>0</v>
      </c>
      <c r="L56" s="165" t="s">
        <v>526</v>
      </c>
      <c r="M56" s="170">
        <v>0</v>
      </c>
      <c r="N56" s="170">
        <v>0</v>
      </c>
      <c r="O56" s="170">
        <v>0</v>
      </c>
      <c r="P56" s="165">
        <v>0</v>
      </c>
      <c r="Q56" s="170">
        <v>0</v>
      </c>
      <c r="R56" s="165">
        <v>0</v>
      </c>
      <c r="S56" s="170">
        <v>0</v>
      </c>
      <c r="T56" s="165" t="s">
        <v>526</v>
      </c>
      <c r="U56" s="170">
        <v>0</v>
      </c>
      <c r="V56" s="170">
        <v>0</v>
      </c>
      <c r="W56" s="170">
        <v>0</v>
      </c>
      <c r="X56" s="165" t="s">
        <v>526</v>
      </c>
      <c r="Y56" s="170">
        <v>0</v>
      </c>
      <c r="Z56" s="170">
        <v>0</v>
      </c>
      <c r="AA56" s="170">
        <v>0</v>
      </c>
      <c r="AB56" s="165">
        <v>0</v>
      </c>
      <c r="AC56" s="166">
        <v>0</v>
      </c>
    </row>
    <row r="57" spans="1:29" ht="18.75" x14ac:dyDescent="0.25">
      <c r="A57" s="167" t="s">
        <v>127</v>
      </c>
      <c r="B57" s="172" t="s">
        <v>544</v>
      </c>
      <c r="C57" s="165">
        <v>0</v>
      </c>
      <c r="D57" s="165">
        <v>0</v>
      </c>
      <c r="E57" s="170">
        <f t="shared" si="2"/>
        <v>0</v>
      </c>
      <c r="F57" s="165">
        <v>0</v>
      </c>
      <c r="G57" s="170">
        <v>0</v>
      </c>
      <c r="H57" s="165" t="s">
        <v>526</v>
      </c>
      <c r="I57" s="170">
        <v>0</v>
      </c>
      <c r="J57" s="170">
        <v>0</v>
      </c>
      <c r="K57" s="170">
        <v>0</v>
      </c>
      <c r="L57" s="165" t="s">
        <v>526</v>
      </c>
      <c r="M57" s="170">
        <v>0</v>
      </c>
      <c r="N57" s="170">
        <v>0</v>
      </c>
      <c r="O57" s="170">
        <v>0</v>
      </c>
      <c r="P57" s="165">
        <v>0</v>
      </c>
      <c r="Q57" s="170">
        <v>0</v>
      </c>
      <c r="R57" s="165">
        <v>0</v>
      </c>
      <c r="S57" s="170">
        <v>0</v>
      </c>
      <c r="T57" s="165" t="s">
        <v>526</v>
      </c>
      <c r="U57" s="170">
        <v>0</v>
      </c>
      <c r="V57" s="170">
        <v>0</v>
      </c>
      <c r="W57" s="170">
        <v>0</v>
      </c>
      <c r="X57" s="165" t="s">
        <v>526</v>
      </c>
      <c r="Y57" s="170">
        <v>0</v>
      </c>
      <c r="Z57" s="170">
        <v>0</v>
      </c>
      <c r="AA57" s="170">
        <v>0</v>
      </c>
      <c r="AB57" s="165">
        <v>0</v>
      </c>
      <c r="AC57" s="166">
        <v>0</v>
      </c>
    </row>
    <row r="58" spans="1:29" ht="36.75" customHeight="1" x14ac:dyDescent="0.25">
      <c r="A58" s="163" t="s">
        <v>56</v>
      </c>
      <c r="B58" s="173" t="s">
        <v>224</v>
      </c>
      <c r="C58" s="165">
        <v>0</v>
      </c>
      <c r="D58" s="165">
        <v>0</v>
      </c>
      <c r="E58" s="171">
        <f t="shared" si="2"/>
        <v>0</v>
      </c>
      <c r="F58" s="165">
        <v>0</v>
      </c>
      <c r="G58" s="165">
        <v>0</v>
      </c>
      <c r="H58" s="165" t="s">
        <v>526</v>
      </c>
      <c r="I58" s="165">
        <v>0</v>
      </c>
      <c r="J58" s="165">
        <v>0</v>
      </c>
      <c r="K58" s="165">
        <v>0</v>
      </c>
      <c r="L58" s="165" t="s">
        <v>526</v>
      </c>
      <c r="M58" s="165">
        <v>0</v>
      </c>
      <c r="N58" s="165">
        <v>0</v>
      </c>
      <c r="O58" s="165">
        <v>0</v>
      </c>
      <c r="P58" s="165">
        <v>0</v>
      </c>
      <c r="Q58" s="165">
        <v>0</v>
      </c>
      <c r="R58" s="165">
        <v>0</v>
      </c>
      <c r="S58" s="165">
        <v>0</v>
      </c>
      <c r="T58" s="165" t="s">
        <v>526</v>
      </c>
      <c r="U58" s="165">
        <v>0</v>
      </c>
      <c r="V58" s="165">
        <v>0</v>
      </c>
      <c r="W58" s="165">
        <v>0</v>
      </c>
      <c r="X58" s="165" t="s">
        <v>526</v>
      </c>
      <c r="Y58" s="165">
        <v>0</v>
      </c>
      <c r="Z58" s="165">
        <v>0</v>
      </c>
      <c r="AA58" s="165">
        <v>0</v>
      </c>
      <c r="AB58" s="165">
        <v>0</v>
      </c>
      <c r="AC58" s="166">
        <v>0</v>
      </c>
    </row>
    <row r="59" spans="1:29" x14ac:dyDescent="0.25">
      <c r="A59" s="163" t="s">
        <v>54</v>
      </c>
      <c r="B59" s="164" t="s">
        <v>126</v>
      </c>
      <c r="C59" s="165">
        <v>0</v>
      </c>
      <c r="D59" s="165">
        <v>0</v>
      </c>
      <c r="E59" s="171">
        <f t="shared" si="2"/>
        <v>0</v>
      </c>
      <c r="F59" s="165">
        <v>0</v>
      </c>
      <c r="G59" s="165">
        <v>0</v>
      </c>
      <c r="H59" s="165" t="s">
        <v>526</v>
      </c>
      <c r="I59" s="165">
        <v>0</v>
      </c>
      <c r="J59" s="165">
        <v>0</v>
      </c>
      <c r="K59" s="165">
        <v>0</v>
      </c>
      <c r="L59" s="165" t="s">
        <v>526</v>
      </c>
      <c r="M59" s="165">
        <v>0</v>
      </c>
      <c r="N59" s="165">
        <v>0</v>
      </c>
      <c r="O59" s="165">
        <v>0</v>
      </c>
      <c r="P59" s="165">
        <v>0</v>
      </c>
      <c r="Q59" s="165">
        <v>0</v>
      </c>
      <c r="R59" s="165">
        <v>0</v>
      </c>
      <c r="S59" s="165">
        <v>0</v>
      </c>
      <c r="T59" s="165" t="s">
        <v>526</v>
      </c>
      <c r="U59" s="165">
        <v>0</v>
      </c>
      <c r="V59" s="165">
        <v>0</v>
      </c>
      <c r="W59" s="165">
        <v>0</v>
      </c>
      <c r="X59" s="165" t="s">
        <v>526</v>
      </c>
      <c r="Y59" s="165">
        <v>0</v>
      </c>
      <c r="Z59" s="165">
        <v>0</v>
      </c>
      <c r="AA59" s="165">
        <v>0</v>
      </c>
      <c r="AB59" s="165">
        <v>0</v>
      </c>
      <c r="AC59" s="166">
        <v>0</v>
      </c>
    </row>
    <row r="60" spans="1:29" x14ac:dyDescent="0.25">
      <c r="A60" s="167" t="s">
        <v>218</v>
      </c>
      <c r="B60" s="51" t="s">
        <v>146</v>
      </c>
      <c r="C60" s="165">
        <v>0</v>
      </c>
      <c r="D60" s="165">
        <v>0</v>
      </c>
      <c r="E60" s="170">
        <f t="shared" si="2"/>
        <v>0</v>
      </c>
      <c r="F60" s="165">
        <v>0</v>
      </c>
      <c r="G60" s="170">
        <v>0</v>
      </c>
      <c r="H60" s="165" t="s">
        <v>526</v>
      </c>
      <c r="I60" s="170">
        <v>0</v>
      </c>
      <c r="J60" s="170">
        <v>0</v>
      </c>
      <c r="K60" s="170">
        <v>0</v>
      </c>
      <c r="L60" s="165" t="s">
        <v>526</v>
      </c>
      <c r="M60" s="170">
        <v>0</v>
      </c>
      <c r="N60" s="170">
        <v>0</v>
      </c>
      <c r="O60" s="170">
        <v>0</v>
      </c>
      <c r="P60" s="165">
        <v>0</v>
      </c>
      <c r="Q60" s="170">
        <v>0</v>
      </c>
      <c r="R60" s="165">
        <v>0</v>
      </c>
      <c r="S60" s="170">
        <v>0</v>
      </c>
      <c r="T60" s="165" t="s">
        <v>526</v>
      </c>
      <c r="U60" s="170">
        <v>0</v>
      </c>
      <c r="V60" s="170">
        <v>0</v>
      </c>
      <c r="W60" s="170">
        <v>0</v>
      </c>
      <c r="X60" s="165" t="s">
        <v>526</v>
      </c>
      <c r="Y60" s="170">
        <v>0</v>
      </c>
      <c r="Z60" s="170">
        <v>0</v>
      </c>
      <c r="AA60" s="170">
        <v>0</v>
      </c>
      <c r="AB60" s="165">
        <v>0</v>
      </c>
      <c r="AC60" s="166">
        <v>0</v>
      </c>
    </row>
    <row r="61" spans="1:29" x14ac:dyDescent="0.25">
      <c r="A61" s="167" t="s">
        <v>219</v>
      </c>
      <c r="B61" s="51" t="s">
        <v>144</v>
      </c>
      <c r="C61" s="165">
        <v>0</v>
      </c>
      <c r="D61" s="165">
        <v>0</v>
      </c>
      <c r="E61" s="170">
        <f t="shared" si="2"/>
        <v>0</v>
      </c>
      <c r="F61" s="165">
        <v>0</v>
      </c>
      <c r="G61" s="170">
        <v>0</v>
      </c>
      <c r="H61" s="165" t="s">
        <v>526</v>
      </c>
      <c r="I61" s="170">
        <v>0</v>
      </c>
      <c r="J61" s="170">
        <v>0</v>
      </c>
      <c r="K61" s="170">
        <v>0</v>
      </c>
      <c r="L61" s="165" t="s">
        <v>526</v>
      </c>
      <c r="M61" s="170">
        <v>0</v>
      </c>
      <c r="N61" s="170">
        <v>0</v>
      </c>
      <c r="O61" s="170">
        <v>0</v>
      </c>
      <c r="P61" s="165">
        <v>0</v>
      </c>
      <c r="Q61" s="170">
        <v>0</v>
      </c>
      <c r="R61" s="165">
        <v>0</v>
      </c>
      <c r="S61" s="170">
        <v>0</v>
      </c>
      <c r="T61" s="165" t="s">
        <v>526</v>
      </c>
      <c r="U61" s="170">
        <v>0</v>
      </c>
      <c r="V61" s="170">
        <v>0</v>
      </c>
      <c r="W61" s="170">
        <v>0</v>
      </c>
      <c r="X61" s="165" t="s">
        <v>526</v>
      </c>
      <c r="Y61" s="170">
        <v>0</v>
      </c>
      <c r="Z61" s="170">
        <v>0</v>
      </c>
      <c r="AA61" s="170">
        <v>0</v>
      </c>
      <c r="AB61" s="165">
        <v>0</v>
      </c>
      <c r="AC61" s="166">
        <v>0</v>
      </c>
    </row>
    <row r="62" spans="1:29" x14ac:dyDescent="0.25">
      <c r="A62" s="167" t="s">
        <v>220</v>
      </c>
      <c r="B62" s="51" t="s">
        <v>142</v>
      </c>
      <c r="C62" s="165">
        <v>0</v>
      </c>
      <c r="D62" s="165">
        <v>0</v>
      </c>
      <c r="E62" s="170">
        <f t="shared" si="2"/>
        <v>0</v>
      </c>
      <c r="F62" s="165">
        <v>0</v>
      </c>
      <c r="G62" s="170">
        <v>0</v>
      </c>
      <c r="H62" s="165" t="s">
        <v>526</v>
      </c>
      <c r="I62" s="170">
        <v>0</v>
      </c>
      <c r="J62" s="170">
        <v>0</v>
      </c>
      <c r="K62" s="170">
        <v>0</v>
      </c>
      <c r="L62" s="165" t="s">
        <v>526</v>
      </c>
      <c r="M62" s="170">
        <v>0</v>
      </c>
      <c r="N62" s="170">
        <v>0</v>
      </c>
      <c r="O62" s="170">
        <v>0</v>
      </c>
      <c r="P62" s="165">
        <v>0</v>
      </c>
      <c r="Q62" s="170">
        <v>0</v>
      </c>
      <c r="R62" s="165">
        <v>0</v>
      </c>
      <c r="S62" s="170">
        <v>0</v>
      </c>
      <c r="T62" s="165" t="s">
        <v>526</v>
      </c>
      <c r="U62" s="170">
        <v>0</v>
      </c>
      <c r="V62" s="170">
        <v>0</v>
      </c>
      <c r="W62" s="170">
        <v>0</v>
      </c>
      <c r="X62" s="165" t="s">
        <v>526</v>
      </c>
      <c r="Y62" s="170">
        <v>0</v>
      </c>
      <c r="Z62" s="170">
        <v>0</v>
      </c>
      <c r="AA62" s="170">
        <v>0</v>
      </c>
      <c r="AB62" s="165">
        <v>0</v>
      </c>
      <c r="AC62" s="166">
        <v>0</v>
      </c>
    </row>
    <row r="63" spans="1:29" x14ac:dyDescent="0.25">
      <c r="A63" s="167" t="s">
        <v>221</v>
      </c>
      <c r="B63" s="51" t="s">
        <v>223</v>
      </c>
      <c r="C63" s="165">
        <v>0</v>
      </c>
      <c r="D63" s="165">
        <v>0</v>
      </c>
      <c r="E63" s="170">
        <f t="shared" si="2"/>
        <v>0</v>
      </c>
      <c r="F63" s="165">
        <v>0</v>
      </c>
      <c r="G63" s="170">
        <v>0</v>
      </c>
      <c r="H63" s="165" t="s">
        <v>526</v>
      </c>
      <c r="I63" s="170">
        <v>0</v>
      </c>
      <c r="J63" s="170">
        <v>0</v>
      </c>
      <c r="K63" s="170">
        <v>0</v>
      </c>
      <c r="L63" s="165" t="s">
        <v>526</v>
      </c>
      <c r="M63" s="170">
        <v>0</v>
      </c>
      <c r="N63" s="170">
        <v>0</v>
      </c>
      <c r="O63" s="170">
        <v>0</v>
      </c>
      <c r="P63" s="165">
        <v>0</v>
      </c>
      <c r="Q63" s="170">
        <v>0</v>
      </c>
      <c r="R63" s="165">
        <v>0</v>
      </c>
      <c r="S63" s="170">
        <v>0</v>
      </c>
      <c r="T63" s="165" t="s">
        <v>526</v>
      </c>
      <c r="U63" s="170">
        <v>0</v>
      </c>
      <c r="V63" s="170">
        <v>0</v>
      </c>
      <c r="W63" s="170">
        <v>0</v>
      </c>
      <c r="X63" s="165" t="s">
        <v>526</v>
      </c>
      <c r="Y63" s="170">
        <v>0</v>
      </c>
      <c r="Z63" s="170">
        <v>0</v>
      </c>
      <c r="AA63" s="170">
        <v>0</v>
      </c>
      <c r="AB63" s="165">
        <v>0</v>
      </c>
      <c r="AC63" s="166">
        <v>0</v>
      </c>
    </row>
    <row r="64" spans="1:29" ht="18.75" x14ac:dyDescent="0.25">
      <c r="A64" s="167" t="s">
        <v>222</v>
      </c>
      <c r="B64" s="172" t="s">
        <v>544</v>
      </c>
      <c r="C64" s="165">
        <v>0</v>
      </c>
      <c r="D64" s="165">
        <v>0</v>
      </c>
      <c r="E64" s="170">
        <f t="shared" si="2"/>
        <v>0</v>
      </c>
      <c r="F64" s="165">
        <f t="shared" ref="F25:F64" si="4">D64</f>
        <v>0</v>
      </c>
      <c r="G64" s="170">
        <v>0</v>
      </c>
      <c r="H64" s="170">
        <v>0</v>
      </c>
      <c r="I64" s="170">
        <v>0</v>
      </c>
      <c r="J64" s="170">
        <v>0</v>
      </c>
      <c r="K64" s="170">
        <v>0</v>
      </c>
      <c r="L64" s="170">
        <v>0</v>
      </c>
      <c r="M64" s="170">
        <v>0</v>
      </c>
      <c r="N64" s="170">
        <v>0</v>
      </c>
      <c r="O64" s="170">
        <v>0</v>
      </c>
      <c r="P64" s="170">
        <v>0</v>
      </c>
      <c r="Q64" s="170">
        <v>0</v>
      </c>
      <c r="R64" s="165">
        <v>0</v>
      </c>
      <c r="S64" s="170">
        <v>0</v>
      </c>
      <c r="T64" s="170">
        <f>C64</f>
        <v>0</v>
      </c>
      <c r="U64" s="170">
        <v>0</v>
      </c>
      <c r="V64" s="170">
        <v>0</v>
      </c>
      <c r="W64" s="170">
        <v>0</v>
      </c>
      <c r="X64" s="165" t="s">
        <v>526</v>
      </c>
      <c r="Y64" s="170">
        <v>0</v>
      </c>
      <c r="Z64" s="170">
        <v>0</v>
      </c>
      <c r="AA64" s="170">
        <v>0</v>
      </c>
      <c r="AB64" s="165">
        <v>0</v>
      </c>
      <c r="AC64" s="166">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7"/>
      <c r="C66" s="407"/>
      <c r="D66" s="407"/>
      <c r="E66" s="407"/>
      <c r="F66" s="407"/>
      <c r="G66" s="407"/>
      <c r="H66" s="407"/>
      <c r="I66" s="407"/>
      <c r="J66" s="407"/>
      <c r="K66" s="407"/>
      <c r="L66" s="407"/>
      <c r="M66" s="407"/>
      <c r="N66" s="46"/>
      <c r="O66" s="46"/>
      <c r="P66" s="46"/>
      <c r="Q66" s="46"/>
      <c r="R66" s="46"/>
      <c r="S66" s="46"/>
      <c r="T66" s="46"/>
      <c r="U66" s="46"/>
      <c r="V66" s="46"/>
      <c r="W66" s="46"/>
      <c r="X66" s="46"/>
      <c r="Y66" s="46"/>
      <c r="Z66" s="46"/>
      <c r="AA66" s="46"/>
      <c r="AB66" s="47"/>
    </row>
    <row r="68" spans="1:28" ht="50.25" customHeight="1" x14ac:dyDescent="0.25">
      <c r="B68" s="407"/>
      <c r="C68" s="407"/>
      <c r="D68" s="407"/>
      <c r="E68" s="407"/>
      <c r="F68" s="407"/>
      <c r="G68" s="407"/>
      <c r="H68" s="407"/>
      <c r="I68" s="407"/>
      <c r="J68" s="407"/>
      <c r="K68" s="407"/>
      <c r="L68" s="407"/>
      <c r="M68" s="407"/>
      <c r="N68" s="46"/>
      <c r="O68" s="46"/>
      <c r="P68" s="46"/>
      <c r="Q68" s="46"/>
      <c r="R68" s="46"/>
      <c r="S68" s="46"/>
      <c r="T68" s="46"/>
      <c r="U68" s="46"/>
      <c r="V68" s="46"/>
      <c r="W68" s="46"/>
      <c r="X68" s="46"/>
      <c r="Y68" s="46"/>
      <c r="Z68" s="46"/>
      <c r="AA68" s="46"/>
    </row>
    <row r="70" spans="1:28" ht="36.75" customHeight="1" x14ac:dyDescent="0.25">
      <c r="B70" s="407"/>
      <c r="C70" s="407"/>
      <c r="D70" s="407"/>
      <c r="E70" s="407"/>
      <c r="F70" s="407"/>
      <c r="G70" s="407"/>
      <c r="H70" s="407"/>
      <c r="I70" s="407"/>
      <c r="J70" s="407"/>
      <c r="K70" s="407"/>
      <c r="L70" s="407"/>
      <c r="M70" s="407"/>
      <c r="N70" s="46"/>
      <c r="O70" s="46"/>
      <c r="P70" s="46"/>
      <c r="Q70" s="46"/>
      <c r="R70" s="46"/>
      <c r="S70" s="46"/>
      <c r="T70" s="46"/>
      <c r="U70" s="46"/>
      <c r="V70" s="46"/>
      <c r="W70" s="46"/>
      <c r="X70" s="46"/>
      <c r="Y70" s="46"/>
      <c r="Z70" s="46"/>
      <c r="AA70" s="46"/>
    </row>
    <row r="72" spans="1:28" ht="51" customHeight="1" x14ac:dyDescent="0.25">
      <c r="B72" s="407"/>
      <c r="C72" s="407"/>
      <c r="D72" s="407"/>
      <c r="E72" s="407"/>
      <c r="F72" s="407"/>
      <c r="G72" s="407"/>
      <c r="H72" s="407"/>
      <c r="I72" s="407"/>
      <c r="J72" s="407"/>
      <c r="K72" s="407"/>
      <c r="L72" s="407"/>
      <c r="M72" s="407"/>
      <c r="N72" s="46"/>
      <c r="O72" s="46"/>
      <c r="P72" s="46"/>
      <c r="Q72" s="46"/>
      <c r="R72" s="46"/>
      <c r="S72" s="46"/>
      <c r="T72" s="46"/>
      <c r="U72" s="46"/>
      <c r="V72" s="46"/>
      <c r="W72" s="46"/>
      <c r="X72" s="46"/>
      <c r="Y72" s="46"/>
      <c r="Z72" s="46"/>
      <c r="AA72" s="46"/>
    </row>
    <row r="73" spans="1:28" ht="32.25" customHeight="1" x14ac:dyDescent="0.25">
      <c r="B73" s="407"/>
      <c r="C73" s="407"/>
      <c r="D73" s="407"/>
      <c r="E73" s="407"/>
      <c r="F73" s="407"/>
      <c r="G73" s="407"/>
      <c r="H73" s="407"/>
      <c r="I73" s="407"/>
      <c r="J73" s="407"/>
      <c r="K73" s="407"/>
      <c r="L73" s="407"/>
      <c r="M73" s="407"/>
      <c r="N73" s="46"/>
      <c r="O73" s="46"/>
      <c r="P73" s="46"/>
      <c r="Q73" s="46"/>
      <c r="R73" s="46"/>
      <c r="S73" s="46"/>
      <c r="T73" s="46"/>
      <c r="U73" s="46"/>
      <c r="V73" s="46"/>
      <c r="W73" s="46"/>
      <c r="X73" s="46"/>
      <c r="Y73" s="46"/>
      <c r="Z73" s="46"/>
      <c r="AA73" s="46"/>
    </row>
    <row r="74" spans="1:28" ht="51.75" customHeight="1" x14ac:dyDescent="0.25">
      <c r="B74" s="407"/>
      <c r="C74" s="407"/>
      <c r="D74" s="407"/>
      <c r="E74" s="407"/>
      <c r="F74" s="407"/>
      <c r="G74" s="407"/>
      <c r="H74" s="407"/>
      <c r="I74" s="407"/>
      <c r="J74" s="407"/>
      <c r="K74" s="407"/>
      <c r="L74" s="407"/>
      <c r="M74" s="407"/>
      <c r="N74" s="46"/>
      <c r="O74" s="46"/>
      <c r="P74" s="46"/>
      <c r="Q74" s="46"/>
      <c r="R74" s="46"/>
      <c r="S74" s="46"/>
      <c r="T74" s="46"/>
      <c r="U74" s="46"/>
      <c r="V74" s="46"/>
      <c r="W74" s="46"/>
      <c r="X74" s="46"/>
      <c r="Y74" s="46"/>
      <c r="Z74" s="46"/>
      <c r="AA74" s="46"/>
    </row>
    <row r="75" spans="1:28" ht="21.75" customHeight="1" x14ac:dyDescent="0.25">
      <c r="B75" s="408"/>
      <c r="C75" s="408"/>
      <c r="D75" s="408"/>
      <c r="E75" s="408"/>
      <c r="F75" s="408"/>
      <c r="G75" s="408"/>
      <c r="H75" s="408"/>
      <c r="I75" s="408"/>
      <c r="J75" s="408"/>
      <c r="K75" s="408"/>
      <c r="L75" s="408"/>
      <c r="M75" s="408"/>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6"/>
      <c r="C77" s="406"/>
      <c r="D77" s="406"/>
      <c r="E77" s="406"/>
      <c r="F77" s="406"/>
      <c r="G77" s="406"/>
      <c r="H77" s="406"/>
      <c r="I77" s="406"/>
      <c r="J77" s="406"/>
      <c r="K77" s="406"/>
      <c r="L77" s="406"/>
      <c r="M77" s="406"/>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C25:D64 M24:O63 Q24:S63 U24:W63 L64:W64 F25:G64">
    <cfRule type="cellIs" dxfId="11" priority="13" operator="notEqual">
      <formula>0</formula>
    </cfRule>
  </conditionalFormatting>
  <conditionalFormatting sqref="AC24:AC64">
    <cfRule type="cellIs" dxfId="10" priority="12" operator="notEqual">
      <formula>0</formula>
    </cfRule>
  </conditionalFormatting>
  <conditionalFormatting sqref="E25:E64">
    <cfRule type="cellIs" dxfId="9" priority="11" operator="notEqual">
      <formula>0</formula>
    </cfRule>
  </conditionalFormatting>
  <conditionalFormatting sqref="L24:L63">
    <cfRule type="cellIs" dxfId="8" priority="9" operator="notEqual">
      <formula>0</formula>
    </cfRule>
  </conditionalFormatting>
  <conditionalFormatting sqref="P24:P63">
    <cfRule type="cellIs" dxfId="7" priority="8" operator="notEqual">
      <formula>0</formula>
    </cfRule>
  </conditionalFormatting>
  <conditionalFormatting sqref="T24:T63">
    <cfRule type="cellIs" dxfId="6" priority="7" operator="notEqual">
      <formula>0</formula>
    </cfRule>
  </conditionalFormatting>
  <conditionalFormatting sqref="H64:K64 I24:K63">
    <cfRule type="cellIs" dxfId="5" priority="6" operator="notEqual">
      <formula>0</formula>
    </cfRule>
  </conditionalFormatting>
  <conditionalFormatting sqref="H24:H63">
    <cfRule type="cellIs" dxfId="4" priority="5" operator="notEqual">
      <formula>0</formula>
    </cfRule>
  </conditionalFormatting>
  <conditionalFormatting sqref="Y24:Y64">
    <cfRule type="cellIs" dxfId="3" priority="4" operator="notEqual">
      <formula>0</formula>
    </cfRule>
  </conditionalFormatting>
  <conditionalFormatting sqref="X24:X64">
    <cfRule type="cellIs" dxfId="2" priority="3" operator="notEqual">
      <formula>0</formula>
    </cfRule>
  </conditionalFormatting>
  <conditionalFormatting sqref="Z24:AA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38" t="s">
        <v>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7" t="str">
        <f>'1. паспорт местоположение'!A12:C12</f>
        <v>M 22-05</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38" t="s">
        <v>5</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43.5" customHeight="1" x14ac:dyDescent="0.25">
      <c r="A15" s="344" t="str">
        <f>'1. паспорт местоположение'!A15</f>
        <v>Приобретение аппарата испытания диэлектриков АИД-70М</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row>
    <row r="16" spans="1:48" ht="15.75" x14ac:dyDescent="0.25">
      <c r="A16" s="338" t="s">
        <v>4</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12" t="s">
        <v>492</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ht="58.5" customHeight="1" x14ac:dyDescent="0.25">
      <c r="A22" s="413" t="s">
        <v>50</v>
      </c>
      <c r="B22" s="416" t="s">
        <v>22</v>
      </c>
      <c r="C22" s="413" t="s">
        <v>49</v>
      </c>
      <c r="D22" s="413" t="s">
        <v>48</v>
      </c>
      <c r="E22" s="419" t="s">
        <v>503</v>
      </c>
      <c r="F22" s="420"/>
      <c r="G22" s="420"/>
      <c r="H22" s="420"/>
      <c r="I22" s="420"/>
      <c r="J22" s="420"/>
      <c r="K22" s="420"/>
      <c r="L22" s="421"/>
      <c r="M22" s="413" t="s">
        <v>47</v>
      </c>
      <c r="N22" s="413" t="s">
        <v>46</v>
      </c>
      <c r="O22" s="413" t="s">
        <v>45</v>
      </c>
      <c r="P22" s="422" t="s">
        <v>253</v>
      </c>
      <c r="Q22" s="422" t="s">
        <v>44</v>
      </c>
      <c r="R22" s="422" t="s">
        <v>43</v>
      </c>
      <c r="S22" s="422" t="s">
        <v>42</v>
      </c>
      <c r="T22" s="422"/>
      <c r="U22" s="423" t="s">
        <v>41</v>
      </c>
      <c r="V22" s="423" t="s">
        <v>40</v>
      </c>
      <c r="W22" s="422" t="s">
        <v>39</v>
      </c>
      <c r="X22" s="422" t="s">
        <v>38</v>
      </c>
      <c r="Y22" s="422" t="s">
        <v>37</v>
      </c>
      <c r="Z22" s="436" t="s">
        <v>36</v>
      </c>
      <c r="AA22" s="422" t="s">
        <v>35</v>
      </c>
      <c r="AB22" s="422" t="s">
        <v>34</v>
      </c>
      <c r="AC22" s="422" t="s">
        <v>33</v>
      </c>
      <c r="AD22" s="422" t="s">
        <v>32</v>
      </c>
      <c r="AE22" s="422" t="s">
        <v>31</v>
      </c>
      <c r="AF22" s="422" t="s">
        <v>30</v>
      </c>
      <c r="AG22" s="422"/>
      <c r="AH22" s="422"/>
      <c r="AI22" s="422"/>
      <c r="AJ22" s="422"/>
      <c r="AK22" s="422"/>
      <c r="AL22" s="422" t="s">
        <v>29</v>
      </c>
      <c r="AM22" s="422"/>
      <c r="AN22" s="422"/>
      <c r="AO22" s="422"/>
      <c r="AP22" s="422" t="s">
        <v>28</v>
      </c>
      <c r="AQ22" s="422"/>
      <c r="AR22" s="422" t="s">
        <v>27</v>
      </c>
      <c r="AS22" s="422" t="s">
        <v>26</v>
      </c>
      <c r="AT22" s="422" t="s">
        <v>25</v>
      </c>
      <c r="AU22" s="422" t="s">
        <v>24</v>
      </c>
      <c r="AV22" s="426" t="s">
        <v>23</v>
      </c>
    </row>
    <row r="23" spans="1:48" ht="64.5" customHeight="1" x14ac:dyDescent="0.25">
      <c r="A23" s="414"/>
      <c r="B23" s="417"/>
      <c r="C23" s="414"/>
      <c r="D23" s="414"/>
      <c r="E23" s="428" t="s">
        <v>21</v>
      </c>
      <c r="F23" s="430" t="s">
        <v>125</v>
      </c>
      <c r="G23" s="430" t="s">
        <v>124</v>
      </c>
      <c r="H23" s="430" t="s">
        <v>123</v>
      </c>
      <c r="I23" s="434" t="s">
        <v>413</v>
      </c>
      <c r="J23" s="434" t="s">
        <v>414</v>
      </c>
      <c r="K23" s="434" t="s">
        <v>415</v>
      </c>
      <c r="L23" s="430" t="s">
        <v>536</v>
      </c>
      <c r="M23" s="414"/>
      <c r="N23" s="414"/>
      <c r="O23" s="414"/>
      <c r="P23" s="422"/>
      <c r="Q23" s="422"/>
      <c r="R23" s="422"/>
      <c r="S23" s="432" t="s">
        <v>2</v>
      </c>
      <c r="T23" s="432" t="s">
        <v>9</v>
      </c>
      <c r="U23" s="423"/>
      <c r="V23" s="423"/>
      <c r="W23" s="422"/>
      <c r="X23" s="422"/>
      <c r="Y23" s="422"/>
      <c r="Z23" s="422"/>
      <c r="AA23" s="422"/>
      <c r="AB23" s="422"/>
      <c r="AC23" s="422"/>
      <c r="AD23" s="422"/>
      <c r="AE23" s="422"/>
      <c r="AF23" s="422" t="s">
        <v>20</v>
      </c>
      <c r="AG23" s="422"/>
      <c r="AH23" s="422" t="s">
        <v>19</v>
      </c>
      <c r="AI23" s="422"/>
      <c r="AJ23" s="413" t="s">
        <v>18</v>
      </c>
      <c r="AK23" s="413" t="s">
        <v>17</v>
      </c>
      <c r="AL23" s="413" t="s">
        <v>16</v>
      </c>
      <c r="AM23" s="413" t="s">
        <v>15</v>
      </c>
      <c r="AN23" s="413" t="s">
        <v>14</v>
      </c>
      <c r="AO23" s="413" t="s">
        <v>13</v>
      </c>
      <c r="AP23" s="413" t="s">
        <v>12</v>
      </c>
      <c r="AQ23" s="424" t="s">
        <v>9</v>
      </c>
      <c r="AR23" s="422"/>
      <c r="AS23" s="422"/>
      <c r="AT23" s="422"/>
      <c r="AU23" s="422"/>
      <c r="AV23" s="427"/>
    </row>
    <row r="24" spans="1:48"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12" t="s">
        <v>11</v>
      </c>
      <c r="AG24" s="112" t="s">
        <v>10</v>
      </c>
      <c r="AH24" s="113" t="s">
        <v>2</v>
      </c>
      <c r="AI24" s="113" t="s">
        <v>9</v>
      </c>
      <c r="AJ24" s="415"/>
      <c r="AK24" s="415"/>
      <c r="AL24" s="415"/>
      <c r="AM24" s="415"/>
      <c r="AN24" s="415"/>
      <c r="AO24" s="415"/>
      <c r="AP24" s="415"/>
      <c r="AQ24" s="425"/>
      <c r="AR24" s="422"/>
      <c r="AS24" s="422"/>
      <c r="AT24" s="422"/>
      <c r="AU24" s="422"/>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58" zoomScale="90" zoomScaleNormal="90" zoomScaleSheetLayoutView="90" workbookViewId="0">
      <selection activeCell="B21" sqref="B21"/>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7" t="str">
        <f>'7. Паспорт отчет о закупке'!A5:AV5</f>
        <v>Год раскрытия информации: 2023 год</v>
      </c>
      <c r="B5" s="437"/>
      <c r="C5" s="56"/>
      <c r="D5" s="56"/>
      <c r="E5" s="56"/>
      <c r="F5" s="56"/>
      <c r="G5" s="56"/>
      <c r="H5" s="56"/>
    </row>
    <row r="6" spans="1:8" ht="18.75" x14ac:dyDescent="0.3">
      <c r="A6" s="152"/>
      <c r="B6" s="152"/>
      <c r="C6" s="152"/>
      <c r="D6" s="152"/>
      <c r="E6" s="152"/>
      <c r="F6" s="152"/>
      <c r="G6" s="152"/>
      <c r="H6" s="152"/>
    </row>
    <row r="7" spans="1:8" ht="18.75" x14ac:dyDescent="0.25">
      <c r="A7" s="341" t="s">
        <v>7</v>
      </c>
      <c r="B7" s="341"/>
      <c r="C7" s="10"/>
      <c r="D7" s="10"/>
      <c r="E7" s="10"/>
      <c r="F7" s="10"/>
      <c r="G7" s="10"/>
      <c r="H7" s="10"/>
    </row>
    <row r="8" spans="1:8" ht="18.75" x14ac:dyDescent="0.25">
      <c r="A8" s="10"/>
      <c r="B8" s="10"/>
      <c r="C8" s="10"/>
      <c r="D8" s="10"/>
      <c r="E8" s="10"/>
      <c r="F8" s="10"/>
      <c r="G8" s="10"/>
      <c r="H8" s="10"/>
    </row>
    <row r="9" spans="1:8" x14ac:dyDescent="0.25">
      <c r="A9" s="347" t="str">
        <f>'7. Паспорт отчет о закупке'!A9:AV9</f>
        <v>Акционерное общество "Западная энергетическая компания"</v>
      </c>
      <c r="B9" s="347"/>
      <c r="C9" s="7"/>
      <c r="D9" s="7"/>
      <c r="E9" s="7"/>
      <c r="F9" s="7"/>
      <c r="G9" s="7"/>
      <c r="H9" s="7"/>
    </row>
    <row r="10" spans="1:8" x14ac:dyDescent="0.25">
      <c r="A10" s="338" t="s">
        <v>6</v>
      </c>
      <c r="B10" s="338"/>
      <c r="C10" s="5"/>
      <c r="D10" s="5"/>
      <c r="E10" s="5"/>
      <c r="F10" s="5"/>
      <c r="G10" s="5"/>
      <c r="H10" s="5"/>
    </row>
    <row r="11" spans="1:8" ht="18.75" x14ac:dyDescent="0.25">
      <c r="A11" s="10"/>
      <c r="B11" s="10"/>
      <c r="C11" s="10"/>
      <c r="D11" s="10"/>
      <c r="E11" s="10"/>
      <c r="F11" s="10"/>
      <c r="G11" s="10"/>
      <c r="H11" s="10"/>
    </row>
    <row r="12" spans="1:8" x14ac:dyDescent="0.25">
      <c r="A12" s="347" t="str">
        <f>'7. Паспорт отчет о закупке'!A12:AV12</f>
        <v>M 22-05</v>
      </c>
      <c r="B12" s="347"/>
      <c r="C12" s="7"/>
      <c r="D12" s="7"/>
      <c r="E12" s="7"/>
      <c r="F12" s="7"/>
      <c r="G12" s="7"/>
      <c r="H12" s="7"/>
    </row>
    <row r="13" spans="1:8" x14ac:dyDescent="0.25">
      <c r="A13" s="338" t="s">
        <v>5</v>
      </c>
      <c r="B13" s="338"/>
      <c r="C13" s="5"/>
      <c r="D13" s="5"/>
      <c r="E13" s="5"/>
      <c r="F13" s="5"/>
      <c r="G13" s="5"/>
      <c r="H13" s="5"/>
    </row>
    <row r="14" spans="1:8" ht="18.75" x14ac:dyDescent="0.25">
      <c r="A14" s="9"/>
      <c r="B14" s="9"/>
      <c r="C14" s="9"/>
      <c r="D14" s="9"/>
      <c r="E14" s="9"/>
      <c r="F14" s="9"/>
      <c r="G14" s="9"/>
      <c r="H14" s="9"/>
    </row>
    <row r="15" spans="1:8" ht="53.25" customHeight="1" x14ac:dyDescent="0.25">
      <c r="A15" s="373" t="str">
        <f>'7. Паспорт отчет о закупке'!A15:AV15</f>
        <v>Приобретение аппарата испытания диэлектриков АИД-70М</v>
      </c>
      <c r="B15" s="373"/>
      <c r="C15" s="7"/>
      <c r="D15" s="7"/>
      <c r="E15" s="7"/>
      <c r="F15" s="7"/>
      <c r="G15" s="7"/>
      <c r="H15" s="7"/>
    </row>
    <row r="16" spans="1:8" x14ac:dyDescent="0.25">
      <c r="A16" s="338" t="s">
        <v>4</v>
      </c>
      <c r="B16" s="338"/>
      <c r="C16" s="5"/>
      <c r="D16" s="5"/>
      <c r="E16" s="5"/>
      <c r="F16" s="5"/>
      <c r="G16" s="5"/>
      <c r="H16" s="5"/>
    </row>
    <row r="17" spans="1:2" x14ac:dyDescent="0.25">
      <c r="B17" s="91"/>
    </row>
    <row r="18" spans="1:2" x14ac:dyDescent="0.25">
      <c r="A18" s="438" t="s">
        <v>493</v>
      </c>
      <c r="B18" s="439"/>
    </row>
    <row r="19" spans="1:2" x14ac:dyDescent="0.25">
      <c r="B19" s="31"/>
    </row>
    <row r="20" spans="1:2" ht="16.5" thickBot="1" x14ac:dyDescent="0.3">
      <c r="B20" s="92"/>
    </row>
    <row r="21" spans="1:2" ht="83.25" customHeight="1" thickBot="1" x14ac:dyDescent="0.3">
      <c r="A21" s="93" t="s">
        <v>363</v>
      </c>
      <c r="B21" s="333" t="str">
        <f>A15</f>
        <v>Приобретение аппарата испытания диэлектриков АИД-70М</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546</v>
      </c>
    </row>
    <row r="24" spans="1:2" ht="16.5" thickBot="1" x14ac:dyDescent="0.3">
      <c r="A24" s="93" t="s">
        <v>365</v>
      </c>
      <c r="B24" s="95" t="s">
        <v>547</v>
      </c>
    </row>
    <row r="25" spans="1:2" ht="16.5" thickBot="1" x14ac:dyDescent="0.3">
      <c r="A25" s="96" t="s">
        <v>366</v>
      </c>
      <c r="B25" s="94">
        <v>2022</v>
      </c>
    </row>
    <row r="26" spans="1:2" ht="16.5" thickBot="1" x14ac:dyDescent="0.3">
      <c r="A26" s="97" t="s">
        <v>367</v>
      </c>
      <c r="B26" s="98" t="s">
        <v>540</v>
      </c>
    </row>
    <row r="27" spans="1:2" ht="29.25" thickBot="1" x14ac:dyDescent="0.3">
      <c r="A27" s="104" t="s">
        <v>553</v>
      </c>
      <c r="B27" s="133">
        <f>'6.2. Паспорт фин осв ввод'!D24</f>
        <v>0.308</v>
      </c>
    </row>
    <row r="28" spans="1:2" ht="16.5" thickBot="1" x14ac:dyDescent="0.3">
      <c r="A28" s="132" t="s">
        <v>368</v>
      </c>
      <c r="B28" s="132" t="s">
        <v>545</v>
      </c>
    </row>
    <row r="29" spans="1:2" ht="29.25" thickBot="1" x14ac:dyDescent="0.3">
      <c r="A29" s="105" t="s">
        <v>369</v>
      </c>
      <c r="B29" s="174">
        <f>'7. Паспорт отчет о закупке'!AD27/1000</f>
        <v>0</v>
      </c>
    </row>
    <row r="30" spans="1:2" ht="29.25" thickBot="1" x14ac:dyDescent="0.3">
      <c r="A30" s="105" t="s">
        <v>370</v>
      </c>
      <c r="B30" s="174">
        <f>B32+B49+B66</f>
        <v>0</v>
      </c>
    </row>
    <row r="31" spans="1:2" ht="16.5" thickBot="1" x14ac:dyDescent="0.3">
      <c r="A31" s="132" t="s">
        <v>371</v>
      </c>
      <c r="B31" s="175"/>
    </row>
    <row r="32" spans="1:2" ht="29.25" thickBot="1" x14ac:dyDescent="0.3">
      <c r="A32" s="105" t="s">
        <v>372</v>
      </c>
      <c r="B32" s="174">
        <f>SUMIF(C33:C48,10,B33:B48)</f>
        <v>0</v>
      </c>
    </row>
    <row r="33" spans="1:3" ht="16.5" thickBot="1" x14ac:dyDescent="0.3">
      <c r="A33" s="176" t="s">
        <v>373</v>
      </c>
      <c r="B33" s="177"/>
      <c r="C33" s="45">
        <v>10</v>
      </c>
    </row>
    <row r="34" spans="1:3" ht="16.5" thickBot="1" x14ac:dyDescent="0.3">
      <c r="A34" s="132" t="s">
        <v>374</v>
      </c>
      <c r="B34" s="178">
        <f>B33/$B$27</f>
        <v>0</v>
      </c>
    </row>
    <row r="35" spans="1:3" ht="16.5" thickBot="1" x14ac:dyDescent="0.3">
      <c r="A35" s="132" t="s">
        <v>375</v>
      </c>
      <c r="B35" s="174"/>
      <c r="C35" s="45">
        <v>1</v>
      </c>
    </row>
    <row r="36" spans="1:3" ht="16.5" thickBot="1" x14ac:dyDescent="0.3">
      <c r="A36" s="132" t="s">
        <v>376</v>
      </c>
      <c r="B36" s="174"/>
      <c r="C36" s="45">
        <v>2</v>
      </c>
    </row>
    <row r="37" spans="1:3" ht="16.5" thickBot="1" x14ac:dyDescent="0.3">
      <c r="A37" s="176" t="s">
        <v>373</v>
      </c>
      <c r="B37" s="177"/>
      <c r="C37" s="45">
        <v>10</v>
      </c>
    </row>
    <row r="38" spans="1:3" ht="16.5" thickBot="1" x14ac:dyDescent="0.3">
      <c r="A38" s="132" t="s">
        <v>374</v>
      </c>
      <c r="B38" s="178">
        <f t="shared" ref="B38" si="0">B37/$B$27</f>
        <v>0</v>
      </c>
    </row>
    <row r="39" spans="1:3" ht="16.5" thickBot="1" x14ac:dyDescent="0.3">
      <c r="A39" s="132" t="s">
        <v>375</v>
      </c>
      <c r="B39" s="174"/>
      <c r="C39" s="45">
        <v>1</v>
      </c>
    </row>
    <row r="40" spans="1:3" ht="16.5" thickBot="1" x14ac:dyDescent="0.3">
      <c r="A40" s="132" t="s">
        <v>376</v>
      </c>
      <c r="B40" s="174"/>
      <c r="C40" s="45">
        <v>2</v>
      </c>
    </row>
    <row r="41" spans="1:3" ht="16.5" thickBot="1" x14ac:dyDescent="0.3">
      <c r="A41" s="176" t="s">
        <v>373</v>
      </c>
      <c r="B41" s="177"/>
      <c r="C41" s="45">
        <v>10</v>
      </c>
    </row>
    <row r="42" spans="1:3" ht="16.5" thickBot="1" x14ac:dyDescent="0.3">
      <c r="A42" s="132" t="s">
        <v>374</v>
      </c>
      <c r="B42" s="178">
        <f t="shared" ref="B42" si="1">B41/$B$27</f>
        <v>0</v>
      </c>
    </row>
    <row r="43" spans="1:3" ht="16.5" thickBot="1" x14ac:dyDescent="0.3">
      <c r="A43" s="132" t="s">
        <v>375</v>
      </c>
      <c r="B43" s="174"/>
      <c r="C43" s="45">
        <v>1</v>
      </c>
    </row>
    <row r="44" spans="1:3" ht="16.5" thickBot="1" x14ac:dyDescent="0.3">
      <c r="A44" s="132" t="s">
        <v>376</v>
      </c>
      <c r="B44" s="174"/>
      <c r="C44" s="45">
        <v>2</v>
      </c>
    </row>
    <row r="45" spans="1:3" ht="16.5" thickBot="1" x14ac:dyDescent="0.3">
      <c r="A45" s="176" t="s">
        <v>373</v>
      </c>
      <c r="B45" s="177"/>
      <c r="C45" s="45">
        <v>10</v>
      </c>
    </row>
    <row r="46" spans="1:3" ht="16.5" thickBot="1" x14ac:dyDescent="0.3">
      <c r="A46" s="132" t="s">
        <v>374</v>
      </c>
      <c r="B46" s="178">
        <f t="shared" ref="B46" si="2">B45/$B$27</f>
        <v>0</v>
      </c>
    </row>
    <row r="47" spans="1:3" ht="16.5" thickBot="1" x14ac:dyDescent="0.3">
      <c r="A47" s="132" t="s">
        <v>375</v>
      </c>
      <c r="B47" s="174"/>
      <c r="C47" s="45">
        <v>1</v>
      </c>
    </row>
    <row r="48" spans="1:3" ht="16.5" thickBot="1" x14ac:dyDescent="0.3">
      <c r="A48" s="132" t="s">
        <v>376</v>
      </c>
      <c r="B48" s="174"/>
      <c r="C48" s="45">
        <v>2</v>
      </c>
    </row>
    <row r="49" spans="1:3" ht="29.25" thickBot="1" x14ac:dyDescent="0.3">
      <c r="A49" s="105" t="s">
        <v>377</v>
      </c>
      <c r="B49" s="174">
        <f>SUMIF(C50:C65,20,B50:B65)</f>
        <v>0</v>
      </c>
    </row>
    <row r="50" spans="1:3" ht="16.5" thickBot="1" x14ac:dyDescent="0.3">
      <c r="A50" s="176" t="s">
        <v>373</v>
      </c>
      <c r="B50" s="177"/>
      <c r="C50" s="45">
        <v>20</v>
      </c>
    </row>
    <row r="51" spans="1:3" ht="16.5" thickBot="1" x14ac:dyDescent="0.3">
      <c r="A51" s="132" t="s">
        <v>374</v>
      </c>
      <c r="B51" s="178">
        <f>B50/$B$27</f>
        <v>0</v>
      </c>
    </row>
    <row r="52" spans="1:3" ht="16.5" thickBot="1" x14ac:dyDescent="0.3">
      <c r="A52" s="132" t="s">
        <v>375</v>
      </c>
      <c r="B52" s="174"/>
      <c r="C52" s="45">
        <v>1</v>
      </c>
    </row>
    <row r="53" spans="1:3" ht="16.5" thickBot="1" x14ac:dyDescent="0.3">
      <c r="A53" s="132" t="s">
        <v>376</v>
      </c>
      <c r="B53" s="174"/>
      <c r="C53" s="45">
        <v>2</v>
      </c>
    </row>
    <row r="54" spans="1:3" ht="16.5" thickBot="1" x14ac:dyDescent="0.3">
      <c r="A54" s="176" t="s">
        <v>373</v>
      </c>
      <c r="B54" s="177"/>
      <c r="C54" s="45">
        <v>20</v>
      </c>
    </row>
    <row r="55" spans="1:3" ht="16.5" thickBot="1" x14ac:dyDescent="0.3">
      <c r="A55" s="132" t="s">
        <v>374</v>
      </c>
      <c r="B55" s="178">
        <f t="shared" ref="B55" si="3">B54/$B$27</f>
        <v>0</v>
      </c>
    </row>
    <row r="56" spans="1:3" ht="16.5" thickBot="1" x14ac:dyDescent="0.3">
      <c r="A56" s="132" t="s">
        <v>375</v>
      </c>
      <c r="B56" s="174"/>
      <c r="C56" s="45">
        <v>1</v>
      </c>
    </row>
    <row r="57" spans="1:3" ht="16.5" thickBot="1" x14ac:dyDescent="0.3">
      <c r="A57" s="132" t="s">
        <v>376</v>
      </c>
      <c r="B57" s="174"/>
      <c r="C57" s="45">
        <v>2</v>
      </c>
    </row>
    <row r="58" spans="1:3" ht="16.5" thickBot="1" x14ac:dyDescent="0.3">
      <c r="A58" s="176" t="s">
        <v>373</v>
      </c>
      <c r="B58" s="177"/>
      <c r="C58" s="45">
        <v>20</v>
      </c>
    </row>
    <row r="59" spans="1:3" ht="16.5" thickBot="1" x14ac:dyDescent="0.3">
      <c r="A59" s="132" t="s">
        <v>374</v>
      </c>
      <c r="B59" s="178">
        <f t="shared" ref="B59" si="4">B58/$B$27</f>
        <v>0</v>
      </c>
    </row>
    <row r="60" spans="1:3" ht="16.5" thickBot="1" x14ac:dyDescent="0.3">
      <c r="A60" s="132" t="s">
        <v>375</v>
      </c>
      <c r="B60" s="174"/>
      <c r="C60" s="45">
        <v>1</v>
      </c>
    </row>
    <row r="61" spans="1:3" ht="16.5" thickBot="1" x14ac:dyDescent="0.3">
      <c r="A61" s="132" t="s">
        <v>376</v>
      </c>
      <c r="B61" s="174"/>
      <c r="C61" s="45">
        <v>2</v>
      </c>
    </row>
    <row r="62" spans="1:3" ht="16.5" thickBot="1" x14ac:dyDescent="0.3">
      <c r="A62" s="176" t="s">
        <v>373</v>
      </c>
      <c r="B62" s="177"/>
      <c r="C62" s="45">
        <v>20</v>
      </c>
    </row>
    <row r="63" spans="1:3" ht="16.5" thickBot="1" x14ac:dyDescent="0.3">
      <c r="A63" s="132" t="s">
        <v>374</v>
      </c>
      <c r="B63" s="178">
        <f t="shared" ref="B63" si="5">B62/$B$27</f>
        <v>0</v>
      </c>
    </row>
    <row r="64" spans="1:3" ht="16.5" thickBot="1" x14ac:dyDescent="0.3">
      <c r="A64" s="132" t="s">
        <v>375</v>
      </c>
      <c r="B64" s="174"/>
      <c r="C64" s="45">
        <v>1</v>
      </c>
    </row>
    <row r="65" spans="1:3" ht="16.5" thickBot="1" x14ac:dyDescent="0.3">
      <c r="A65" s="132" t="s">
        <v>376</v>
      </c>
      <c r="B65" s="174"/>
      <c r="C65" s="45">
        <v>2</v>
      </c>
    </row>
    <row r="66" spans="1:3" ht="29.25" thickBot="1" x14ac:dyDescent="0.3">
      <c r="A66" s="105" t="s">
        <v>378</v>
      </c>
      <c r="B66" s="174">
        <f>SUMIF(C67:C82,30,B67:B82)</f>
        <v>0</v>
      </c>
    </row>
    <row r="67" spans="1:3" ht="16.5" thickBot="1" x14ac:dyDescent="0.3">
      <c r="A67" s="176" t="s">
        <v>373</v>
      </c>
      <c r="B67" s="177"/>
      <c r="C67" s="45">
        <v>30</v>
      </c>
    </row>
    <row r="68" spans="1:3" ht="16.5" thickBot="1" x14ac:dyDescent="0.3">
      <c r="A68" s="132" t="s">
        <v>374</v>
      </c>
      <c r="B68" s="178">
        <f t="shared" ref="B68" si="6">B67/$B$27</f>
        <v>0</v>
      </c>
    </row>
    <row r="69" spans="1:3" ht="16.5" thickBot="1" x14ac:dyDescent="0.3">
      <c r="A69" s="132" t="s">
        <v>375</v>
      </c>
      <c r="B69" s="174"/>
      <c r="C69" s="45">
        <v>1</v>
      </c>
    </row>
    <row r="70" spans="1:3" ht="16.5" thickBot="1" x14ac:dyDescent="0.3">
      <c r="A70" s="132" t="s">
        <v>376</v>
      </c>
      <c r="B70" s="174"/>
      <c r="C70" s="45">
        <v>2</v>
      </c>
    </row>
    <row r="71" spans="1:3" ht="16.5" thickBot="1" x14ac:dyDescent="0.3">
      <c r="A71" s="176" t="s">
        <v>373</v>
      </c>
      <c r="B71" s="177"/>
      <c r="C71" s="45">
        <v>30</v>
      </c>
    </row>
    <row r="72" spans="1:3" ht="16.5" thickBot="1" x14ac:dyDescent="0.3">
      <c r="A72" s="132" t="s">
        <v>374</v>
      </c>
      <c r="B72" s="178">
        <f t="shared" ref="B72" si="7">B71/$B$27</f>
        <v>0</v>
      </c>
    </row>
    <row r="73" spans="1:3" ht="16.5" thickBot="1" x14ac:dyDescent="0.3">
      <c r="A73" s="132" t="s">
        <v>375</v>
      </c>
      <c r="B73" s="174"/>
      <c r="C73" s="45">
        <v>1</v>
      </c>
    </row>
    <row r="74" spans="1:3" ht="16.5" thickBot="1" x14ac:dyDescent="0.3">
      <c r="A74" s="132" t="s">
        <v>376</v>
      </c>
      <c r="B74" s="174"/>
      <c r="C74" s="45">
        <v>2</v>
      </c>
    </row>
    <row r="75" spans="1:3" ht="16.5" thickBot="1" x14ac:dyDescent="0.3">
      <c r="A75" s="176" t="s">
        <v>373</v>
      </c>
      <c r="B75" s="177"/>
      <c r="C75" s="45">
        <v>30</v>
      </c>
    </row>
    <row r="76" spans="1:3" ht="16.5" thickBot="1" x14ac:dyDescent="0.3">
      <c r="A76" s="132" t="s">
        <v>374</v>
      </c>
      <c r="B76" s="178">
        <f t="shared" ref="B76" si="8">B75/$B$27</f>
        <v>0</v>
      </c>
    </row>
    <row r="77" spans="1:3" ht="16.5" thickBot="1" x14ac:dyDescent="0.3">
      <c r="A77" s="132" t="s">
        <v>375</v>
      </c>
      <c r="B77" s="174"/>
      <c r="C77" s="45">
        <v>1</v>
      </c>
    </row>
    <row r="78" spans="1:3" ht="16.5" thickBot="1" x14ac:dyDescent="0.3">
      <c r="A78" s="132" t="s">
        <v>376</v>
      </c>
      <c r="B78" s="174"/>
      <c r="C78" s="45">
        <v>2</v>
      </c>
    </row>
    <row r="79" spans="1:3" ht="16.5" thickBot="1" x14ac:dyDescent="0.3">
      <c r="A79" s="176" t="s">
        <v>373</v>
      </c>
      <c r="B79" s="177"/>
      <c r="C79" s="45">
        <v>30</v>
      </c>
    </row>
    <row r="80" spans="1:3" ht="16.5" thickBot="1" x14ac:dyDescent="0.3">
      <c r="A80" s="132" t="s">
        <v>374</v>
      </c>
      <c r="B80" s="178">
        <f t="shared" ref="B80" si="9">B79/$B$27</f>
        <v>0</v>
      </c>
    </row>
    <row r="81" spans="1:3" ht="16.5" thickBot="1" x14ac:dyDescent="0.3">
      <c r="A81" s="132" t="s">
        <v>375</v>
      </c>
      <c r="B81" s="174"/>
      <c r="C81" s="45">
        <v>1</v>
      </c>
    </row>
    <row r="82" spans="1:3" ht="16.5" thickBot="1" x14ac:dyDescent="0.3">
      <c r="A82" s="132" t="s">
        <v>376</v>
      </c>
      <c r="B82" s="174"/>
      <c r="C82" s="45">
        <v>2</v>
      </c>
    </row>
    <row r="83" spans="1:3" ht="29.25" thickBot="1" x14ac:dyDescent="0.3">
      <c r="A83" s="99" t="s">
        <v>379</v>
      </c>
      <c r="B83" s="179">
        <f>B30/B27</f>
        <v>0</v>
      </c>
    </row>
    <row r="84" spans="1:3" ht="16.5" thickBot="1" x14ac:dyDescent="0.3">
      <c r="A84" s="100" t="s">
        <v>371</v>
      </c>
      <c r="B84" s="180"/>
    </row>
    <row r="85" spans="1:3" ht="16.5" thickBot="1" x14ac:dyDescent="0.3">
      <c r="A85" s="100" t="s">
        <v>380</v>
      </c>
      <c r="B85" s="179"/>
    </row>
    <row r="86" spans="1:3" ht="16.5" thickBot="1" x14ac:dyDescent="0.3">
      <c r="A86" s="100" t="s">
        <v>381</v>
      </c>
      <c r="B86" s="179"/>
    </row>
    <row r="87" spans="1:3" ht="16.5" thickBot="1" x14ac:dyDescent="0.3">
      <c r="A87" s="100" t="s">
        <v>382</v>
      </c>
      <c r="B87" s="179"/>
    </row>
    <row r="88" spans="1:3" ht="16.5" thickBot="1" x14ac:dyDescent="0.3">
      <c r="A88" s="96" t="s">
        <v>383</v>
      </c>
      <c r="B88" s="181">
        <f>B89/$B$27</f>
        <v>0</v>
      </c>
    </row>
    <row r="89" spans="1:3" ht="16.5" thickBot="1" x14ac:dyDescent="0.3">
      <c r="A89" s="96" t="s">
        <v>384</v>
      </c>
      <c r="B89" s="182">
        <f xml:space="preserve"> SUMIF(C33:C82, 1,B33:B82)</f>
        <v>0</v>
      </c>
    </row>
    <row r="90" spans="1:3" ht="16.5" thickBot="1" x14ac:dyDescent="0.3">
      <c r="A90" s="96" t="s">
        <v>385</v>
      </c>
      <c r="B90" s="181">
        <f>B91/$B$27</f>
        <v>0</v>
      </c>
    </row>
    <row r="91" spans="1:3" ht="16.5" thickBot="1" x14ac:dyDescent="0.3">
      <c r="A91" s="97" t="s">
        <v>386</v>
      </c>
      <c r="B91" s="182">
        <f xml:space="preserve"> SUMIF(C33:C82, 2,B33:B82)</f>
        <v>0</v>
      </c>
    </row>
    <row r="92" spans="1:3" ht="45" x14ac:dyDescent="0.25">
      <c r="A92" s="99" t="s">
        <v>387</v>
      </c>
      <c r="B92" s="100" t="s">
        <v>388</v>
      </c>
    </row>
    <row r="93" spans="1:3" x14ac:dyDescent="0.25">
      <c r="A93" s="102" t="s">
        <v>389</v>
      </c>
      <c r="B93" s="102" t="s">
        <v>554</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3">
        <v>0</v>
      </c>
    </row>
    <row r="100" spans="1:2" ht="16.5" thickBot="1" x14ac:dyDescent="0.3">
      <c r="A100" s="100" t="s">
        <v>371</v>
      </c>
      <c r="B100" s="184"/>
    </row>
    <row r="101" spans="1:2" ht="16.5" thickBot="1" x14ac:dyDescent="0.3">
      <c r="A101" s="100" t="s">
        <v>396</v>
      </c>
      <c r="B101" s="183">
        <v>0</v>
      </c>
    </row>
    <row r="102" spans="1:2" ht="16.5" thickBot="1" x14ac:dyDescent="0.3">
      <c r="A102" s="100" t="s">
        <v>397</v>
      </c>
      <c r="B102" s="183">
        <v>0</v>
      </c>
    </row>
    <row r="103" spans="1:2" ht="30.75" thickBot="1" x14ac:dyDescent="0.3">
      <c r="A103" s="108" t="s">
        <v>398</v>
      </c>
      <c r="B103" s="187" t="str">
        <f>'3.3 паспорт описание'!C24</f>
        <v>Приобретение аппарата испытания диэлектриков АИД-70М</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0" t="s">
        <v>534</v>
      </c>
    </row>
    <row r="110" spans="1:2" x14ac:dyDescent="0.25">
      <c r="A110" s="102" t="s">
        <v>405</v>
      </c>
      <c r="B110" s="441"/>
    </row>
    <row r="111" spans="1:2" x14ac:dyDescent="0.25">
      <c r="A111" s="102" t="s">
        <v>406</v>
      </c>
      <c r="B111" s="441"/>
    </row>
    <row r="112" spans="1:2" x14ac:dyDescent="0.25">
      <c r="A112" s="102" t="s">
        <v>407</v>
      </c>
      <c r="B112" s="441"/>
    </row>
    <row r="113" spans="1:2" x14ac:dyDescent="0.25">
      <c r="A113" s="102" t="s">
        <v>408</v>
      </c>
      <c r="B113" s="441"/>
    </row>
    <row r="114" spans="1:2" ht="16.5" thickBot="1" x14ac:dyDescent="0.3">
      <c r="A114" s="111" t="s">
        <v>409</v>
      </c>
      <c r="B114" s="442"/>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8" customFormat="1" ht="15.75" x14ac:dyDescent="0.2">
      <c r="A5" s="13"/>
    </row>
    <row r="6" spans="1:28" s="8" customFormat="1" ht="18.75" x14ac:dyDescent="0.2">
      <c r="A6" s="341" t="s">
        <v>7</v>
      </c>
      <c r="B6" s="341"/>
      <c r="C6" s="341"/>
      <c r="D6" s="341"/>
      <c r="E6" s="341"/>
      <c r="F6" s="341"/>
      <c r="G6" s="341"/>
      <c r="H6" s="341"/>
      <c r="I6" s="341"/>
      <c r="J6" s="341"/>
      <c r="K6" s="341"/>
      <c r="L6" s="341"/>
      <c r="M6" s="341"/>
      <c r="N6" s="341"/>
      <c r="O6" s="341"/>
      <c r="P6" s="341"/>
      <c r="Q6" s="341"/>
      <c r="R6" s="341"/>
      <c r="S6" s="341"/>
      <c r="T6" s="10"/>
      <c r="U6" s="10"/>
      <c r="V6" s="10"/>
      <c r="W6" s="10"/>
      <c r="X6" s="10"/>
      <c r="Y6" s="10"/>
      <c r="Z6" s="10"/>
      <c r="AA6" s="10"/>
      <c r="AB6" s="10"/>
    </row>
    <row r="7" spans="1:28" s="8" customFormat="1" ht="18.75" x14ac:dyDescent="0.2">
      <c r="A7" s="341"/>
      <c r="B7" s="341"/>
      <c r="C7" s="341"/>
      <c r="D7" s="341"/>
      <c r="E7" s="341"/>
      <c r="F7" s="341"/>
      <c r="G7" s="341"/>
      <c r="H7" s="341"/>
      <c r="I7" s="341"/>
      <c r="J7" s="341"/>
      <c r="K7" s="341"/>
      <c r="L7" s="341"/>
      <c r="M7" s="341"/>
      <c r="N7" s="341"/>
      <c r="O7" s="341"/>
      <c r="P7" s="341"/>
      <c r="Q7" s="341"/>
      <c r="R7" s="341"/>
      <c r="S7" s="341"/>
      <c r="T7" s="10"/>
      <c r="U7" s="10"/>
      <c r="V7" s="10"/>
      <c r="W7" s="10"/>
      <c r="X7" s="10"/>
      <c r="Y7" s="10"/>
      <c r="Z7" s="10"/>
      <c r="AA7" s="10"/>
      <c r="AB7" s="10"/>
    </row>
    <row r="8" spans="1:28" s="8" customFormat="1" ht="18.75" x14ac:dyDescent="0.2">
      <c r="A8" s="347" t="str">
        <f>'1. паспорт местоположение'!A9:C9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10"/>
      <c r="U8" s="10"/>
      <c r="V8" s="10"/>
      <c r="W8" s="10"/>
      <c r="X8" s="10"/>
      <c r="Y8" s="10"/>
      <c r="Z8" s="10"/>
      <c r="AA8" s="10"/>
      <c r="AB8" s="10"/>
    </row>
    <row r="9" spans="1:28" s="8" customFormat="1" ht="18.75" x14ac:dyDescent="0.2">
      <c r="A9" s="338" t="s">
        <v>6</v>
      </c>
      <c r="B9" s="338"/>
      <c r="C9" s="338"/>
      <c r="D9" s="338"/>
      <c r="E9" s="338"/>
      <c r="F9" s="338"/>
      <c r="G9" s="338"/>
      <c r="H9" s="338"/>
      <c r="I9" s="338"/>
      <c r="J9" s="338"/>
      <c r="K9" s="338"/>
      <c r="L9" s="338"/>
      <c r="M9" s="338"/>
      <c r="N9" s="338"/>
      <c r="O9" s="338"/>
      <c r="P9" s="338"/>
      <c r="Q9" s="338"/>
      <c r="R9" s="338"/>
      <c r="S9" s="338"/>
      <c r="T9" s="10"/>
      <c r="U9" s="10"/>
      <c r="V9" s="10"/>
      <c r="W9" s="10"/>
      <c r="X9" s="10"/>
      <c r="Y9" s="10"/>
      <c r="Z9" s="10"/>
      <c r="AA9" s="10"/>
      <c r="AB9" s="10"/>
    </row>
    <row r="10" spans="1:28" s="8" customFormat="1" ht="18.75" x14ac:dyDescent="0.2">
      <c r="A10" s="341"/>
      <c r="B10" s="341"/>
      <c r="C10" s="341"/>
      <c r="D10" s="341"/>
      <c r="E10" s="341"/>
      <c r="F10" s="341"/>
      <c r="G10" s="341"/>
      <c r="H10" s="341"/>
      <c r="I10" s="341"/>
      <c r="J10" s="341"/>
      <c r="K10" s="341"/>
      <c r="L10" s="341"/>
      <c r="M10" s="341"/>
      <c r="N10" s="341"/>
      <c r="O10" s="341"/>
      <c r="P10" s="341"/>
      <c r="Q10" s="341"/>
      <c r="R10" s="341"/>
      <c r="S10" s="341"/>
      <c r="T10" s="10"/>
      <c r="U10" s="10"/>
      <c r="V10" s="10"/>
      <c r="W10" s="10"/>
      <c r="X10" s="10"/>
      <c r="Y10" s="10"/>
      <c r="Z10" s="10"/>
      <c r="AA10" s="10"/>
      <c r="AB10" s="10"/>
    </row>
    <row r="11" spans="1:28" s="8" customFormat="1" ht="18.75" x14ac:dyDescent="0.2">
      <c r="A11" s="347" t="str">
        <f>'1. паспорт местоположение'!A12:C12</f>
        <v>M 22-05</v>
      </c>
      <c r="B11" s="347"/>
      <c r="C11" s="347"/>
      <c r="D11" s="347"/>
      <c r="E11" s="347"/>
      <c r="F11" s="347"/>
      <c r="G11" s="347"/>
      <c r="H11" s="347"/>
      <c r="I11" s="347"/>
      <c r="J11" s="347"/>
      <c r="K11" s="347"/>
      <c r="L11" s="347"/>
      <c r="M11" s="347"/>
      <c r="N11" s="347"/>
      <c r="O11" s="347"/>
      <c r="P11" s="347"/>
      <c r="Q11" s="347"/>
      <c r="R11" s="347"/>
      <c r="S11" s="347"/>
      <c r="T11" s="10"/>
      <c r="U11" s="10"/>
      <c r="V11" s="10"/>
      <c r="W11" s="10"/>
      <c r="X11" s="10"/>
      <c r="Y11" s="10"/>
      <c r="Z11" s="10"/>
      <c r="AA11" s="10"/>
      <c r="AB11" s="10"/>
    </row>
    <row r="12" spans="1:28" s="8" customFormat="1" ht="18.75" x14ac:dyDescent="0.2">
      <c r="A12" s="338" t="s">
        <v>5</v>
      </c>
      <c r="B12" s="338"/>
      <c r="C12" s="338"/>
      <c r="D12" s="338"/>
      <c r="E12" s="338"/>
      <c r="F12" s="338"/>
      <c r="G12" s="338"/>
      <c r="H12" s="338"/>
      <c r="I12" s="338"/>
      <c r="J12" s="338"/>
      <c r="K12" s="338"/>
      <c r="L12" s="338"/>
      <c r="M12" s="338"/>
      <c r="N12" s="338"/>
      <c r="O12" s="338"/>
      <c r="P12" s="338"/>
      <c r="Q12" s="338"/>
      <c r="R12" s="338"/>
      <c r="S12" s="338"/>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36.75" customHeight="1" x14ac:dyDescent="0.2">
      <c r="A14" s="344" t="str">
        <f>'1. паспорт местоположение'!A15:C15</f>
        <v>Приобретение аппарата испытания диэлектриков АИД-70М</v>
      </c>
      <c r="B14" s="344"/>
      <c r="C14" s="344"/>
      <c r="D14" s="344"/>
      <c r="E14" s="344"/>
      <c r="F14" s="344"/>
      <c r="G14" s="344"/>
      <c r="H14" s="344"/>
      <c r="I14" s="344"/>
      <c r="J14" s="344"/>
      <c r="K14" s="344"/>
      <c r="L14" s="344"/>
      <c r="M14" s="344"/>
      <c r="N14" s="344"/>
      <c r="O14" s="344"/>
      <c r="P14" s="344"/>
      <c r="Q14" s="344"/>
      <c r="R14" s="344"/>
      <c r="S14" s="344"/>
      <c r="T14" s="7"/>
      <c r="U14" s="7"/>
      <c r="V14" s="7"/>
      <c r="W14" s="7"/>
      <c r="X14" s="7"/>
      <c r="Y14" s="7"/>
      <c r="Z14" s="7"/>
      <c r="AA14" s="7"/>
      <c r="AB14" s="7"/>
    </row>
    <row r="15" spans="1:28" s="3" customFormat="1" ht="15" customHeight="1" x14ac:dyDescent="0.2">
      <c r="A15" s="338" t="s">
        <v>4</v>
      </c>
      <c r="B15" s="338"/>
      <c r="C15" s="338"/>
      <c r="D15" s="338"/>
      <c r="E15" s="338"/>
      <c r="F15" s="338"/>
      <c r="G15" s="338"/>
      <c r="H15" s="338"/>
      <c r="I15" s="338"/>
      <c r="J15" s="338"/>
      <c r="K15" s="338"/>
      <c r="L15" s="338"/>
      <c r="M15" s="338"/>
      <c r="N15" s="338"/>
      <c r="O15" s="338"/>
      <c r="P15" s="338"/>
      <c r="Q15" s="338"/>
      <c r="R15" s="338"/>
      <c r="S15" s="338"/>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9" t="s">
        <v>468</v>
      </c>
      <c r="B17" s="339"/>
      <c r="C17" s="339"/>
      <c r="D17" s="339"/>
      <c r="E17" s="339"/>
      <c r="F17" s="339"/>
      <c r="G17" s="339"/>
      <c r="H17" s="339"/>
      <c r="I17" s="339"/>
      <c r="J17" s="339"/>
      <c r="K17" s="339"/>
      <c r="L17" s="339"/>
      <c r="M17" s="339"/>
      <c r="N17" s="339"/>
      <c r="O17" s="339"/>
      <c r="P17" s="339"/>
      <c r="Q17" s="339"/>
      <c r="R17" s="339"/>
      <c r="S17" s="339"/>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8" t="s">
        <v>3</v>
      </c>
      <c r="B19" s="348" t="s">
        <v>94</v>
      </c>
      <c r="C19" s="349" t="s">
        <v>362</v>
      </c>
      <c r="D19" s="348" t="s">
        <v>361</v>
      </c>
      <c r="E19" s="348" t="s">
        <v>93</v>
      </c>
      <c r="F19" s="348" t="s">
        <v>92</v>
      </c>
      <c r="G19" s="348" t="s">
        <v>357</v>
      </c>
      <c r="H19" s="348" t="s">
        <v>91</v>
      </c>
      <c r="I19" s="348" t="s">
        <v>90</v>
      </c>
      <c r="J19" s="348" t="s">
        <v>89</v>
      </c>
      <c r="K19" s="348" t="s">
        <v>88</v>
      </c>
      <c r="L19" s="348" t="s">
        <v>87</v>
      </c>
      <c r="M19" s="348" t="s">
        <v>86</v>
      </c>
      <c r="N19" s="348" t="s">
        <v>85</v>
      </c>
      <c r="O19" s="348" t="s">
        <v>84</v>
      </c>
      <c r="P19" s="348" t="s">
        <v>83</v>
      </c>
      <c r="Q19" s="348" t="s">
        <v>360</v>
      </c>
      <c r="R19" s="348"/>
      <c r="S19" s="351" t="s">
        <v>462</v>
      </c>
      <c r="T19" s="4"/>
      <c r="U19" s="4"/>
      <c r="V19" s="4"/>
      <c r="W19" s="4"/>
      <c r="X19" s="4"/>
      <c r="Y19" s="4"/>
    </row>
    <row r="20" spans="1:28" s="3" customFormat="1" ht="180.75" customHeight="1" x14ac:dyDescent="0.2">
      <c r="A20" s="348"/>
      <c r="B20" s="348"/>
      <c r="C20" s="350"/>
      <c r="D20" s="348"/>
      <c r="E20" s="348"/>
      <c r="F20" s="348"/>
      <c r="G20" s="348"/>
      <c r="H20" s="348"/>
      <c r="I20" s="348"/>
      <c r="J20" s="348"/>
      <c r="K20" s="348"/>
      <c r="L20" s="348"/>
      <c r="M20" s="348"/>
      <c r="N20" s="348"/>
      <c r="O20" s="348"/>
      <c r="P20" s="348"/>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8" customFormat="1" x14ac:dyDescent="0.2">
      <c r="A7" s="13"/>
    </row>
    <row r="8" spans="1:20" s="8"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8"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8" customFormat="1" ht="18.75" customHeight="1" x14ac:dyDescent="0.2">
      <c r="A10" s="347" t="str">
        <f>'1. паспорт местоположение'!A9:C9</f>
        <v>Акционерное общество "Западная энергетическая компания"</v>
      </c>
      <c r="B10" s="347"/>
      <c r="C10" s="347"/>
      <c r="D10" s="347"/>
      <c r="E10" s="347"/>
      <c r="F10" s="347"/>
      <c r="G10" s="347"/>
      <c r="H10" s="347"/>
      <c r="I10" s="347"/>
      <c r="J10" s="347"/>
      <c r="K10" s="347"/>
      <c r="L10" s="347"/>
      <c r="M10" s="347"/>
      <c r="N10" s="347"/>
      <c r="O10" s="347"/>
      <c r="P10" s="347"/>
      <c r="Q10" s="347"/>
      <c r="R10" s="347"/>
      <c r="S10" s="347"/>
      <c r="T10" s="347"/>
    </row>
    <row r="11" spans="1:20" s="8" customFormat="1" ht="18.75" customHeight="1" x14ac:dyDescent="0.2">
      <c r="A11" s="338" t="s">
        <v>6</v>
      </c>
      <c r="B11" s="338"/>
      <c r="C11" s="338"/>
      <c r="D11" s="338"/>
      <c r="E11" s="338"/>
      <c r="F11" s="338"/>
      <c r="G11" s="338"/>
      <c r="H11" s="338"/>
      <c r="I11" s="338"/>
      <c r="J11" s="338"/>
      <c r="K11" s="338"/>
      <c r="L11" s="338"/>
      <c r="M11" s="338"/>
      <c r="N11" s="338"/>
      <c r="O11" s="338"/>
      <c r="P11" s="338"/>
      <c r="Q11" s="338"/>
      <c r="R11" s="338"/>
      <c r="S11" s="338"/>
      <c r="T11" s="338"/>
    </row>
    <row r="12" spans="1:20" s="8"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8" customFormat="1" ht="18.75" customHeight="1" x14ac:dyDescent="0.2">
      <c r="A13" s="347" t="str">
        <f>'1. паспорт местоположение'!A12:C12</f>
        <v>M 22-05</v>
      </c>
      <c r="B13" s="347"/>
      <c r="C13" s="347"/>
      <c r="D13" s="347"/>
      <c r="E13" s="347"/>
      <c r="F13" s="347"/>
      <c r="G13" s="347"/>
      <c r="H13" s="347"/>
      <c r="I13" s="347"/>
      <c r="J13" s="347"/>
      <c r="K13" s="347"/>
      <c r="L13" s="347"/>
      <c r="M13" s="347"/>
      <c r="N13" s="347"/>
      <c r="O13" s="347"/>
      <c r="P13" s="347"/>
      <c r="Q13" s="347"/>
      <c r="R13" s="347"/>
      <c r="S13" s="347"/>
      <c r="T13" s="347"/>
    </row>
    <row r="14" spans="1:20" s="8" customFormat="1" ht="18.75" customHeight="1" x14ac:dyDescent="0.2">
      <c r="A14" s="338" t="s">
        <v>5</v>
      </c>
      <c r="B14" s="338"/>
      <c r="C14" s="338"/>
      <c r="D14" s="338"/>
      <c r="E14" s="338"/>
      <c r="F14" s="338"/>
      <c r="G14" s="338"/>
      <c r="H14" s="338"/>
      <c r="I14" s="338"/>
      <c r="J14" s="338"/>
      <c r="K14" s="338"/>
      <c r="L14" s="338"/>
      <c r="M14" s="338"/>
      <c r="N14" s="338"/>
      <c r="O14" s="338"/>
      <c r="P14" s="338"/>
      <c r="Q14" s="338"/>
      <c r="R14" s="338"/>
      <c r="S14" s="338"/>
      <c r="T14" s="338"/>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66" customHeight="1" x14ac:dyDescent="0.2">
      <c r="A16" s="344" t="str">
        <f>'1. паспорт местоположение'!A15</f>
        <v>Приобретение аппарата испытания диэлектриков АИД-70М</v>
      </c>
      <c r="B16" s="344"/>
      <c r="C16" s="344"/>
      <c r="D16" s="344"/>
      <c r="E16" s="344"/>
      <c r="F16" s="344"/>
      <c r="G16" s="344"/>
      <c r="H16" s="344"/>
      <c r="I16" s="344"/>
      <c r="J16" s="344"/>
      <c r="K16" s="344"/>
      <c r="L16" s="344"/>
      <c r="M16" s="344"/>
      <c r="N16" s="344"/>
      <c r="O16" s="344"/>
      <c r="P16" s="344"/>
      <c r="Q16" s="344"/>
      <c r="R16" s="344"/>
      <c r="S16" s="344"/>
      <c r="T16" s="344"/>
    </row>
    <row r="17" spans="1:113" s="3" customFormat="1" ht="15" customHeight="1" x14ac:dyDescent="0.2">
      <c r="A17" s="338" t="s">
        <v>4</v>
      </c>
      <c r="B17" s="338"/>
      <c r="C17" s="338"/>
      <c r="D17" s="338"/>
      <c r="E17" s="338"/>
      <c r="F17" s="338"/>
      <c r="G17" s="338"/>
      <c r="H17" s="338"/>
      <c r="I17" s="338"/>
      <c r="J17" s="338"/>
      <c r="K17" s="338"/>
      <c r="L17" s="338"/>
      <c r="M17" s="338"/>
      <c r="N17" s="338"/>
      <c r="O17" s="338"/>
      <c r="P17" s="338"/>
      <c r="Q17" s="338"/>
      <c r="R17" s="338"/>
      <c r="S17" s="338"/>
      <c r="T17" s="338"/>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40" t="s">
        <v>473</v>
      </c>
      <c r="B19" s="340"/>
      <c r="C19" s="340"/>
      <c r="D19" s="340"/>
      <c r="E19" s="340"/>
      <c r="F19" s="340"/>
      <c r="G19" s="340"/>
      <c r="H19" s="340"/>
      <c r="I19" s="340"/>
      <c r="J19" s="340"/>
      <c r="K19" s="340"/>
      <c r="L19" s="340"/>
      <c r="M19" s="340"/>
      <c r="N19" s="340"/>
      <c r="O19" s="340"/>
      <c r="P19" s="340"/>
      <c r="Q19" s="340"/>
      <c r="R19" s="340"/>
      <c r="S19" s="340"/>
      <c r="T19" s="340"/>
    </row>
    <row r="20" spans="1:113" s="35" customFormat="1" ht="21" customHeight="1" x14ac:dyDescent="0.25">
      <c r="A20" s="355"/>
      <c r="B20" s="355"/>
      <c r="C20" s="355"/>
      <c r="D20" s="355"/>
      <c r="E20" s="355"/>
      <c r="F20" s="355"/>
      <c r="G20" s="355"/>
      <c r="H20" s="355"/>
      <c r="I20" s="355"/>
      <c r="J20" s="355"/>
      <c r="K20" s="355"/>
      <c r="L20" s="355"/>
      <c r="M20" s="355"/>
      <c r="N20" s="355"/>
      <c r="O20" s="355"/>
      <c r="P20" s="355"/>
      <c r="Q20" s="355"/>
      <c r="R20" s="355"/>
      <c r="S20" s="355"/>
      <c r="T20" s="355"/>
    </row>
    <row r="21" spans="1:113" ht="46.5" customHeight="1" x14ac:dyDescent="0.25">
      <c r="A21" s="356" t="s">
        <v>3</v>
      </c>
      <c r="B21" s="359" t="s">
        <v>217</v>
      </c>
      <c r="C21" s="360"/>
      <c r="D21" s="363" t="s">
        <v>116</v>
      </c>
      <c r="E21" s="359" t="s">
        <v>502</v>
      </c>
      <c r="F21" s="360"/>
      <c r="G21" s="359" t="s">
        <v>267</v>
      </c>
      <c r="H21" s="360"/>
      <c r="I21" s="359" t="s">
        <v>115</v>
      </c>
      <c r="J21" s="360"/>
      <c r="K21" s="363" t="s">
        <v>114</v>
      </c>
      <c r="L21" s="359" t="s">
        <v>113</v>
      </c>
      <c r="M21" s="360"/>
      <c r="N21" s="359" t="s">
        <v>498</v>
      </c>
      <c r="O21" s="360"/>
      <c r="P21" s="363" t="s">
        <v>112</v>
      </c>
      <c r="Q21" s="352" t="s">
        <v>111</v>
      </c>
      <c r="R21" s="353"/>
      <c r="S21" s="352" t="s">
        <v>110</v>
      </c>
      <c r="T21" s="354"/>
    </row>
    <row r="22" spans="1:113" ht="204.75" customHeight="1" x14ac:dyDescent="0.25">
      <c r="A22" s="357"/>
      <c r="B22" s="361"/>
      <c r="C22" s="362"/>
      <c r="D22" s="366"/>
      <c r="E22" s="361"/>
      <c r="F22" s="362"/>
      <c r="G22" s="361"/>
      <c r="H22" s="362"/>
      <c r="I22" s="361"/>
      <c r="J22" s="362"/>
      <c r="K22" s="364"/>
      <c r="L22" s="361"/>
      <c r="M22" s="362"/>
      <c r="N22" s="361"/>
      <c r="O22" s="362"/>
      <c r="P22" s="364"/>
      <c r="Q22" s="75" t="s">
        <v>109</v>
      </c>
      <c r="R22" s="75" t="s">
        <v>472</v>
      </c>
      <c r="S22" s="75" t="s">
        <v>108</v>
      </c>
      <c r="T22" s="75" t="s">
        <v>107</v>
      </c>
    </row>
    <row r="23" spans="1:113" ht="51.75" customHeight="1" x14ac:dyDescent="0.25">
      <c r="A23" s="358"/>
      <c r="B23" s="75" t="s">
        <v>105</v>
      </c>
      <c r="C23" s="75" t="s">
        <v>106</v>
      </c>
      <c r="D23" s="364"/>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5" t="s">
        <v>508</v>
      </c>
      <c r="C29" s="365"/>
      <c r="D29" s="365"/>
      <c r="E29" s="365"/>
      <c r="F29" s="365"/>
      <c r="G29" s="365"/>
      <c r="H29" s="365"/>
      <c r="I29" s="365"/>
      <c r="J29" s="365"/>
      <c r="K29" s="365"/>
      <c r="L29" s="365"/>
      <c r="M29" s="365"/>
      <c r="N29" s="365"/>
      <c r="O29" s="365"/>
      <c r="P29" s="365"/>
      <c r="Q29" s="365"/>
      <c r="R29" s="36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7" t="str">
        <f>'1. паспорт местоположение'!A9</f>
        <v>Акционерное общество "Западная энергетическая компания"</v>
      </c>
      <c r="F9" s="347"/>
      <c r="G9" s="347"/>
      <c r="H9" s="347"/>
      <c r="I9" s="347"/>
      <c r="J9" s="347"/>
      <c r="K9" s="347"/>
      <c r="L9" s="347"/>
      <c r="M9" s="347"/>
      <c r="N9" s="347"/>
      <c r="O9" s="347"/>
      <c r="P9" s="347"/>
      <c r="Q9" s="347"/>
      <c r="R9" s="347"/>
      <c r="S9" s="347"/>
      <c r="T9" s="347"/>
      <c r="U9" s="347"/>
      <c r="V9" s="347"/>
      <c r="W9" s="347"/>
      <c r="X9" s="347"/>
      <c r="Y9" s="347"/>
    </row>
    <row r="10" spans="1:27" s="8" customFormat="1" ht="18.75" customHeight="1" x14ac:dyDescent="0.2">
      <c r="E10" s="338" t="s">
        <v>6</v>
      </c>
      <c r="F10" s="338"/>
      <c r="G10" s="338"/>
      <c r="H10" s="338"/>
      <c r="I10" s="338"/>
      <c r="J10" s="338"/>
      <c r="K10" s="338"/>
      <c r="L10" s="338"/>
      <c r="M10" s="338"/>
      <c r="N10" s="338"/>
      <c r="O10" s="338"/>
      <c r="P10" s="338"/>
      <c r="Q10" s="338"/>
      <c r="R10" s="338"/>
      <c r="S10" s="338"/>
      <c r="T10" s="338"/>
      <c r="U10" s="338"/>
      <c r="V10" s="338"/>
      <c r="W10" s="338"/>
      <c r="X10" s="338"/>
      <c r="Y10" s="33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7" t="str">
        <f>'1. паспорт местоположение'!A12</f>
        <v>M 22-05</v>
      </c>
      <c r="F12" s="347"/>
      <c r="G12" s="347"/>
      <c r="H12" s="347"/>
      <c r="I12" s="347"/>
      <c r="J12" s="347"/>
      <c r="K12" s="347"/>
      <c r="L12" s="347"/>
      <c r="M12" s="347"/>
      <c r="N12" s="347"/>
      <c r="O12" s="347"/>
      <c r="P12" s="347"/>
      <c r="Q12" s="347"/>
      <c r="R12" s="347"/>
      <c r="S12" s="347"/>
      <c r="T12" s="347"/>
      <c r="U12" s="347"/>
      <c r="V12" s="347"/>
      <c r="W12" s="347"/>
      <c r="X12" s="347"/>
      <c r="Y12" s="347"/>
    </row>
    <row r="13" spans="1:27" s="8" customFormat="1" ht="18.75" customHeight="1" x14ac:dyDescent="0.2">
      <c r="E13" s="338" t="s">
        <v>5</v>
      </c>
      <c r="F13" s="338"/>
      <c r="G13" s="338"/>
      <c r="H13" s="338"/>
      <c r="I13" s="338"/>
      <c r="J13" s="338"/>
      <c r="K13" s="338"/>
      <c r="L13" s="338"/>
      <c r="M13" s="338"/>
      <c r="N13" s="338"/>
      <c r="O13" s="338"/>
      <c r="P13" s="338"/>
      <c r="Q13" s="338"/>
      <c r="R13" s="338"/>
      <c r="S13" s="338"/>
      <c r="T13" s="338"/>
      <c r="U13" s="338"/>
      <c r="V13" s="338"/>
      <c r="W13" s="338"/>
      <c r="X13" s="338"/>
      <c r="Y13" s="33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4" t="str">
        <f>'1. паспорт местоположение'!A15</f>
        <v>Приобретение аппарата испытания диэлектриков АИД-70М</v>
      </c>
      <c r="F15" s="344"/>
      <c r="G15" s="344"/>
      <c r="H15" s="344"/>
      <c r="I15" s="344"/>
      <c r="J15" s="344"/>
      <c r="K15" s="344"/>
      <c r="L15" s="344"/>
      <c r="M15" s="344"/>
      <c r="N15" s="344"/>
      <c r="O15" s="344"/>
      <c r="P15" s="344"/>
      <c r="Q15" s="344"/>
      <c r="R15" s="344"/>
      <c r="S15" s="344"/>
      <c r="T15" s="344"/>
      <c r="U15" s="344"/>
      <c r="V15" s="344"/>
      <c r="W15" s="344"/>
      <c r="X15" s="344"/>
      <c r="Y15" s="344"/>
    </row>
    <row r="16" spans="1:27" s="3" customFormat="1" ht="15" customHeight="1" x14ac:dyDescent="0.2">
      <c r="E16" s="338" t="s">
        <v>4</v>
      </c>
      <c r="F16" s="338"/>
      <c r="G16" s="338"/>
      <c r="H16" s="338"/>
      <c r="I16" s="338"/>
      <c r="J16" s="338"/>
      <c r="K16" s="338"/>
      <c r="L16" s="338"/>
      <c r="M16" s="338"/>
      <c r="N16" s="338"/>
      <c r="O16" s="338"/>
      <c r="P16" s="338"/>
      <c r="Q16" s="338"/>
      <c r="R16" s="338"/>
      <c r="S16" s="338"/>
      <c r="T16" s="338"/>
      <c r="U16" s="338"/>
      <c r="V16" s="338"/>
      <c r="W16" s="338"/>
      <c r="X16" s="338"/>
      <c r="Y16" s="33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475</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5" customFormat="1" ht="21" customHeight="1" x14ac:dyDescent="0.25"/>
    <row r="21" spans="1:27" ht="15.75" customHeight="1" x14ac:dyDescent="0.25">
      <c r="A21" s="363" t="s">
        <v>3</v>
      </c>
      <c r="B21" s="359" t="s">
        <v>482</v>
      </c>
      <c r="C21" s="360"/>
      <c r="D21" s="359" t="s">
        <v>484</v>
      </c>
      <c r="E21" s="360"/>
      <c r="F21" s="352" t="s">
        <v>88</v>
      </c>
      <c r="G21" s="354"/>
      <c r="H21" s="354"/>
      <c r="I21" s="353"/>
      <c r="J21" s="363" t="s">
        <v>485</v>
      </c>
      <c r="K21" s="359" t="s">
        <v>486</v>
      </c>
      <c r="L21" s="360"/>
      <c r="M21" s="359" t="s">
        <v>487</v>
      </c>
      <c r="N21" s="360"/>
      <c r="O21" s="359" t="s">
        <v>474</v>
      </c>
      <c r="P21" s="360"/>
      <c r="Q21" s="359" t="s">
        <v>121</v>
      </c>
      <c r="R21" s="360"/>
      <c r="S21" s="363" t="s">
        <v>120</v>
      </c>
      <c r="T21" s="363" t="s">
        <v>488</v>
      </c>
      <c r="U21" s="363" t="s">
        <v>483</v>
      </c>
      <c r="V21" s="359" t="s">
        <v>119</v>
      </c>
      <c r="W21" s="360"/>
      <c r="X21" s="352" t="s">
        <v>111</v>
      </c>
      <c r="Y21" s="354"/>
      <c r="Z21" s="352" t="s">
        <v>110</v>
      </c>
      <c r="AA21" s="354"/>
    </row>
    <row r="22" spans="1:27" ht="216" customHeight="1" x14ac:dyDescent="0.25">
      <c r="A22" s="366"/>
      <c r="B22" s="361"/>
      <c r="C22" s="362"/>
      <c r="D22" s="361"/>
      <c r="E22" s="362"/>
      <c r="F22" s="352" t="s">
        <v>118</v>
      </c>
      <c r="G22" s="353"/>
      <c r="H22" s="352" t="s">
        <v>117</v>
      </c>
      <c r="I22" s="353"/>
      <c r="J22" s="364"/>
      <c r="K22" s="361"/>
      <c r="L22" s="362"/>
      <c r="M22" s="361"/>
      <c r="N22" s="362"/>
      <c r="O22" s="361"/>
      <c r="P22" s="362"/>
      <c r="Q22" s="361"/>
      <c r="R22" s="362"/>
      <c r="S22" s="364"/>
      <c r="T22" s="364"/>
      <c r="U22" s="364"/>
      <c r="V22" s="361"/>
      <c r="W22" s="362"/>
      <c r="X22" s="75" t="s">
        <v>109</v>
      </c>
      <c r="Y22" s="75" t="s">
        <v>472</v>
      </c>
      <c r="Z22" s="75" t="s">
        <v>108</v>
      </c>
      <c r="AA22" s="75" t="s">
        <v>107</v>
      </c>
    </row>
    <row r="23" spans="1:27" ht="60" customHeight="1" x14ac:dyDescent="0.25">
      <c r="A23" s="364"/>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D25" sqref="D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7" t="str">
        <f>'1. паспорт местоположение'!A5:C5</f>
        <v>Год раскрытия информации: 2023 год</v>
      </c>
      <c r="B5" s="337"/>
      <c r="C5" s="337"/>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1" t="s">
        <v>7</v>
      </c>
      <c r="B7" s="341"/>
      <c r="C7" s="341"/>
      <c r="D7" s="10"/>
      <c r="E7" s="10"/>
      <c r="F7" s="10"/>
      <c r="G7" s="10"/>
      <c r="H7" s="10"/>
      <c r="I7" s="10"/>
      <c r="J7" s="10"/>
      <c r="K7" s="10"/>
      <c r="L7" s="10"/>
      <c r="M7" s="10"/>
      <c r="N7" s="10"/>
      <c r="O7" s="10"/>
      <c r="P7" s="10"/>
      <c r="Q7" s="10"/>
      <c r="R7" s="10"/>
      <c r="S7" s="10"/>
      <c r="T7" s="10"/>
      <c r="U7" s="10"/>
    </row>
    <row r="8" spans="1:29" s="8" customFormat="1" ht="18.75" x14ac:dyDescent="0.2">
      <c r="A8" s="341"/>
      <c r="B8" s="341"/>
      <c r="C8" s="341"/>
      <c r="D8" s="11"/>
      <c r="E8" s="11"/>
      <c r="F8" s="11"/>
      <c r="G8" s="11"/>
      <c r="H8" s="10"/>
      <c r="I8" s="10"/>
      <c r="J8" s="10"/>
      <c r="K8" s="10"/>
      <c r="L8" s="10"/>
      <c r="M8" s="10"/>
      <c r="N8" s="10"/>
      <c r="O8" s="10"/>
      <c r="P8" s="10"/>
      <c r="Q8" s="10"/>
      <c r="R8" s="10"/>
      <c r="S8" s="10"/>
      <c r="T8" s="10"/>
      <c r="U8" s="10"/>
    </row>
    <row r="9" spans="1:29" s="8" customFormat="1" ht="18.75" x14ac:dyDescent="0.2">
      <c r="A9" s="347" t="str">
        <f>'1. паспорт местоположение'!A9:C9</f>
        <v>Акционерное общество "Западная энергетическая компания"</v>
      </c>
      <c r="B9" s="347"/>
      <c r="C9" s="347"/>
      <c r="D9" s="7"/>
      <c r="E9" s="7"/>
      <c r="F9" s="7"/>
      <c r="G9" s="7"/>
      <c r="H9" s="10"/>
      <c r="I9" s="10"/>
      <c r="J9" s="10"/>
      <c r="K9" s="10"/>
      <c r="L9" s="10"/>
      <c r="M9" s="10"/>
      <c r="N9" s="10"/>
      <c r="O9" s="10"/>
      <c r="P9" s="10"/>
      <c r="Q9" s="10"/>
      <c r="R9" s="10"/>
      <c r="S9" s="10"/>
      <c r="T9" s="10"/>
      <c r="U9" s="10"/>
    </row>
    <row r="10" spans="1:29" s="8" customFormat="1" ht="18.75" x14ac:dyDescent="0.2">
      <c r="A10" s="338" t="s">
        <v>6</v>
      </c>
      <c r="B10" s="338"/>
      <c r="C10" s="338"/>
      <c r="D10" s="5"/>
      <c r="E10" s="5"/>
      <c r="F10" s="5"/>
      <c r="G10" s="5"/>
      <c r="H10" s="10"/>
      <c r="I10" s="10"/>
      <c r="J10" s="10"/>
      <c r="K10" s="10"/>
      <c r="L10" s="10"/>
      <c r="M10" s="10"/>
      <c r="N10" s="10"/>
      <c r="O10" s="10"/>
      <c r="P10" s="10"/>
      <c r="Q10" s="10"/>
      <c r="R10" s="10"/>
      <c r="S10" s="10"/>
      <c r="T10" s="10"/>
      <c r="U10" s="10"/>
    </row>
    <row r="11" spans="1:29" s="8" customFormat="1" ht="18.75" x14ac:dyDescent="0.2">
      <c r="A11" s="341"/>
      <c r="B11" s="341"/>
      <c r="C11" s="341"/>
      <c r="D11" s="11"/>
      <c r="E11" s="11"/>
      <c r="F11" s="11"/>
      <c r="G11" s="11"/>
      <c r="H11" s="10"/>
      <c r="I11" s="10"/>
      <c r="J11" s="10"/>
      <c r="K11" s="10"/>
      <c r="L11" s="10"/>
      <c r="M11" s="10"/>
      <c r="N11" s="10"/>
      <c r="O11" s="10"/>
      <c r="P11" s="10"/>
      <c r="Q11" s="10"/>
      <c r="R11" s="10"/>
      <c r="S11" s="10"/>
      <c r="T11" s="10"/>
      <c r="U11" s="10"/>
    </row>
    <row r="12" spans="1:29" s="8" customFormat="1" ht="18.75" x14ac:dyDescent="0.2">
      <c r="A12" s="347" t="str">
        <f>'1. паспорт местоположение'!A12:C12</f>
        <v>M 22-05</v>
      </c>
      <c r="B12" s="347"/>
      <c r="C12" s="347"/>
      <c r="D12" s="7"/>
      <c r="E12" s="7"/>
      <c r="F12" s="7"/>
      <c r="G12" s="7"/>
      <c r="H12" s="10"/>
      <c r="I12" s="10"/>
      <c r="J12" s="10"/>
      <c r="K12" s="10"/>
      <c r="L12" s="10"/>
      <c r="M12" s="10"/>
      <c r="N12" s="10"/>
      <c r="O12" s="10"/>
      <c r="P12" s="10"/>
      <c r="Q12" s="10"/>
      <c r="R12" s="10"/>
      <c r="S12" s="10"/>
      <c r="T12" s="10"/>
      <c r="U12" s="10"/>
    </row>
    <row r="13" spans="1:29" s="8" customFormat="1" ht="18.75" x14ac:dyDescent="0.2">
      <c r="A13" s="338" t="s">
        <v>5</v>
      </c>
      <c r="B13" s="338"/>
      <c r="C13" s="33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78.75" customHeight="1" x14ac:dyDescent="0.2">
      <c r="A15" s="344" t="str">
        <f>'1. паспорт местоположение'!A15</f>
        <v>Приобретение аппарата испытания диэлектриков АИД-70М</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38" t="s">
        <v>4</v>
      </c>
      <c r="B16" s="338"/>
      <c r="C16" s="338"/>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9" t="s">
        <v>467</v>
      </c>
      <c r="B18" s="339"/>
      <c r="C18" s="3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8" t="s">
        <v>600</v>
      </c>
      <c r="D22" s="5"/>
      <c r="E22" s="5"/>
      <c r="F22" s="4"/>
      <c r="G22" s="4"/>
      <c r="H22" s="4"/>
      <c r="I22" s="4"/>
      <c r="J22" s="4"/>
      <c r="K22" s="4"/>
      <c r="L22" s="4"/>
      <c r="M22" s="4"/>
      <c r="N22" s="4"/>
      <c r="O22" s="4"/>
      <c r="P22" s="4"/>
    </row>
    <row r="23" spans="1:21" ht="42.75" customHeight="1" x14ac:dyDescent="0.25">
      <c r="A23" s="22" t="s">
        <v>61</v>
      </c>
      <c r="B23" s="24" t="s">
        <v>58</v>
      </c>
      <c r="C23" s="188" t="s">
        <v>601</v>
      </c>
    </row>
    <row r="24" spans="1:21" ht="47.25" x14ac:dyDescent="0.25">
      <c r="A24" s="148" t="s">
        <v>60</v>
      </c>
      <c r="B24" s="149" t="s">
        <v>500</v>
      </c>
      <c r="C24" s="189" t="str">
        <f>A15</f>
        <v>Приобретение аппарата испытания диэлектриков АИД-70М</v>
      </c>
      <c r="E24" s="129"/>
    </row>
    <row r="25" spans="1:21" ht="31.5" x14ac:dyDescent="0.25">
      <c r="A25" s="22" t="s">
        <v>59</v>
      </c>
      <c r="B25" s="24" t="s">
        <v>501</v>
      </c>
      <c r="C25" s="189" t="s">
        <v>607</v>
      </c>
    </row>
    <row r="26" spans="1:21" ht="42.75" customHeight="1" x14ac:dyDescent="0.25">
      <c r="A26" s="22" t="s">
        <v>57</v>
      </c>
      <c r="B26" s="24" t="s">
        <v>225</v>
      </c>
      <c r="C26" s="23" t="s">
        <v>534</v>
      </c>
    </row>
    <row r="27" spans="1:21" ht="31.5" x14ac:dyDescent="0.25">
      <c r="A27" s="22" t="s">
        <v>56</v>
      </c>
      <c r="B27" s="185" t="s">
        <v>481</v>
      </c>
      <c r="C27" s="186" t="s">
        <v>602</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
      <c r="AB6" s="10"/>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
      <c r="AB7" s="10"/>
    </row>
    <row r="8" spans="1:28" x14ac:dyDescent="0.25">
      <c r="A8" s="347" t="str">
        <f>'1. паспорт местоположение'!A9</f>
        <v>Акционерное общество "Западная энергетическая компания"</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7"/>
      <c r="AB8" s="7"/>
    </row>
    <row r="9" spans="1:28" ht="15.75" x14ac:dyDescent="0.25">
      <c r="A9" s="338" t="s">
        <v>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
      <c r="AB9" s="5"/>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
      <c r="AB10" s="10"/>
    </row>
    <row r="11" spans="1:28" x14ac:dyDescent="0.25">
      <c r="A11" s="347" t="str">
        <f>'1. паспорт местоположение'!A12:C12</f>
        <v>M 22-05</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7"/>
      <c r="AB11" s="7"/>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ht="57" customHeight="1" x14ac:dyDescent="0.25">
      <c r="A14" s="344" t="str">
        <f>'1. паспорт местоположение'!A15</f>
        <v>Приобретение аппарата испытания диэлектриков АИД-70М</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7"/>
      <c r="AB14" s="7"/>
    </row>
    <row r="15" spans="1:28" ht="15.75" x14ac:dyDescent="0.25">
      <c r="A15" s="338" t="s">
        <v>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499</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120"/>
      <c r="AB22" s="120"/>
    </row>
    <row r="23" spans="1:28" ht="32.25" customHeight="1" x14ac:dyDescent="0.25">
      <c r="A23" s="370" t="s">
        <v>353</v>
      </c>
      <c r="B23" s="371"/>
      <c r="C23" s="371"/>
      <c r="D23" s="371"/>
      <c r="E23" s="371"/>
      <c r="F23" s="371"/>
      <c r="G23" s="371"/>
      <c r="H23" s="371"/>
      <c r="I23" s="371"/>
      <c r="J23" s="371"/>
      <c r="K23" s="371"/>
      <c r="L23" s="372"/>
      <c r="M23" s="369" t="s">
        <v>354</v>
      </c>
      <c r="N23" s="369"/>
      <c r="O23" s="369"/>
      <c r="P23" s="369"/>
      <c r="Q23" s="369"/>
      <c r="R23" s="369"/>
      <c r="S23" s="369"/>
      <c r="T23" s="369"/>
      <c r="U23" s="369"/>
      <c r="V23" s="369"/>
      <c r="W23" s="369"/>
      <c r="X23" s="369"/>
      <c r="Y23" s="369"/>
      <c r="Z23" s="369"/>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7" t="str">
        <f>'1. паспорт местоположение'!A5:C5</f>
        <v>Год раскрытия информации: 2023 год</v>
      </c>
      <c r="B5" s="337"/>
      <c r="C5" s="337"/>
      <c r="D5" s="337"/>
      <c r="E5" s="337"/>
      <c r="F5" s="337"/>
      <c r="G5" s="337"/>
      <c r="H5" s="337"/>
      <c r="I5" s="337"/>
      <c r="J5" s="337"/>
      <c r="K5" s="337"/>
      <c r="L5" s="337"/>
      <c r="M5" s="337"/>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1" t="s">
        <v>7</v>
      </c>
      <c r="B7" s="341"/>
      <c r="C7" s="341"/>
      <c r="D7" s="341"/>
      <c r="E7" s="341"/>
      <c r="F7" s="341"/>
      <c r="G7" s="341"/>
      <c r="H7" s="341"/>
      <c r="I7" s="341"/>
      <c r="J7" s="341"/>
      <c r="K7" s="341"/>
      <c r="L7" s="341"/>
      <c r="M7" s="341"/>
      <c r="N7" s="10"/>
      <c r="O7" s="10"/>
      <c r="P7" s="10"/>
      <c r="Q7" s="10"/>
      <c r="R7" s="10"/>
      <c r="S7" s="10"/>
      <c r="T7" s="10"/>
      <c r="U7" s="10"/>
      <c r="V7" s="10"/>
      <c r="W7" s="10"/>
      <c r="X7" s="10"/>
    </row>
    <row r="8" spans="1:26" s="8" customFormat="1" ht="18.75" x14ac:dyDescent="0.2">
      <c r="A8" s="341"/>
      <c r="B8" s="341"/>
      <c r="C8" s="341"/>
      <c r="D8" s="341"/>
      <c r="E8" s="341"/>
      <c r="F8" s="341"/>
      <c r="G8" s="341"/>
      <c r="H8" s="341"/>
      <c r="I8" s="341"/>
      <c r="J8" s="341"/>
      <c r="K8" s="341"/>
      <c r="L8" s="341"/>
      <c r="M8" s="341"/>
      <c r="N8" s="10"/>
      <c r="O8" s="10"/>
      <c r="P8" s="10"/>
      <c r="Q8" s="10"/>
      <c r="R8" s="10"/>
      <c r="S8" s="10"/>
      <c r="T8" s="10"/>
      <c r="U8" s="10"/>
      <c r="V8" s="10"/>
      <c r="W8" s="10"/>
      <c r="X8" s="10"/>
    </row>
    <row r="9" spans="1:26" s="8" customFormat="1" ht="18.75" x14ac:dyDescent="0.2">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c r="M9" s="347"/>
      <c r="N9" s="10"/>
      <c r="O9" s="10"/>
      <c r="P9" s="10"/>
      <c r="Q9" s="10"/>
      <c r="R9" s="10"/>
      <c r="S9" s="10"/>
      <c r="T9" s="10"/>
      <c r="U9" s="10"/>
      <c r="V9" s="10"/>
      <c r="W9" s="10"/>
      <c r="X9" s="10"/>
    </row>
    <row r="10" spans="1:26" s="8" customFormat="1" ht="18.75" x14ac:dyDescent="0.2">
      <c r="A10" s="338" t="s">
        <v>6</v>
      </c>
      <c r="B10" s="338"/>
      <c r="C10" s="338"/>
      <c r="D10" s="338"/>
      <c r="E10" s="338"/>
      <c r="F10" s="338"/>
      <c r="G10" s="338"/>
      <c r="H10" s="338"/>
      <c r="I10" s="338"/>
      <c r="J10" s="338"/>
      <c r="K10" s="338"/>
      <c r="L10" s="338"/>
      <c r="M10" s="338"/>
      <c r="N10" s="10"/>
      <c r="O10" s="10"/>
      <c r="P10" s="10"/>
      <c r="Q10" s="10"/>
      <c r="R10" s="10"/>
      <c r="S10" s="10"/>
      <c r="T10" s="10"/>
      <c r="U10" s="10"/>
      <c r="V10" s="10"/>
      <c r="W10" s="10"/>
      <c r="X10" s="10"/>
    </row>
    <row r="11" spans="1:26" s="8" customFormat="1" ht="18.75" x14ac:dyDescent="0.2">
      <c r="A11" s="341"/>
      <c r="B11" s="341"/>
      <c r="C11" s="341"/>
      <c r="D11" s="341"/>
      <c r="E11" s="341"/>
      <c r="F11" s="341"/>
      <c r="G11" s="341"/>
      <c r="H11" s="341"/>
      <c r="I11" s="341"/>
      <c r="J11" s="341"/>
      <c r="K11" s="341"/>
      <c r="L11" s="341"/>
      <c r="M11" s="341"/>
      <c r="N11" s="10"/>
      <c r="O11" s="10"/>
      <c r="P11" s="10"/>
      <c r="Q11" s="10"/>
      <c r="R11" s="10"/>
      <c r="S11" s="10"/>
      <c r="T11" s="10"/>
      <c r="U11" s="10"/>
      <c r="V11" s="10"/>
      <c r="W11" s="10"/>
      <c r="X11" s="10"/>
    </row>
    <row r="12" spans="1:26" s="8" customFormat="1" ht="18.75" x14ac:dyDescent="0.2">
      <c r="A12" s="347" t="str">
        <f>'1. паспорт местоположение'!A12:C12</f>
        <v>M 22-05</v>
      </c>
      <c r="B12" s="347"/>
      <c r="C12" s="347"/>
      <c r="D12" s="347"/>
      <c r="E12" s="347"/>
      <c r="F12" s="347"/>
      <c r="G12" s="347"/>
      <c r="H12" s="347"/>
      <c r="I12" s="347"/>
      <c r="J12" s="347"/>
      <c r="K12" s="347"/>
      <c r="L12" s="347"/>
      <c r="M12" s="347"/>
      <c r="N12" s="10"/>
      <c r="O12" s="10"/>
      <c r="P12" s="10"/>
      <c r="Q12" s="10"/>
      <c r="R12" s="10"/>
      <c r="S12" s="10"/>
      <c r="T12" s="10"/>
      <c r="U12" s="10"/>
      <c r="V12" s="10"/>
      <c r="W12" s="10"/>
      <c r="X12" s="10"/>
    </row>
    <row r="13" spans="1:26" s="8" customFormat="1" ht="18.75" x14ac:dyDescent="0.2">
      <c r="A13" s="338" t="s">
        <v>5</v>
      </c>
      <c r="B13" s="338"/>
      <c r="C13" s="338"/>
      <c r="D13" s="338"/>
      <c r="E13" s="338"/>
      <c r="F13" s="338"/>
      <c r="G13" s="338"/>
      <c r="H13" s="338"/>
      <c r="I13" s="338"/>
      <c r="J13" s="338"/>
      <c r="K13" s="338"/>
      <c r="L13" s="338"/>
      <c r="M13" s="338"/>
      <c r="N13" s="10"/>
      <c r="O13" s="10"/>
      <c r="P13" s="10"/>
      <c r="Q13" s="10"/>
      <c r="R13" s="10"/>
      <c r="S13" s="10"/>
      <c r="T13" s="10"/>
      <c r="U13" s="10"/>
      <c r="V13" s="10"/>
      <c r="W13" s="10"/>
      <c r="X13" s="10"/>
    </row>
    <row r="14" spans="1:26" s="8" customFormat="1" ht="15.75" customHeight="1" x14ac:dyDescent="0.2">
      <c r="A14" s="345"/>
      <c r="B14" s="345"/>
      <c r="C14" s="345"/>
      <c r="D14" s="345"/>
      <c r="E14" s="345"/>
      <c r="F14" s="345"/>
      <c r="G14" s="345"/>
      <c r="H14" s="345"/>
      <c r="I14" s="345"/>
      <c r="J14" s="345"/>
      <c r="K14" s="345"/>
      <c r="L14" s="345"/>
      <c r="M14" s="345"/>
      <c r="N14" s="4"/>
      <c r="O14" s="4"/>
      <c r="P14" s="4"/>
      <c r="Q14" s="4"/>
      <c r="R14" s="4"/>
      <c r="S14" s="4"/>
      <c r="T14" s="4"/>
      <c r="U14" s="4"/>
      <c r="V14" s="4"/>
      <c r="W14" s="4"/>
      <c r="X14" s="4"/>
    </row>
    <row r="15" spans="1:26" s="3" customFormat="1" ht="54.75" customHeight="1" x14ac:dyDescent="0.2">
      <c r="A15" s="373" t="str">
        <f>'1. паспорт местоположение'!A15</f>
        <v>Приобретение аппарата испытания диэлектриков АИД-70М</v>
      </c>
      <c r="B15" s="373"/>
      <c r="C15" s="373"/>
      <c r="D15" s="373"/>
      <c r="E15" s="373"/>
      <c r="F15" s="373"/>
      <c r="G15" s="373"/>
      <c r="H15" s="373"/>
      <c r="I15" s="373"/>
      <c r="J15" s="373"/>
      <c r="K15" s="373"/>
      <c r="L15" s="373"/>
      <c r="M15" s="373"/>
      <c r="N15" s="7"/>
      <c r="O15" s="7"/>
      <c r="P15" s="7"/>
      <c r="Q15" s="7"/>
      <c r="R15" s="7"/>
      <c r="S15" s="7"/>
      <c r="T15" s="7"/>
      <c r="U15" s="7"/>
      <c r="V15" s="7"/>
      <c r="W15" s="7"/>
      <c r="X15" s="7"/>
    </row>
    <row r="16" spans="1:26" s="3" customFormat="1" ht="15" customHeight="1" x14ac:dyDescent="0.2">
      <c r="A16" s="338" t="s">
        <v>4</v>
      </c>
      <c r="B16" s="338"/>
      <c r="C16" s="338"/>
      <c r="D16" s="338"/>
      <c r="E16" s="338"/>
      <c r="F16" s="338"/>
      <c r="G16" s="338"/>
      <c r="H16" s="338"/>
      <c r="I16" s="338"/>
      <c r="J16" s="338"/>
      <c r="K16" s="338"/>
      <c r="L16" s="338"/>
      <c r="M16" s="338"/>
      <c r="N16" s="5"/>
      <c r="O16" s="5"/>
      <c r="P16" s="5"/>
      <c r="Q16" s="5"/>
      <c r="R16" s="5"/>
      <c r="S16" s="5"/>
      <c r="T16" s="5"/>
      <c r="U16" s="5"/>
      <c r="V16" s="5"/>
      <c r="W16" s="5"/>
      <c r="X16" s="5"/>
    </row>
    <row r="17" spans="1:24" s="3" customFormat="1" ht="15" customHeight="1" x14ac:dyDescent="0.2">
      <c r="A17" s="345"/>
      <c r="B17" s="345"/>
      <c r="C17" s="345"/>
      <c r="D17" s="345"/>
      <c r="E17" s="345"/>
      <c r="F17" s="345"/>
      <c r="G17" s="345"/>
      <c r="H17" s="345"/>
      <c r="I17" s="345"/>
      <c r="J17" s="345"/>
      <c r="K17" s="345"/>
      <c r="L17" s="345"/>
      <c r="M17" s="345"/>
      <c r="N17" s="4"/>
      <c r="O17" s="4"/>
      <c r="P17" s="4"/>
      <c r="Q17" s="4"/>
      <c r="R17" s="4"/>
      <c r="S17" s="4"/>
      <c r="T17" s="4"/>
      <c r="U17" s="4"/>
    </row>
    <row r="18" spans="1:24" s="3" customFormat="1" ht="91.5" customHeight="1" x14ac:dyDescent="0.2">
      <c r="A18" s="374" t="s">
        <v>476</v>
      </c>
      <c r="B18" s="374"/>
      <c r="C18" s="374"/>
      <c r="D18" s="374"/>
      <c r="E18" s="374"/>
      <c r="F18" s="374"/>
      <c r="G18" s="374"/>
      <c r="H18" s="374"/>
      <c r="I18" s="374"/>
      <c r="J18" s="374"/>
      <c r="K18" s="374"/>
      <c r="L18" s="374"/>
      <c r="M18" s="374"/>
      <c r="N18" s="6"/>
      <c r="O18" s="6"/>
      <c r="P18" s="6"/>
      <c r="Q18" s="6"/>
      <c r="R18" s="6"/>
      <c r="S18" s="6"/>
      <c r="T18" s="6"/>
      <c r="U18" s="6"/>
      <c r="V18" s="6"/>
      <c r="W18" s="6"/>
      <c r="X18" s="6"/>
    </row>
    <row r="19" spans="1:24" s="3" customFormat="1" ht="78" customHeight="1" x14ac:dyDescent="0.2">
      <c r="A19" s="375" t="s">
        <v>3</v>
      </c>
      <c r="B19" s="375" t="s">
        <v>82</v>
      </c>
      <c r="C19" s="375" t="s">
        <v>81</v>
      </c>
      <c r="D19" s="375" t="s">
        <v>73</v>
      </c>
      <c r="E19" s="376" t="s">
        <v>80</v>
      </c>
      <c r="F19" s="377"/>
      <c r="G19" s="377"/>
      <c r="H19" s="377"/>
      <c r="I19" s="378"/>
      <c r="J19" s="375" t="s">
        <v>79</v>
      </c>
      <c r="K19" s="375"/>
      <c r="L19" s="375"/>
      <c r="M19" s="375"/>
      <c r="N19" s="4"/>
      <c r="O19" s="4"/>
      <c r="P19" s="4"/>
      <c r="Q19" s="4"/>
      <c r="R19" s="4"/>
      <c r="S19" s="4"/>
      <c r="T19" s="4"/>
      <c r="U19" s="4"/>
    </row>
    <row r="20" spans="1:24" s="3" customFormat="1" ht="51" customHeight="1" x14ac:dyDescent="0.2">
      <c r="A20" s="375"/>
      <c r="B20" s="375"/>
      <c r="C20" s="375"/>
      <c r="D20" s="375"/>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541</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18" workbookViewId="0">
      <selection activeCell="A95" sqref="A95:XFD178"/>
    </sheetView>
  </sheetViews>
  <sheetFormatPr defaultRowHeight="15" x14ac:dyDescent="0.25"/>
  <cols>
    <col min="1" max="1" width="35.42578125" style="332" customWidth="1"/>
    <col min="2" max="2" width="22" style="332" customWidth="1"/>
    <col min="3" max="5" width="17.140625" style="332" customWidth="1"/>
    <col min="6" max="12" width="13.5703125" style="332" customWidth="1"/>
    <col min="13" max="13" width="13.5703125" style="332" hidden="1" customWidth="1"/>
    <col min="14" max="32" width="15.7109375" style="332" hidden="1" customWidth="1"/>
    <col min="33" max="33" width="15.7109375" style="332" customWidth="1"/>
    <col min="34" max="16384" width="9.140625" style="332"/>
  </cols>
  <sheetData>
    <row r="1" spans="1:45" s="195" customFormat="1" ht="12.7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s="195" customFormat="1" ht="12.7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s="195" customFormat="1" ht="12.75" x14ac:dyDescent="0.2">
      <c r="A3" s="199"/>
      <c r="B3" s="193"/>
      <c r="C3" s="193"/>
      <c r="D3" s="193"/>
      <c r="E3" s="193"/>
      <c r="F3" s="193"/>
      <c r="G3" s="193"/>
      <c r="H3" s="193"/>
      <c r="I3" s="193"/>
      <c r="J3" s="193"/>
      <c r="K3" s="198"/>
      <c r="L3" s="193"/>
      <c r="M3" s="193"/>
      <c r="N3" s="193"/>
      <c r="O3" s="193"/>
      <c r="P3" s="198" t="s">
        <v>328</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s="195" customFormat="1" ht="12.7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s="195" customFormat="1" ht="12.75" x14ac:dyDescent="0.2">
      <c r="A5" s="380" t="str">
        <f>'1. паспорт местоположение'!A5:C5</f>
        <v>Год раскрытия информации: 2023 год</v>
      </c>
      <c r="B5" s="380"/>
      <c r="C5" s="380"/>
      <c r="D5" s="380"/>
      <c r="E5" s="380"/>
      <c r="F5" s="380"/>
      <c r="G5" s="380"/>
      <c r="H5" s="380"/>
      <c r="I5" s="380"/>
      <c r="J5" s="380"/>
      <c r="K5" s="380"/>
      <c r="L5" s="380"/>
      <c r="M5" s="380"/>
      <c r="N5" s="380"/>
      <c r="O5" s="380"/>
      <c r="P5" s="38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s="195" customFormat="1" ht="12.7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s="195" customFormat="1" ht="12.75" x14ac:dyDescent="0.2">
      <c r="A7" s="380" t="s">
        <v>7</v>
      </c>
      <c r="B7" s="380"/>
      <c r="C7" s="380"/>
      <c r="D7" s="380"/>
      <c r="E7" s="380"/>
      <c r="F7" s="380"/>
      <c r="G7" s="380"/>
      <c r="H7" s="380"/>
      <c r="I7" s="380"/>
      <c r="J7" s="380"/>
      <c r="K7" s="380"/>
      <c r="L7" s="380"/>
      <c r="M7" s="380"/>
      <c r="N7" s="380"/>
      <c r="O7" s="380"/>
      <c r="P7" s="38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s="195" customFormat="1" ht="12.7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s="195" customFormat="1" ht="12.75" x14ac:dyDescent="0.2">
      <c r="A9" s="381" t="str">
        <f>'[1]1. паспорт местоположение'!A9:C9</f>
        <v xml:space="preserve">Акционерное общество "Западная энергетическая компания" </v>
      </c>
      <c r="B9" s="381"/>
      <c r="C9" s="381"/>
      <c r="D9" s="381"/>
      <c r="E9" s="381"/>
      <c r="F9" s="381"/>
      <c r="G9" s="381"/>
      <c r="H9" s="381"/>
      <c r="I9" s="381"/>
      <c r="J9" s="381"/>
      <c r="K9" s="381"/>
      <c r="L9" s="381"/>
      <c r="M9" s="381"/>
      <c r="N9" s="381"/>
      <c r="O9" s="381"/>
      <c r="P9" s="38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s="195" customFormat="1" ht="12.75" x14ac:dyDescent="0.2">
      <c r="A10" s="379" t="s">
        <v>6</v>
      </c>
      <c r="B10" s="379"/>
      <c r="C10" s="379"/>
      <c r="D10" s="379"/>
      <c r="E10" s="379"/>
      <c r="F10" s="379"/>
      <c r="G10" s="379"/>
      <c r="H10" s="379"/>
      <c r="I10" s="379"/>
      <c r="J10" s="379"/>
      <c r="K10" s="379"/>
      <c r="L10" s="379"/>
      <c r="M10" s="379"/>
      <c r="N10" s="379"/>
      <c r="O10" s="379"/>
      <c r="P10" s="379"/>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196"/>
      <c r="AQ10" s="196"/>
      <c r="AR10" s="197"/>
      <c r="AS10" s="197"/>
    </row>
    <row r="11" spans="1:45" s="195" customFormat="1" ht="12.7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s="195" customFormat="1" ht="12.75" x14ac:dyDescent="0.2">
      <c r="A12" s="381" t="str">
        <f>'1. паспорт местоположение'!A12:C12</f>
        <v>M 22-05</v>
      </c>
      <c r="B12" s="381"/>
      <c r="C12" s="381"/>
      <c r="D12" s="381"/>
      <c r="E12" s="381"/>
      <c r="F12" s="381"/>
      <c r="G12" s="381"/>
      <c r="H12" s="381"/>
      <c r="I12" s="381"/>
      <c r="J12" s="381"/>
      <c r="K12" s="381"/>
      <c r="L12" s="381"/>
      <c r="M12" s="381"/>
      <c r="N12" s="381"/>
      <c r="O12" s="381"/>
      <c r="P12" s="38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s="195" customFormat="1" ht="12.75" x14ac:dyDescent="0.2">
      <c r="A13" s="379" t="s">
        <v>5</v>
      </c>
      <c r="B13" s="379"/>
      <c r="C13" s="379"/>
      <c r="D13" s="379"/>
      <c r="E13" s="379"/>
      <c r="F13" s="379"/>
      <c r="G13" s="379"/>
      <c r="H13" s="379"/>
      <c r="I13" s="379"/>
      <c r="J13" s="379"/>
      <c r="K13" s="379"/>
      <c r="L13" s="379"/>
      <c r="M13" s="379"/>
      <c r="N13" s="379"/>
      <c r="O13" s="379"/>
      <c r="P13" s="379"/>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196"/>
      <c r="AQ13" s="196"/>
      <c r="AR13" s="197"/>
      <c r="AS13" s="197"/>
    </row>
    <row r="14" spans="1:45" s="195" customFormat="1" ht="12.7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s="195" customFormat="1" ht="12.75" x14ac:dyDescent="0.2">
      <c r="A15" s="384" t="str">
        <f>'1. паспорт местоположение'!A15:C15</f>
        <v>Приобретение аппарата испытания диэлектриков АИД-70М</v>
      </c>
      <c r="B15" s="384"/>
      <c r="C15" s="384"/>
      <c r="D15" s="384"/>
      <c r="E15" s="384"/>
      <c r="F15" s="384"/>
      <c r="G15" s="384"/>
      <c r="H15" s="384"/>
      <c r="I15" s="384"/>
      <c r="J15" s="384"/>
      <c r="K15" s="384"/>
      <c r="L15" s="384"/>
      <c r="M15" s="384"/>
      <c r="N15" s="384"/>
      <c r="O15" s="384"/>
      <c r="P15" s="384"/>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s="195" customFormat="1" ht="12.75" x14ac:dyDescent="0.2">
      <c r="A16" s="385" t="s">
        <v>4</v>
      </c>
      <c r="B16" s="385"/>
      <c r="C16" s="385"/>
      <c r="D16" s="385"/>
      <c r="E16" s="385"/>
      <c r="F16" s="385"/>
      <c r="G16" s="385"/>
      <c r="H16" s="385"/>
      <c r="I16" s="385"/>
      <c r="J16" s="385"/>
      <c r="K16" s="385"/>
      <c r="L16" s="385"/>
      <c r="M16" s="385"/>
      <c r="N16" s="385"/>
      <c r="O16" s="385"/>
      <c r="P16" s="38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196"/>
      <c r="AQ16" s="196"/>
      <c r="AR16" s="197"/>
      <c r="AS16" s="197"/>
    </row>
    <row r="17" spans="1:45" s="195" customFormat="1" ht="12.7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s="195" customFormat="1" ht="12.75" x14ac:dyDescent="0.2">
      <c r="A18" s="386" t="s">
        <v>477</v>
      </c>
      <c r="B18" s="386"/>
      <c r="C18" s="386"/>
      <c r="D18" s="386"/>
      <c r="E18" s="386"/>
      <c r="F18" s="386"/>
      <c r="G18" s="386"/>
      <c r="H18" s="386"/>
      <c r="I18" s="386"/>
      <c r="J18" s="386"/>
      <c r="K18" s="386"/>
      <c r="L18" s="386"/>
      <c r="M18" s="386"/>
      <c r="N18" s="386"/>
      <c r="O18" s="386"/>
      <c r="P18" s="386"/>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s="195" customFormat="1" ht="12.7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s="195" customFormat="1" ht="12.7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s="195" customFormat="1" ht="12.75" x14ac:dyDescent="0.2">
      <c r="A21" s="211"/>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P21" s="196"/>
      <c r="AQ21" s="196"/>
      <c r="AR21" s="197"/>
      <c r="AS21" s="197"/>
    </row>
    <row r="22" spans="1:45" s="195" customFormat="1" ht="12.75" x14ac:dyDescent="0.2">
      <c r="A22" s="202"/>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P22" s="196"/>
      <c r="AQ22" s="196"/>
      <c r="AR22" s="197"/>
      <c r="AS22" s="197"/>
    </row>
    <row r="23" spans="1:45" s="195" customFormat="1" ht="13.5" thickBot="1" x14ac:dyDescent="0.25">
      <c r="A23" s="212" t="s">
        <v>327</v>
      </c>
      <c r="B23" s="212" t="s">
        <v>1</v>
      </c>
      <c r="C23" s="205"/>
      <c r="D23" s="213"/>
      <c r="E23" s="205"/>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row>
    <row r="24" spans="1:45" s="195" customFormat="1" x14ac:dyDescent="0.2">
      <c r="A24" s="214" t="s">
        <v>515</v>
      </c>
      <c r="B24" s="215">
        <f>'6.2. Паспорт фин осв ввод'!D30*1000000</f>
        <v>256666.66666666666</v>
      </c>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row>
    <row r="25" spans="1:45" s="195" customFormat="1" ht="12.75" x14ac:dyDescent="0.2">
      <c r="A25" s="216" t="s">
        <v>325</v>
      </c>
      <c r="B25" s="217">
        <v>0</v>
      </c>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6" spans="1:45" s="195" customFormat="1" ht="12.75" x14ac:dyDescent="0.2">
      <c r="A26" s="216" t="s">
        <v>323</v>
      </c>
      <c r="B26" s="217">
        <v>30</v>
      </c>
      <c r="C26" s="205"/>
      <c r="D26" s="202" t="s">
        <v>326</v>
      </c>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7" spans="1:45" s="195" customFormat="1" ht="13.5" thickBot="1" x14ac:dyDescent="0.25">
      <c r="A27" s="218" t="s">
        <v>321</v>
      </c>
      <c r="B27" s="219">
        <v>1</v>
      </c>
      <c r="C27" s="205"/>
      <c r="D27" s="387" t="s">
        <v>324</v>
      </c>
      <c r="E27" s="388"/>
      <c r="F27" s="389"/>
      <c r="G27" s="220" t="str">
        <f>IF(SUM(B89:AG89)=0,"не окупается",SUM(B89:AG89))</f>
        <v>не окупается</v>
      </c>
      <c r="H27" s="221"/>
      <c r="I27" s="205"/>
      <c r="J27" s="205"/>
      <c r="K27" s="205"/>
      <c r="L27" s="205"/>
      <c r="M27" s="205"/>
      <c r="N27" s="205"/>
      <c r="O27" s="205"/>
      <c r="P27" s="205"/>
      <c r="Q27" s="205"/>
      <c r="R27" s="205"/>
      <c r="S27" s="205"/>
      <c r="T27" s="205"/>
      <c r="U27" s="205"/>
      <c r="V27" s="205"/>
      <c r="W27" s="205"/>
      <c r="X27" s="205"/>
      <c r="Y27" s="205"/>
      <c r="Z27" s="205"/>
      <c r="AA27" s="205"/>
      <c r="AB27" s="205"/>
      <c r="AC27" s="205"/>
    </row>
    <row r="28" spans="1:45" s="195" customFormat="1" x14ac:dyDescent="0.2">
      <c r="A28" s="214" t="s">
        <v>320</v>
      </c>
      <c r="B28" s="215">
        <f>B24*0.0001</f>
        <v>25.666666666666668</v>
      </c>
      <c r="C28" s="205"/>
      <c r="D28" s="387" t="s">
        <v>322</v>
      </c>
      <c r="E28" s="388"/>
      <c r="F28" s="389"/>
      <c r="G28" s="220" t="str">
        <f>IF(SUM(B90:AG90)=0,"не окупается",SUM(B90:AG90))</f>
        <v>не окупается</v>
      </c>
      <c r="H28" s="221"/>
      <c r="I28" s="205"/>
      <c r="J28" s="205"/>
      <c r="K28" s="205"/>
      <c r="L28" s="205"/>
      <c r="M28" s="205"/>
      <c r="N28" s="205"/>
      <c r="O28" s="205"/>
      <c r="P28" s="205"/>
      <c r="Q28" s="205"/>
      <c r="R28" s="205"/>
      <c r="S28" s="205"/>
      <c r="T28" s="205"/>
      <c r="U28" s="205"/>
      <c r="V28" s="205"/>
      <c r="W28" s="205"/>
      <c r="X28" s="205"/>
      <c r="Y28" s="205"/>
      <c r="Z28" s="205"/>
      <c r="AA28" s="205"/>
      <c r="AB28" s="205"/>
      <c r="AC28" s="205"/>
    </row>
    <row r="29" spans="1:45" s="195" customFormat="1" ht="12.75" x14ac:dyDescent="0.2">
      <c r="A29" s="216" t="s">
        <v>516</v>
      </c>
      <c r="B29" s="217">
        <v>6</v>
      </c>
      <c r="C29" s="205"/>
      <c r="D29" s="387" t="s">
        <v>555</v>
      </c>
      <c r="E29" s="388"/>
      <c r="F29" s="389"/>
      <c r="G29" s="222">
        <f>L87</f>
        <v>-382491.1410467666</v>
      </c>
      <c r="H29" s="223"/>
      <c r="I29" s="205"/>
      <c r="J29" s="205"/>
      <c r="K29" s="205"/>
      <c r="L29" s="205"/>
      <c r="M29" s="205"/>
      <c r="N29" s="205"/>
      <c r="O29" s="205"/>
      <c r="P29" s="205"/>
      <c r="Q29" s="205"/>
      <c r="R29" s="205"/>
      <c r="S29" s="205"/>
      <c r="T29" s="205"/>
      <c r="U29" s="205"/>
      <c r="V29" s="205"/>
      <c r="W29" s="205"/>
      <c r="X29" s="205"/>
      <c r="Y29" s="205"/>
      <c r="Z29" s="205"/>
      <c r="AA29" s="205"/>
      <c r="AB29" s="205"/>
      <c r="AC29" s="205"/>
    </row>
    <row r="30" spans="1:45" s="195" customFormat="1" ht="12.75" x14ac:dyDescent="0.2">
      <c r="A30" s="216" t="s">
        <v>319</v>
      </c>
      <c r="B30" s="217">
        <v>6</v>
      </c>
      <c r="C30" s="205"/>
      <c r="D30" s="387"/>
      <c r="E30" s="388"/>
      <c r="F30" s="389"/>
      <c r="G30" s="224"/>
      <c r="H30" s="225"/>
      <c r="I30" s="205"/>
      <c r="J30" s="205"/>
      <c r="K30" s="205"/>
      <c r="L30" s="205"/>
      <c r="M30" s="205"/>
      <c r="N30" s="205"/>
      <c r="O30" s="205"/>
      <c r="P30" s="205"/>
      <c r="Q30" s="205"/>
      <c r="R30" s="205"/>
      <c r="S30" s="205"/>
      <c r="T30" s="205"/>
      <c r="U30" s="205"/>
      <c r="V30" s="205"/>
      <c r="W30" s="205"/>
      <c r="X30" s="205"/>
      <c r="Y30" s="205"/>
      <c r="Z30" s="205"/>
      <c r="AA30" s="205"/>
      <c r="AB30" s="205"/>
      <c r="AC30" s="205"/>
    </row>
    <row r="31" spans="1:45" s="195" customFormat="1" ht="12.75" x14ac:dyDescent="0.2">
      <c r="A31" s="216" t="s">
        <v>298</v>
      </c>
      <c r="B31" s="217">
        <v>0</v>
      </c>
      <c r="C31" s="205"/>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row>
    <row r="32" spans="1:45" s="195" customFormat="1" ht="12.75" x14ac:dyDescent="0.2">
      <c r="A32" s="216" t="s">
        <v>318</v>
      </c>
      <c r="B32" s="217">
        <v>1</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row>
    <row r="33" spans="1:31" s="195" customFormat="1" ht="12.75" x14ac:dyDescent="0.2">
      <c r="A33" s="216" t="s">
        <v>317</v>
      </c>
      <c r="B33" s="217">
        <v>1</v>
      </c>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row>
    <row r="34" spans="1:31" s="195" customFormat="1" ht="12.75" x14ac:dyDescent="0.2">
      <c r="A34" s="226" t="s">
        <v>556</v>
      </c>
      <c r="B34" s="217">
        <f>B24*0.0003</f>
        <v>76.999999999999986</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row>
    <row r="35" spans="1:31" s="195" customFormat="1" ht="13.5" thickBot="1" x14ac:dyDescent="0.25">
      <c r="A35" s="218" t="s">
        <v>292</v>
      </c>
      <c r="B35" s="227">
        <v>0.2</v>
      </c>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row>
    <row r="36" spans="1:31" s="195" customFormat="1" ht="12.75" x14ac:dyDescent="0.2">
      <c r="A36" s="214" t="s">
        <v>517</v>
      </c>
      <c r="B36" s="228">
        <v>0</v>
      </c>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row>
    <row r="37" spans="1:31" s="195" customFormat="1" ht="12.75" x14ac:dyDescent="0.2">
      <c r="A37" s="216" t="s">
        <v>316</v>
      </c>
      <c r="B37" s="217"/>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row>
    <row r="38" spans="1:31" s="195" customFormat="1" ht="13.5" thickBot="1" x14ac:dyDescent="0.25">
      <c r="A38" s="226" t="s">
        <v>315</v>
      </c>
      <c r="B38" s="229"/>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row>
    <row r="39" spans="1:31" s="195" customFormat="1" ht="12.75" x14ac:dyDescent="0.2">
      <c r="A39" s="230" t="s">
        <v>518</v>
      </c>
      <c r="B39" s="231">
        <v>1</v>
      </c>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row>
    <row r="40" spans="1:31" s="195" customFormat="1" ht="12.75" x14ac:dyDescent="0.2">
      <c r="A40" s="232" t="s">
        <v>314</v>
      </c>
      <c r="B40" s="233"/>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row>
    <row r="41" spans="1:31" s="195" customFormat="1" ht="12.75" x14ac:dyDescent="0.2">
      <c r="A41" s="232" t="s">
        <v>313</v>
      </c>
      <c r="B41" s="234"/>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row>
    <row r="42" spans="1:31" s="195" customFormat="1" ht="12.75" x14ac:dyDescent="0.2">
      <c r="A42" s="232" t="s">
        <v>312</v>
      </c>
      <c r="B42" s="234">
        <v>0</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row>
    <row r="43" spans="1:31" s="195" customFormat="1" ht="12.75" x14ac:dyDescent="0.2">
      <c r="A43" s="232" t="s">
        <v>311</v>
      </c>
      <c r="B43" s="235">
        <v>9.8699999999999996E-2</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row>
    <row r="44" spans="1:31" s="195" customFormat="1" ht="12.75" x14ac:dyDescent="0.2">
      <c r="A44" s="232" t="s">
        <v>310</v>
      </c>
      <c r="B44" s="236">
        <v>1</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row>
    <row r="45" spans="1:31" s="195" customFormat="1" ht="13.5" thickBot="1" x14ac:dyDescent="0.25">
      <c r="A45" s="237" t="s">
        <v>557</v>
      </c>
      <c r="B45" s="236">
        <f>B44*B43+B42*B41*(1-B35)</f>
        <v>9.8699999999999996E-2</v>
      </c>
      <c r="C45" s="238"/>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row>
    <row r="46" spans="1:31" s="195" customFormat="1" ht="12.75" x14ac:dyDescent="0.2">
      <c r="A46" s="239" t="s">
        <v>309</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s="195" customFormat="1" ht="12.75" x14ac:dyDescent="0.2">
      <c r="A47" s="242" t="s">
        <v>308</v>
      </c>
      <c r="B47" s="243">
        <f>H134</f>
        <v>0.13900000000000001</v>
      </c>
      <c r="C47" s="243">
        <f t="shared" ref="C47:E47" si="0">I134</f>
        <v>5.8999999999999997E-2</v>
      </c>
      <c r="D47" s="243">
        <f t="shared" si="0"/>
        <v>5.2999999999999999E-2</v>
      </c>
      <c r="E47" s="243">
        <f t="shared" si="0"/>
        <v>4.8000000000000001E-2</v>
      </c>
      <c r="F47" s="244">
        <v>4.7E-2</v>
      </c>
      <c r="G47" s="244">
        <v>4.7E-2</v>
      </c>
      <c r="H47" s="244">
        <v>4.7E-2</v>
      </c>
      <c r="I47" s="244">
        <v>4.7E-2</v>
      </c>
      <c r="J47" s="244">
        <v>4.7E-2</v>
      </c>
      <c r="K47" s="244">
        <v>4.7E-2</v>
      </c>
      <c r="L47" s="244">
        <v>4.7E-2</v>
      </c>
      <c r="M47" s="244">
        <v>4.7E-2</v>
      </c>
      <c r="N47" s="244">
        <v>4.7E-2</v>
      </c>
      <c r="O47" s="244">
        <v>4.7E-2</v>
      </c>
      <c r="P47" s="244">
        <v>4.7E-2</v>
      </c>
      <c r="Q47" s="244">
        <v>4.7E-2</v>
      </c>
      <c r="R47" s="244">
        <v>4.7E-2</v>
      </c>
      <c r="S47" s="244">
        <v>4.7E-2</v>
      </c>
      <c r="T47" s="244">
        <v>4.7E-2</v>
      </c>
      <c r="U47" s="244">
        <v>4.7E-2</v>
      </c>
      <c r="V47" s="244">
        <v>4.7E-2</v>
      </c>
      <c r="W47" s="244">
        <v>4.7E-2</v>
      </c>
      <c r="X47" s="244">
        <v>4.7E-2</v>
      </c>
      <c r="Y47" s="244">
        <v>4.7E-2</v>
      </c>
      <c r="Z47" s="244">
        <v>4.7E-2</v>
      </c>
      <c r="AA47" s="244">
        <v>4.7E-2</v>
      </c>
      <c r="AB47" s="244">
        <v>4.7E-2</v>
      </c>
      <c r="AC47" s="244">
        <v>4.7E-2</v>
      </c>
      <c r="AD47" s="244">
        <v>4.7E-2</v>
      </c>
      <c r="AE47" s="244">
        <v>4.7E-2</v>
      </c>
    </row>
    <row r="48" spans="1:31" s="195" customFormat="1" ht="12.75" x14ac:dyDescent="0.2">
      <c r="A48" s="242" t="s">
        <v>307</v>
      </c>
      <c r="B48" s="244">
        <f>B47</f>
        <v>0.13900000000000001</v>
      </c>
      <c r="C48" s="244">
        <f t="shared" ref="C48:AE48" si="1">(1+B48)*(1+C47)-1</f>
        <v>0.20620099999999986</v>
      </c>
      <c r="D48" s="244">
        <f t="shared" si="1"/>
        <v>0.27012965299999969</v>
      </c>
      <c r="E48" s="244">
        <f t="shared" si="1"/>
        <v>0.33109587634399973</v>
      </c>
      <c r="F48" s="244">
        <f>(1+E48)*(1+F47)-1</f>
        <v>0.39365738253216764</v>
      </c>
      <c r="G48" s="244">
        <f t="shared" si="1"/>
        <v>0.45915927951117941</v>
      </c>
      <c r="H48" s="244">
        <f t="shared" si="1"/>
        <v>0.52773976564820479</v>
      </c>
      <c r="I48" s="244">
        <f t="shared" si="1"/>
        <v>0.59954353463367038</v>
      </c>
      <c r="J48" s="244">
        <f t="shared" si="1"/>
        <v>0.67472208076145268</v>
      </c>
      <c r="K48" s="244">
        <f t="shared" si="1"/>
        <v>0.75343401855724079</v>
      </c>
      <c r="L48" s="244">
        <f t="shared" si="1"/>
        <v>0.83584541742943097</v>
      </c>
      <c r="M48" s="244">
        <f t="shared" si="1"/>
        <v>0.92213015204861404</v>
      </c>
      <c r="N48" s="244">
        <f t="shared" si="1"/>
        <v>1.0124702691948988</v>
      </c>
      <c r="O48" s="244">
        <f t="shared" si="1"/>
        <v>1.107056371847059</v>
      </c>
      <c r="P48" s="244">
        <f t="shared" si="1"/>
        <v>1.2060880213238705</v>
      </c>
      <c r="Q48" s="244">
        <f t="shared" si="1"/>
        <v>1.3097741583260922</v>
      </c>
      <c r="R48" s="244">
        <f t="shared" si="1"/>
        <v>1.4183335437674183</v>
      </c>
      <c r="S48" s="244">
        <f t="shared" si="1"/>
        <v>1.5319952203244869</v>
      </c>
      <c r="T48" s="244">
        <f t="shared" si="1"/>
        <v>1.6509989956797377</v>
      </c>
      <c r="U48" s="244">
        <f t="shared" si="1"/>
        <v>1.7755959484766852</v>
      </c>
      <c r="V48" s="244">
        <f t="shared" si="1"/>
        <v>1.9060489580550892</v>
      </c>
      <c r="W48" s="244">
        <f t="shared" si="1"/>
        <v>2.0426332590836784</v>
      </c>
      <c r="X48" s="244">
        <f t="shared" si="1"/>
        <v>2.185637022260611</v>
      </c>
      <c r="Y48" s="244">
        <f t="shared" si="1"/>
        <v>2.3353619623068593</v>
      </c>
      <c r="Z48" s="244">
        <f t="shared" si="1"/>
        <v>2.4921239745352817</v>
      </c>
      <c r="AA48" s="244">
        <f t="shared" si="1"/>
        <v>2.6562538013384396</v>
      </c>
      <c r="AB48" s="244">
        <f t="shared" si="1"/>
        <v>2.8280977300013461</v>
      </c>
      <c r="AC48" s="244">
        <f t="shared" si="1"/>
        <v>3.0080183233114095</v>
      </c>
      <c r="AD48" s="244">
        <f t="shared" si="1"/>
        <v>3.1963951845070451</v>
      </c>
      <c r="AE48" s="244">
        <f t="shared" si="1"/>
        <v>3.3936257581788762</v>
      </c>
    </row>
    <row r="49" spans="1:31" s="195" customFormat="1" ht="15.75" thickBot="1" x14ac:dyDescent="0.25">
      <c r="A49" s="245" t="s">
        <v>519</v>
      </c>
      <c r="B49" s="246">
        <f>B24*1.2/2*0</f>
        <v>0</v>
      </c>
      <c r="C49" s="246">
        <v>0</v>
      </c>
      <c r="D49" s="246">
        <v>0</v>
      </c>
      <c r="E49" s="246">
        <v>0</v>
      </c>
      <c r="F49" s="247">
        <f>J106*(1+F48)</f>
        <v>0</v>
      </c>
      <c r="G49" s="247">
        <f t="shared" ref="G49:AE49" si="2">K106*(1+G48)</f>
        <v>0</v>
      </c>
      <c r="H49" s="247">
        <f t="shared" si="2"/>
        <v>0</v>
      </c>
      <c r="I49" s="247">
        <f t="shared" si="2"/>
        <v>0</v>
      </c>
      <c r="J49" s="247">
        <f>N106*(1+J48)</f>
        <v>0</v>
      </c>
      <c r="K49" s="247">
        <f t="shared" si="2"/>
        <v>0</v>
      </c>
      <c r="L49" s="247">
        <f t="shared" si="2"/>
        <v>0</v>
      </c>
      <c r="M49" s="247">
        <f t="shared" si="2"/>
        <v>0</v>
      </c>
      <c r="N49" s="247">
        <f t="shared" si="2"/>
        <v>0</v>
      </c>
      <c r="O49" s="247">
        <f t="shared" si="2"/>
        <v>0</v>
      </c>
      <c r="P49" s="247">
        <f t="shared" si="2"/>
        <v>0</v>
      </c>
      <c r="Q49" s="247">
        <f t="shared" si="2"/>
        <v>0</v>
      </c>
      <c r="R49" s="247">
        <f t="shared" si="2"/>
        <v>0</v>
      </c>
      <c r="S49" s="247">
        <f t="shared" si="2"/>
        <v>0</v>
      </c>
      <c r="T49" s="247">
        <f t="shared" si="2"/>
        <v>0</v>
      </c>
      <c r="U49" s="247">
        <f t="shared" si="2"/>
        <v>0</v>
      </c>
      <c r="V49" s="247">
        <f t="shared" si="2"/>
        <v>0</v>
      </c>
      <c r="W49" s="247">
        <f t="shared" si="2"/>
        <v>0</v>
      </c>
      <c r="X49" s="247">
        <f t="shared" si="2"/>
        <v>0</v>
      </c>
      <c r="Y49" s="247">
        <f t="shared" si="2"/>
        <v>0</v>
      </c>
      <c r="Z49" s="247">
        <f t="shared" si="2"/>
        <v>0</v>
      </c>
      <c r="AA49" s="247">
        <f t="shared" si="2"/>
        <v>0</v>
      </c>
      <c r="AB49" s="247">
        <f t="shared" si="2"/>
        <v>0</v>
      </c>
      <c r="AC49" s="247">
        <f t="shared" si="2"/>
        <v>0</v>
      </c>
      <c r="AD49" s="247">
        <f t="shared" si="2"/>
        <v>0</v>
      </c>
      <c r="AE49" s="247">
        <f t="shared" si="2"/>
        <v>0</v>
      </c>
    </row>
    <row r="50" spans="1:31" s="195" customFormat="1" ht="13.5" thickBot="1" x14ac:dyDescent="0.25">
      <c r="A50" s="248"/>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49"/>
      <c r="AD50" s="249"/>
      <c r="AE50" s="249"/>
    </row>
    <row r="51" spans="1:31" s="195" customFormat="1" ht="12.75" x14ac:dyDescent="0.2">
      <c r="A51" s="250" t="s">
        <v>306</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s="195" customFormat="1" ht="12.75" x14ac:dyDescent="0.2">
      <c r="A52" s="242" t="s">
        <v>305</v>
      </c>
      <c r="B52" s="251">
        <v>0</v>
      </c>
      <c r="C52" s="251">
        <v>0</v>
      </c>
      <c r="D52" s="251">
        <v>0</v>
      </c>
      <c r="E52" s="251">
        <v>0</v>
      </c>
      <c r="F52" s="251">
        <v>0</v>
      </c>
      <c r="G52" s="251">
        <v>0</v>
      </c>
      <c r="H52" s="251">
        <v>0</v>
      </c>
      <c r="I52" s="251">
        <v>0</v>
      </c>
      <c r="J52" s="251">
        <v>0</v>
      </c>
      <c r="K52" s="251">
        <v>0</v>
      </c>
      <c r="L52" s="251">
        <v>0</v>
      </c>
      <c r="M52" s="251">
        <v>0</v>
      </c>
      <c r="N52" s="251">
        <v>0</v>
      </c>
      <c r="O52" s="251">
        <v>0</v>
      </c>
      <c r="P52" s="251">
        <v>0</v>
      </c>
      <c r="Q52" s="251">
        <v>0</v>
      </c>
      <c r="R52" s="251">
        <v>0</v>
      </c>
      <c r="S52" s="251">
        <v>0</v>
      </c>
      <c r="T52" s="251">
        <v>0</v>
      </c>
      <c r="U52" s="251">
        <v>0</v>
      </c>
      <c r="V52" s="251">
        <v>0</v>
      </c>
      <c r="W52" s="251">
        <v>0</v>
      </c>
      <c r="X52" s="251">
        <v>0</v>
      </c>
      <c r="Y52" s="251">
        <v>0</v>
      </c>
      <c r="Z52" s="251">
        <v>0</v>
      </c>
      <c r="AA52" s="251">
        <v>0</v>
      </c>
      <c r="AB52" s="251">
        <v>0</v>
      </c>
      <c r="AC52" s="252">
        <v>0</v>
      </c>
      <c r="AD52" s="252">
        <v>0</v>
      </c>
      <c r="AE52" s="252">
        <v>0</v>
      </c>
    </row>
    <row r="53" spans="1:31" s="195" customFormat="1" ht="12.75" x14ac:dyDescent="0.2">
      <c r="A53" s="242" t="s">
        <v>304</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2">
        <v>0</v>
      </c>
      <c r="AD53" s="252">
        <v>0</v>
      </c>
      <c r="AE53" s="252">
        <v>0</v>
      </c>
    </row>
    <row r="54" spans="1:31" s="195" customFormat="1" ht="12.75" x14ac:dyDescent="0.2">
      <c r="A54" s="242" t="s">
        <v>303</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2">
        <v>0</v>
      </c>
      <c r="AD54" s="252">
        <v>0</v>
      </c>
      <c r="AE54" s="252">
        <v>0</v>
      </c>
    </row>
    <row r="55" spans="1:31" s="195" customFormat="1" ht="13.5" thickBot="1" x14ac:dyDescent="0.25">
      <c r="A55" s="245" t="s">
        <v>302</v>
      </c>
      <c r="B55" s="253">
        <v>0</v>
      </c>
      <c r="C55" s="253">
        <v>0</v>
      </c>
      <c r="D55" s="253">
        <v>0</v>
      </c>
      <c r="E55" s="253">
        <v>0</v>
      </c>
      <c r="F55" s="253">
        <v>0</v>
      </c>
      <c r="G55" s="253">
        <v>0</v>
      </c>
      <c r="H55" s="253">
        <v>0</v>
      </c>
      <c r="I55" s="253">
        <v>0</v>
      </c>
      <c r="J55" s="253">
        <v>0</v>
      </c>
      <c r="K55" s="253">
        <v>0</v>
      </c>
      <c r="L55" s="253">
        <v>0</v>
      </c>
      <c r="M55" s="253">
        <v>0</v>
      </c>
      <c r="N55" s="253">
        <v>0</v>
      </c>
      <c r="O55" s="253">
        <v>0</v>
      </c>
      <c r="P55" s="253">
        <v>0</v>
      </c>
      <c r="Q55" s="253">
        <v>0</v>
      </c>
      <c r="R55" s="253">
        <v>0</v>
      </c>
      <c r="S55" s="253">
        <v>0</v>
      </c>
      <c r="T55" s="253">
        <v>0</v>
      </c>
      <c r="U55" s="253">
        <v>0</v>
      </c>
      <c r="V55" s="253">
        <v>0</v>
      </c>
      <c r="W55" s="253">
        <v>0</v>
      </c>
      <c r="X55" s="253">
        <v>0</v>
      </c>
      <c r="Y55" s="253">
        <v>0</v>
      </c>
      <c r="Z55" s="253">
        <v>0</v>
      </c>
      <c r="AA55" s="253">
        <v>0</v>
      </c>
      <c r="AB55" s="253">
        <v>0</v>
      </c>
      <c r="AC55" s="254">
        <v>0</v>
      </c>
      <c r="AD55" s="254">
        <v>0</v>
      </c>
      <c r="AE55" s="254">
        <v>0</v>
      </c>
    </row>
    <row r="56" spans="1:31" s="195" customFormat="1" ht="13.5" thickBot="1" x14ac:dyDescent="0.25">
      <c r="A56" s="248"/>
      <c r="B56" s="255"/>
      <c r="C56" s="255"/>
      <c r="D56" s="255"/>
      <c r="E56" s="255"/>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6"/>
      <c r="AD56" s="256"/>
      <c r="AE56" s="256"/>
    </row>
    <row r="57" spans="1:31" s="195" customFormat="1" ht="13.5" thickBot="1" x14ac:dyDescent="0.25">
      <c r="A57" s="250" t="s">
        <v>520</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s="195" customFormat="1" ht="12.75" x14ac:dyDescent="0.2">
      <c r="A58" s="250" t="s">
        <v>301</v>
      </c>
      <c r="B58" s="240">
        <f t="shared" ref="B58:AE58" si="3">B49*$B$27</f>
        <v>0</v>
      </c>
      <c r="C58" s="240">
        <f t="shared" si="3"/>
        <v>0</v>
      </c>
      <c r="D58" s="240">
        <f t="shared" si="3"/>
        <v>0</v>
      </c>
      <c r="E58" s="240">
        <f t="shared" si="3"/>
        <v>0</v>
      </c>
      <c r="F58" s="240">
        <f t="shared" si="3"/>
        <v>0</v>
      </c>
      <c r="G58" s="240">
        <f t="shared" si="3"/>
        <v>0</v>
      </c>
      <c r="H58" s="240">
        <f t="shared" si="3"/>
        <v>0</v>
      </c>
      <c r="I58" s="240">
        <f t="shared" si="3"/>
        <v>0</v>
      </c>
      <c r="J58" s="240">
        <f t="shared" si="3"/>
        <v>0</v>
      </c>
      <c r="K58" s="240">
        <f t="shared" si="3"/>
        <v>0</v>
      </c>
      <c r="L58" s="240">
        <f t="shared" si="3"/>
        <v>0</v>
      </c>
      <c r="M58" s="240">
        <f t="shared" si="3"/>
        <v>0</v>
      </c>
      <c r="N58" s="240">
        <f t="shared" si="3"/>
        <v>0</v>
      </c>
      <c r="O58" s="240">
        <f t="shared" si="3"/>
        <v>0</v>
      </c>
      <c r="P58" s="240">
        <f t="shared" si="3"/>
        <v>0</v>
      </c>
      <c r="Q58" s="240">
        <f t="shared" si="3"/>
        <v>0</v>
      </c>
      <c r="R58" s="240">
        <f t="shared" si="3"/>
        <v>0</v>
      </c>
      <c r="S58" s="240">
        <f t="shared" si="3"/>
        <v>0</v>
      </c>
      <c r="T58" s="240">
        <f t="shared" si="3"/>
        <v>0</v>
      </c>
      <c r="U58" s="240">
        <f t="shared" si="3"/>
        <v>0</v>
      </c>
      <c r="V58" s="240">
        <f t="shared" si="3"/>
        <v>0</v>
      </c>
      <c r="W58" s="240">
        <f t="shared" si="3"/>
        <v>0</v>
      </c>
      <c r="X58" s="240">
        <f t="shared" si="3"/>
        <v>0</v>
      </c>
      <c r="Y58" s="240">
        <f t="shared" si="3"/>
        <v>0</v>
      </c>
      <c r="Z58" s="240">
        <f t="shared" si="3"/>
        <v>0</v>
      </c>
      <c r="AA58" s="240">
        <f t="shared" si="3"/>
        <v>0</v>
      </c>
      <c r="AB58" s="240">
        <f t="shared" si="3"/>
        <v>0</v>
      </c>
      <c r="AC58" s="240">
        <f t="shared" si="3"/>
        <v>0</v>
      </c>
      <c r="AD58" s="240">
        <f t="shared" si="3"/>
        <v>0</v>
      </c>
      <c r="AE58" s="240">
        <f t="shared" si="3"/>
        <v>0</v>
      </c>
    </row>
    <row r="59" spans="1:31" s="195" customFormat="1" ht="12.75" x14ac:dyDescent="0.2">
      <c r="A59" s="242" t="s">
        <v>300</v>
      </c>
      <c r="B59" s="257">
        <f t="shared" ref="B59:U59" si="4">SUM(B60:B65)</f>
        <v>0</v>
      </c>
      <c r="C59" s="257">
        <f t="shared" si="4"/>
        <v>-5420.7999999999993</v>
      </c>
      <c r="D59" s="257">
        <f t="shared" si="4"/>
        <v>-5420.7999999999993</v>
      </c>
      <c r="E59" s="257">
        <f t="shared" si="4"/>
        <v>-5420.7999999999993</v>
      </c>
      <c r="F59" s="257">
        <f>SUM(F60:F65)</f>
        <v>-5420.7999999999993</v>
      </c>
      <c r="G59" s="257">
        <f t="shared" si="4"/>
        <v>-5194.9333333333334</v>
      </c>
      <c r="H59" s="257">
        <f t="shared" si="4"/>
        <v>-4969.0666666666666</v>
      </c>
      <c r="I59" s="257">
        <f t="shared" si="4"/>
        <v>-4743.2000000000007</v>
      </c>
      <c r="J59" s="257">
        <f t="shared" si="4"/>
        <v>-4517.3333333333339</v>
      </c>
      <c r="K59" s="257">
        <f t="shared" si="4"/>
        <v>-4291.4666666666672</v>
      </c>
      <c r="L59" s="257">
        <f t="shared" si="4"/>
        <v>-4096.4000000000005</v>
      </c>
      <c r="M59" s="257">
        <f t="shared" si="4"/>
        <v>-3839.7333333333345</v>
      </c>
      <c r="N59" s="257">
        <f t="shared" si="4"/>
        <v>-3706.2666666666682</v>
      </c>
      <c r="O59" s="257">
        <f t="shared" si="4"/>
        <v>-3388.0000000000018</v>
      </c>
      <c r="P59" s="257">
        <f t="shared" si="4"/>
        <v>-8131.2000000000035</v>
      </c>
      <c r="Q59" s="257">
        <f t="shared" si="4"/>
        <v>-2936.2666666666687</v>
      </c>
      <c r="R59" s="257">
        <f t="shared" si="4"/>
        <v>-336866.27945394401</v>
      </c>
      <c r="S59" s="257">
        <f t="shared" si="4"/>
        <v>-2484.5333333333351</v>
      </c>
      <c r="T59" s="257">
        <f t="shared" si="4"/>
        <v>-2258.6666666666688</v>
      </c>
      <c r="U59" s="257">
        <f t="shared" si="4"/>
        <v>-2032.8000000000018</v>
      </c>
      <c r="V59" s="257">
        <f t="shared" ref="V59:AE59" si="5">SUM(V60:V65)</f>
        <v>-1899.3333333333348</v>
      </c>
      <c r="W59" s="257">
        <f t="shared" si="5"/>
        <v>-1581.0666666666682</v>
      </c>
      <c r="X59" s="257">
        <f t="shared" si="5"/>
        <v>-335511.079453944</v>
      </c>
      <c r="Y59" s="257">
        <f t="shared" si="5"/>
        <v>-1129.3333333333351</v>
      </c>
      <c r="Z59" s="257">
        <f t="shared" si="5"/>
        <v>-903.46666666666852</v>
      </c>
      <c r="AA59" s="257">
        <f t="shared" si="5"/>
        <v>-677.60000000000184</v>
      </c>
      <c r="AB59" s="257">
        <f t="shared" si="5"/>
        <v>-451.73333333333528</v>
      </c>
      <c r="AC59" s="257">
        <f t="shared" si="5"/>
        <v>0</v>
      </c>
      <c r="AD59" s="257">
        <f t="shared" si="5"/>
        <v>-92.399999999999977</v>
      </c>
      <c r="AE59" s="257">
        <f t="shared" si="5"/>
        <v>0</v>
      </c>
    </row>
    <row r="60" spans="1:31" s="195" customFormat="1" ht="12.75" x14ac:dyDescent="0.2">
      <c r="A60" s="258" t="s">
        <v>299</v>
      </c>
      <c r="B60" s="251"/>
      <c r="C60" s="251"/>
      <c r="D60" s="251"/>
      <c r="E60" s="251"/>
      <c r="F60" s="251"/>
      <c r="G60" s="251"/>
      <c r="H60" s="251"/>
      <c r="I60" s="251"/>
      <c r="J60" s="251"/>
      <c r="K60" s="251"/>
      <c r="L60" s="251">
        <f>-B28*1.2</f>
        <v>-30.8</v>
      </c>
      <c r="M60" s="251"/>
      <c r="N60" s="251"/>
      <c r="O60" s="251"/>
      <c r="P60" s="251"/>
      <c r="Q60" s="251"/>
      <c r="R60" s="251">
        <v>-334155.87945394398</v>
      </c>
      <c r="S60" s="251"/>
      <c r="T60" s="251"/>
      <c r="U60" s="251"/>
      <c r="V60" s="251"/>
      <c r="W60" s="251"/>
      <c r="X60" s="251">
        <v>-334155.87945394398</v>
      </c>
      <c r="Y60" s="251"/>
      <c r="Z60" s="251"/>
      <c r="AA60" s="251"/>
      <c r="AB60" s="251"/>
      <c r="AC60" s="251"/>
      <c r="AD60" s="251"/>
      <c r="AE60" s="251"/>
    </row>
    <row r="61" spans="1:31" s="195" customFormat="1" ht="12.75" x14ac:dyDescent="0.2">
      <c r="A61" s="258" t="s">
        <v>298</v>
      </c>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row>
    <row r="62" spans="1:31" s="195" customFormat="1" ht="12.75" x14ac:dyDescent="0.2">
      <c r="A62" s="258" t="s">
        <v>556</v>
      </c>
      <c r="B62" s="251"/>
      <c r="C62" s="251"/>
      <c r="D62" s="251"/>
      <c r="E62" s="251"/>
      <c r="F62" s="259"/>
      <c r="G62" s="251"/>
      <c r="H62" s="251"/>
      <c r="I62" s="251"/>
      <c r="J62" s="251"/>
      <c r="K62" s="251"/>
      <c r="L62" s="251"/>
      <c r="M62" s="251"/>
      <c r="N62" s="251">
        <f>-B34*1.2</f>
        <v>-92.399999999999977</v>
      </c>
      <c r="O62" s="251"/>
      <c r="P62" s="251"/>
      <c r="Q62" s="251"/>
      <c r="R62" s="251"/>
      <c r="S62" s="251"/>
      <c r="T62" s="251"/>
      <c r="U62" s="251"/>
      <c r="V62" s="251">
        <f>N62</f>
        <v>-92.399999999999977</v>
      </c>
      <c r="W62" s="251"/>
      <c r="X62" s="251"/>
      <c r="Y62" s="251"/>
      <c r="Z62" s="251"/>
      <c r="AA62" s="251"/>
      <c r="AB62" s="251"/>
      <c r="AC62" s="251"/>
      <c r="AD62" s="251">
        <f>V62</f>
        <v>-92.399999999999977</v>
      </c>
      <c r="AE62" s="251"/>
    </row>
    <row r="63" spans="1:31" s="195" customFormat="1" ht="12.75" x14ac:dyDescent="0.2">
      <c r="A63" s="258" t="s">
        <v>517</v>
      </c>
      <c r="B63" s="260">
        <v>0</v>
      </c>
      <c r="C63" s="260">
        <v>0</v>
      </c>
      <c r="D63" s="260">
        <v>0</v>
      </c>
      <c r="E63" s="260">
        <v>0</v>
      </c>
      <c r="F63" s="260">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60">
        <v>0</v>
      </c>
      <c r="AC63" s="260">
        <v>0</v>
      </c>
      <c r="AD63" s="260">
        <v>0</v>
      </c>
      <c r="AE63" s="260">
        <v>0</v>
      </c>
    </row>
    <row r="64" spans="1:31" s="195" customFormat="1" ht="12.75" x14ac:dyDescent="0.2">
      <c r="A64" s="258" t="s">
        <v>517</v>
      </c>
      <c r="B64" s="260">
        <v>0</v>
      </c>
      <c r="C64" s="260">
        <v>0</v>
      </c>
      <c r="D64" s="260">
        <v>0</v>
      </c>
      <c r="E64" s="260">
        <v>0</v>
      </c>
      <c r="F64" s="260">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60">
        <v>0</v>
      </c>
      <c r="AC64" s="260">
        <v>0</v>
      </c>
      <c r="AD64" s="260">
        <v>0</v>
      </c>
      <c r="AE64" s="260">
        <v>0</v>
      </c>
    </row>
    <row r="65" spans="1:32" s="195" customFormat="1" ht="12.75" x14ac:dyDescent="0.2">
      <c r="A65" s="258" t="s">
        <v>558</v>
      </c>
      <c r="B65" s="260">
        <v>0</v>
      </c>
      <c r="C65" s="260">
        <f>-($B$24+C67)*0.022</f>
        <v>-5420.7999999999993</v>
      </c>
      <c r="D65" s="260">
        <f t="shared" ref="D65:E65" si="6">-($B$24+D67)*0.022</f>
        <v>-5420.7999999999993</v>
      </c>
      <c r="E65" s="260">
        <f t="shared" si="6"/>
        <v>-5420.7999999999993</v>
      </c>
      <c r="F65" s="260">
        <f>-($B$24+F67)*0.022</f>
        <v>-5420.7999999999993</v>
      </c>
      <c r="G65" s="260">
        <f>-($B$24+G67+F67)*0.022</f>
        <v>-5194.9333333333334</v>
      </c>
      <c r="H65" s="261">
        <f>-($B$24+H67+F67+G67)*0.022</f>
        <v>-4969.0666666666666</v>
      </c>
      <c r="I65" s="261">
        <f>-($B$24+I67+G67+H67+F67)*0.022</f>
        <v>-4743.2000000000007</v>
      </c>
      <c r="J65" s="261">
        <f>-($B$24+J67+H67+I67+G67+F67)*0.022</f>
        <v>-4517.3333333333339</v>
      </c>
      <c r="K65" s="261">
        <f>-($B$24+K67+I67+J67+H67+F67+G67)*0.022</f>
        <v>-4291.4666666666672</v>
      </c>
      <c r="L65" s="261">
        <f>-($B$24+F67+L67+J67+K67+I67+G67+H67)*0.022</f>
        <v>-4065.6000000000008</v>
      </c>
      <c r="M65" s="261">
        <f>-($B$24+G67+M67+K67+L67+J67+H67+I67+F67)*0.022</f>
        <v>-3839.7333333333345</v>
      </c>
      <c r="N65" s="261">
        <f>-($B$24+H67+N67+L67+M67+K67+I67+J67+F67+G67)*0.022</f>
        <v>-3613.8666666666682</v>
      </c>
      <c r="O65" s="261">
        <f>-($B$24+I67+O67+M67+N67+L67+J67+K67+H67+G67+F67)*0.022</f>
        <v>-3388.0000000000018</v>
      </c>
      <c r="P65" s="261">
        <f>(-$B$24+J67+P67+N67+O67+M67+K67+L67+I67+H67+G67+F67)*0.022</f>
        <v>-8131.2000000000035</v>
      </c>
      <c r="Q65" s="261">
        <f>-($B$24+K67+Q67+O67+P67+N67+L67+M67+J67+I67+H67+F67+G67)*0.022</f>
        <v>-2936.2666666666687</v>
      </c>
      <c r="R65" s="261">
        <f>-($B$24+L67+R67+P67+Q67+O67+M67+N67+K67+J67+I67+G67+F67+H67)*0.022</f>
        <v>-2710.4000000000019</v>
      </c>
      <c r="S65" s="261">
        <f>-($B$24+M67+S67+Q67+R67+P67+N67+O67+L67+K67+J67+H67+I67+F67+G67)*0.022</f>
        <v>-2484.5333333333351</v>
      </c>
      <c r="T65" s="261">
        <f>-($B$24+N67+T67+R67+S67+Q67+O67+P67+M67+L67+K67+I67+J67+G67+F67+H67)*0.022</f>
        <v>-2258.6666666666688</v>
      </c>
      <c r="U65" s="261">
        <f>-($B$24+O67+U67+S67+T67+R67+P67+Q67+N67+M67+L67+J67+K67+H67+G67+F67+I67)*0.022</f>
        <v>-2032.8000000000018</v>
      </c>
      <c r="V65" s="261">
        <f>-($B$24+P67+V67+T67+U67+S67+Q67+R67+O67+N67+M67+K67+L67+I67+H67+G67+F67+J67)*0.022</f>
        <v>-1806.933333333335</v>
      </c>
      <c r="W65" s="261">
        <f>-($B$24+Q67+W67+U67+V67+T67+R67+S67+P67+O67+N67+L67+M67+J67+I67+H67+G67+F67+K67)*0.022</f>
        <v>-1581.0666666666682</v>
      </c>
      <c r="X65" s="261">
        <f>-($B$24+R67+X67+V67+W67+U67+S67+T67+Q67+P67+O67+M67+N67+K67+J67+I67+H67+F67+G67++L67)*0.022</f>
        <v>-1355.2000000000016</v>
      </c>
      <c r="Y65" s="261">
        <f>-($B$24+S67+Y67+W67+X67+V67+T67+U67+R67+Q67+P67+N67+O67+L67+K67+J67+I67+G67+H67+F67+M67)*0.022</f>
        <v>-1129.3333333333351</v>
      </c>
      <c r="Z65" s="261">
        <f>-($B$24+T67+Z67+X67+Y67+W67+U67+V67+S67+R67+Q67+O67+P67+M67+L67+K67+J67+H67+I67+G67+F67+N67)*0.022</f>
        <v>-903.46666666666852</v>
      </c>
      <c r="AA65" s="261">
        <f>-($B$24+U67+AA67+Y67+Z67+X67+V67+W67+T67+S67+R67+P67+Q67+N67+M67+L67+K67+I67+J67+H67+G67+F67+O67)*0.022</f>
        <v>-677.60000000000184</v>
      </c>
      <c r="AB65" s="261">
        <f>-($B$24+V67+AB67+Z67+AA67+Y67+W67+X67+U67+T67+S67+Q67+R67+O67+N67+M67+L67+J67+K67+I67+H67+G67+F67+P67)*0.022</f>
        <v>-451.73333333333528</v>
      </c>
      <c r="AC65" s="261">
        <v>0</v>
      </c>
      <c r="AD65" s="261">
        <v>0</v>
      </c>
      <c r="AE65" s="261">
        <v>0</v>
      </c>
      <c r="AF65" s="261"/>
    </row>
    <row r="66" spans="1:32" s="195" customFormat="1" ht="12.75" x14ac:dyDescent="0.2">
      <c r="A66" s="262" t="s">
        <v>559</v>
      </c>
      <c r="B66" s="191">
        <f t="shared" ref="B66:AE66" si="7">B58+B59</f>
        <v>0</v>
      </c>
      <c r="C66" s="191">
        <f t="shared" si="7"/>
        <v>-5420.7999999999993</v>
      </c>
      <c r="D66" s="191">
        <f t="shared" ref="D66:E66" si="8">D58+D59</f>
        <v>-5420.7999999999993</v>
      </c>
      <c r="E66" s="191">
        <f t="shared" si="8"/>
        <v>-5420.7999999999993</v>
      </c>
      <c r="F66" s="191">
        <f t="shared" si="7"/>
        <v>-5420.7999999999993</v>
      </c>
      <c r="G66" s="191">
        <f t="shared" si="7"/>
        <v>-5194.9333333333334</v>
      </c>
      <c r="H66" s="191">
        <f t="shared" si="7"/>
        <v>-4969.0666666666666</v>
      </c>
      <c r="I66" s="191">
        <f t="shared" si="7"/>
        <v>-4743.2000000000007</v>
      </c>
      <c r="J66" s="191">
        <f t="shared" si="7"/>
        <v>-4517.3333333333339</v>
      </c>
      <c r="K66" s="191">
        <f t="shared" si="7"/>
        <v>-4291.4666666666672</v>
      </c>
      <c r="L66" s="191">
        <f t="shared" si="7"/>
        <v>-4096.4000000000005</v>
      </c>
      <c r="M66" s="191">
        <f t="shared" si="7"/>
        <v>-3839.7333333333345</v>
      </c>
      <c r="N66" s="191">
        <f t="shared" si="7"/>
        <v>-3706.2666666666682</v>
      </c>
      <c r="O66" s="191">
        <f t="shared" si="7"/>
        <v>-3388.0000000000018</v>
      </c>
      <c r="P66" s="191">
        <f t="shared" si="7"/>
        <v>-8131.2000000000035</v>
      </c>
      <c r="Q66" s="191">
        <f t="shared" si="7"/>
        <v>-2936.2666666666687</v>
      </c>
      <c r="R66" s="191">
        <f t="shared" si="7"/>
        <v>-336866.27945394401</v>
      </c>
      <c r="S66" s="191">
        <f t="shared" si="7"/>
        <v>-2484.5333333333351</v>
      </c>
      <c r="T66" s="191">
        <f t="shared" si="7"/>
        <v>-2258.6666666666688</v>
      </c>
      <c r="U66" s="191">
        <f t="shared" si="7"/>
        <v>-2032.8000000000018</v>
      </c>
      <c r="V66" s="191">
        <f t="shared" si="7"/>
        <v>-1899.3333333333348</v>
      </c>
      <c r="W66" s="191">
        <f t="shared" si="7"/>
        <v>-1581.0666666666682</v>
      </c>
      <c r="X66" s="191">
        <f t="shared" si="7"/>
        <v>-335511.079453944</v>
      </c>
      <c r="Y66" s="191">
        <f t="shared" si="7"/>
        <v>-1129.3333333333351</v>
      </c>
      <c r="Z66" s="191">
        <f t="shared" si="7"/>
        <v>-903.46666666666852</v>
      </c>
      <c r="AA66" s="191">
        <f t="shared" si="7"/>
        <v>-677.60000000000184</v>
      </c>
      <c r="AB66" s="191">
        <f t="shared" si="7"/>
        <v>-451.73333333333528</v>
      </c>
      <c r="AC66" s="191">
        <f t="shared" si="7"/>
        <v>0</v>
      </c>
      <c r="AD66" s="191">
        <f t="shared" si="7"/>
        <v>-92.399999999999977</v>
      </c>
      <c r="AE66" s="191">
        <f t="shared" si="7"/>
        <v>0</v>
      </c>
    </row>
    <row r="67" spans="1:32" s="195" customFormat="1" ht="12.75" x14ac:dyDescent="0.2">
      <c r="A67" s="258" t="s">
        <v>294</v>
      </c>
      <c r="B67" s="263">
        <v>0</v>
      </c>
      <c r="C67" s="263">
        <f>($B$81+$C$81+$D$81+$E$81+$F$81)*$B$27/$B$26</f>
        <v>-10266.666666666666</v>
      </c>
      <c r="D67" s="263">
        <f t="shared" ref="D67:E67" si="9">($B$81+$C$81+$D$81+$E$81+$F$81)*$B$27/$B$26</f>
        <v>-10266.666666666666</v>
      </c>
      <c r="E67" s="263">
        <f t="shared" si="9"/>
        <v>-10266.666666666666</v>
      </c>
      <c r="F67" s="263">
        <f>($B$81+$C$81+$D$81+$E$81+$F$81)*$B$27/$B$26</f>
        <v>-10266.666666666666</v>
      </c>
      <c r="G67" s="263">
        <f>($B$81+$C$81+$D$81+$E$81+$F$81)*$B$27/$B$26</f>
        <v>-10266.666666666666</v>
      </c>
      <c r="H67" s="261">
        <f t="shared" ref="H67:AE67" si="10">G67</f>
        <v>-10266.666666666666</v>
      </c>
      <c r="I67" s="261">
        <f t="shared" si="10"/>
        <v>-10266.666666666666</v>
      </c>
      <c r="J67" s="261">
        <f t="shared" si="10"/>
        <v>-10266.666666666666</v>
      </c>
      <c r="K67" s="261">
        <f t="shared" si="10"/>
        <v>-10266.666666666666</v>
      </c>
      <c r="L67" s="261">
        <f t="shared" si="10"/>
        <v>-10266.666666666666</v>
      </c>
      <c r="M67" s="261">
        <f t="shared" si="10"/>
        <v>-10266.666666666666</v>
      </c>
      <c r="N67" s="261">
        <f t="shared" si="10"/>
        <v>-10266.666666666666</v>
      </c>
      <c r="O67" s="261">
        <f t="shared" si="10"/>
        <v>-10266.666666666666</v>
      </c>
      <c r="P67" s="261">
        <f t="shared" si="10"/>
        <v>-10266.666666666666</v>
      </c>
      <c r="Q67" s="261">
        <f t="shared" si="10"/>
        <v>-10266.666666666666</v>
      </c>
      <c r="R67" s="261">
        <f t="shared" si="10"/>
        <v>-10266.666666666666</v>
      </c>
      <c r="S67" s="261">
        <f t="shared" si="10"/>
        <v>-10266.666666666666</v>
      </c>
      <c r="T67" s="261">
        <f t="shared" si="10"/>
        <v>-10266.666666666666</v>
      </c>
      <c r="U67" s="261">
        <f t="shared" si="10"/>
        <v>-10266.666666666666</v>
      </c>
      <c r="V67" s="261">
        <f t="shared" si="10"/>
        <v>-10266.666666666666</v>
      </c>
      <c r="W67" s="261">
        <f t="shared" si="10"/>
        <v>-10266.666666666666</v>
      </c>
      <c r="X67" s="261">
        <f t="shared" si="10"/>
        <v>-10266.666666666666</v>
      </c>
      <c r="Y67" s="261">
        <f t="shared" si="10"/>
        <v>-10266.666666666666</v>
      </c>
      <c r="Z67" s="261">
        <f t="shared" si="10"/>
        <v>-10266.666666666666</v>
      </c>
      <c r="AA67" s="261">
        <f t="shared" si="10"/>
        <v>-10266.666666666666</v>
      </c>
      <c r="AB67" s="261">
        <f t="shared" si="10"/>
        <v>-10266.666666666666</v>
      </c>
      <c r="AC67" s="261">
        <v>0</v>
      </c>
      <c r="AD67" s="261">
        <f t="shared" si="10"/>
        <v>0</v>
      </c>
      <c r="AE67" s="261">
        <f t="shared" si="10"/>
        <v>0</v>
      </c>
    </row>
    <row r="68" spans="1:32" s="195" customFormat="1" ht="12.75" x14ac:dyDescent="0.2">
      <c r="A68" s="262" t="s">
        <v>560</v>
      </c>
      <c r="B68" s="191">
        <f t="shared" ref="B68:AE68" si="11">B66+B67</f>
        <v>0</v>
      </c>
      <c r="C68" s="191">
        <f t="shared" si="11"/>
        <v>-15687.466666666665</v>
      </c>
      <c r="D68" s="191">
        <f t="shared" si="11"/>
        <v>-15687.466666666665</v>
      </c>
      <c r="E68" s="191">
        <f t="shared" si="11"/>
        <v>-15687.466666666665</v>
      </c>
      <c r="F68" s="191">
        <f t="shared" si="11"/>
        <v>-15687.466666666665</v>
      </c>
      <c r="G68" s="191">
        <f t="shared" si="11"/>
        <v>-15461.599999999999</v>
      </c>
      <c r="H68" s="191">
        <f t="shared" si="11"/>
        <v>-15235.733333333334</v>
      </c>
      <c r="I68" s="191">
        <f t="shared" si="11"/>
        <v>-15009.866666666667</v>
      </c>
      <c r="J68" s="191">
        <f t="shared" si="11"/>
        <v>-14784</v>
      </c>
      <c r="K68" s="191">
        <f t="shared" si="11"/>
        <v>-14558.133333333333</v>
      </c>
      <c r="L68" s="191">
        <f t="shared" si="11"/>
        <v>-14363.066666666666</v>
      </c>
      <c r="M68" s="191">
        <f t="shared" si="11"/>
        <v>-14106.400000000001</v>
      </c>
      <c r="N68" s="191">
        <f t="shared" si="11"/>
        <v>-13972.933333333334</v>
      </c>
      <c r="O68" s="191">
        <f t="shared" si="11"/>
        <v>-13654.666666666668</v>
      </c>
      <c r="P68" s="191">
        <f t="shared" si="11"/>
        <v>-18397.866666666669</v>
      </c>
      <c r="Q68" s="191">
        <f t="shared" si="11"/>
        <v>-13202.933333333334</v>
      </c>
      <c r="R68" s="191">
        <f t="shared" si="11"/>
        <v>-347132.94612061069</v>
      </c>
      <c r="S68" s="191">
        <f t="shared" si="11"/>
        <v>-12751.2</v>
      </c>
      <c r="T68" s="191">
        <f t="shared" si="11"/>
        <v>-12525.333333333336</v>
      </c>
      <c r="U68" s="191">
        <f t="shared" si="11"/>
        <v>-12299.466666666667</v>
      </c>
      <c r="V68" s="191">
        <f t="shared" si="11"/>
        <v>-12166</v>
      </c>
      <c r="W68" s="191">
        <f t="shared" si="11"/>
        <v>-11847.733333333334</v>
      </c>
      <c r="X68" s="191">
        <f t="shared" si="11"/>
        <v>-345777.74612061068</v>
      </c>
      <c r="Y68" s="191">
        <f t="shared" si="11"/>
        <v>-11396.000000000002</v>
      </c>
      <c r="Z68" s="191">
        <f t="shared" si="11"/>
        <v>-11170.133333333335</v>
      </c>
      <c r="AA68" s="191">
        <f t="shared" si="11"/>
        <v>-10944.266666666668</v>
      </c>
      <c r="AB68" s="191">
        <f t="shared" si="11"/>
        <v>-10718.400000000001</v>
      </c>
      <c r="AC68" s="191">
        <f t="shared" si="11"/>
        <v>0</v>
      </c>
      <c r="AD68" s="191">
        <f t="shared" si="11"/>
        <v>-92.399999999999977</v>
      </c>
      <c r="AE68" s="191">
        <f t="shared" si="11"/>
        <v>0</v>
      </c>
    </row>
    <row r="69" spans="1:32" s="195" customFormat="1" ht="12.75" x14ac:dyDescent="0.2">
      <c r="A69" s="258" t="s">
        <v>293</v>
      </c>
      <c r="B69" s="260">
        <v>0</v>
      </c>
      <c r="C69" s="260">
        <v>0</v>
      </c>
      <c r="D69" s="260">
        <v>0</v>
      </c>
      <c r="E69" s="260">
        <v>0</v>
      </c>
      <c r="F69" s="260">
        <v>0</v>
      </c>
      <c r="G69" s="260">
        <v>0</v>
      </c>
      <c r="H69" s="260">
        <v>0</v>
      </c>
      <c r="I69" s="260">
        <v>0</v>
      </c>
      <c r="J69" s="260">
        <v>0</v>
      </c>
      <c r="K69" s="260">
        <v>0</v>
      </c>
      <c r="L69" s="260">
        <v>0</v>
      </c>
      <c r="M69" s="260">
        <v>0</v>
      </c>
      <c r="N69" s="260">
        <v>0</v>
      </c>
      <c r="O69" s="260">
        <v>0</v>
      </c>
      <c r="P69" s="260">
        <v>0</v>
      </c>
      <c r="Q69" s="260">
        <v>0</v>
      </c>
      <c r="R69" s="260">
        <v>0</v>
      </c>
      <c r="S69" s="260">
        <v>0</v>
      </c>
      <c r="T69" s="260">
        <v>0</v>
      </c>
      <c r="U69" s="260">
        <v>0</v>
      </c>
      <c r="V69" s="260">
        <v>0</v>
      </c>
      <c r="W69" s="260">
        <v>0</v>
      </c>
      <c r="X69" s="260">
        <v>0</v>
      </c>
      <c r="Y69" s="260">
        <v>0</v>
      </c>
      <c r="Z69" s="260">
        <v>0</v>
      </c>
      <c r="AA69" s="260">
        <v>0</v>
      </c>
      <c r="AB69" s="260">
        <v>0</v>
      </c>
      <c r="AC69" s="260">
        <v>0</v>
      </c>
      <c r="AD69" s="260">
        <v>0</v>
      </c>
      <c r="AE69" s="260">
        <v>0</v>
      </c>
    </row>
    <row r="70" spans="1:32" s="195" customFormat="1" ht="12.75" x14ac:dyDescent="0.2">
      <c r="A70" s="262" t="s">
        <v>297</v>
      </c>
      <c r="B70" s="191">
        <f t="shared" ref="B70:AE70" si="12">B68+B69</f>
        <v>0</v>
      </c>
      <c r="C70" s="191">
        <f t="shared" si="12"/>
        <v>-15687.466666666665</v>
      </c>
      <c r="D70" s="191">
        <f t="shared" si="12"/>
        <v>-15687.466666666665</v>
      </c>
      <c r="E70" s="191">
        <f t="shared" si="12"/>
        <v>-15687.466666666665</v>
      </c>
      <c r="F70" s="191">
        <f t="shared" si="12"/>
        <v>-15687.466666666665</v>
      </c>
      <c r="G70" s="191">
        <f t="shared" si="12"/>
        <v>-15461.599999999999</v>
      </c>
      <c r="H70" s="191">
        <f t="shared" si="12"/>
        <v>-15235.733333333334</v>
      </c>
      <c r="I70" s="191">
        <f t="shared" si="12"/>
        <v>-15009.866666666667</v>
      </c>
      <c r="J70" s="191">
        <f t="shared" si="12"/>
        <v>-14784</v>
      </c>
      <c r="K70" s="191">
        <f t="shared" si="12"/>
        <v>-14558.133333333333</v>
      </c>
      <c r="L70" s="191">
        <f t="shared" si="12"/>
        <v>-14363.066666666666</v>
      </c>
      <c r="M70" s="191">
        <f t="shared" si="12"/>
        <v>-14106.400000000001</v>
      </c>
      <c r="N70" s="191">
        <f t="shared" si="12"/>
        <v>-13972.933333333334</v>
      </c>
      <c r="O70" s="191">
        <f t="shared" si="12"/>
        <v>-13654.666666666668</v>
      </c>
      <c r="P70" s="191">
        <f t="shared" si="12"/>
        <v>-18397.866666666669</v>
      </c>
      <c r="Q70" s="191">
        <f t="shared" si="12"/>
        <v>-13202.933333333334</v>
      </c>
      <c r="R70" s="191">
        <f t="shared" si="12"/>
        <v>-347132.94612061069</v>
      </c>
      <c r="S70" s="191">
        <f t="shared" si="12"/>
        <v>-12751.2</v>
      </c>
      <c r="T70" s="191">
        <f t="shared" si="12"/>
        <v>-12525.333333333336</v>
      </c>
      <c r="U70" s="191">
        <f t="shared" si="12"/>
        <v>-12299.466666666667</v>
      </c>
      <c r="V70" s="191">
        <f t="shared" si="12"/>
        <v>-12166</v>
      </c>
      <c r="W70" s="191">
        <f t="shared" si="12"/>
        <v>-11847.733333333334</v>
      </c>
      <c r="X70" s="191">
        <f t="shared" si="12"/>
        <v>-345777.74612061068</v>
      </c>
      <c r="Y70" s="191">
        <f t="shared" si="12"/>
        <v>-11396.000000000002</v>
      </c>
      <c r="Z70" s="191">
        <f t="shared" si="12"/>
        <v>-11170.133333333335</v>
      </c>
      <c r="AA70" s="191">
        <f t="shared" si="12"/>
        <v>-10944.266666666668</v>
      </c>
      <c r="AB70" s="191">
        <f t="shared" si="12"/>
        <v>-10718.400000000001</v>
      </c>
      <c r="AC70" s="191">
        <f t="shared" si="12"/>
        <v>0</v>
      </c>
      <c r="AD70" s="191">
        <f t="shared" si="12"/>
        <v>-92.399999999999977</v>
      </c>
      <c r="AE70" s="191">
        <f t="shared" si="12"/>
        <v>0</v>
      </c>
    </row>
    <row r="71" spans="1:32" s="195" customFormat="1" ht="12.75" x14ac:dyDescent="0.2">
      <c r="A71" s="258" t="s">
        <v>292</v>
      </c>
      <c r="B71" s="263">
        <f t="shared" ref="B71:AE71" si="13">-B70*$B$35</f>
        <v>0</v>
      </c>
      <c r="C71" s="263">
        <f t="shared" si="13"/>
        <v>3137.4933333333333</v>
      </c>
      <c r="D71" s="263">
        <f t="shared" si="13"/>
        <v>3137.4933333333333</v>
      </c>
      <c r="E71" s="263">
        <f t="shared" si="13"/>
        <v>3137.4933333333333</v>
      </c>
      <c r="F71" s="263">
        <f t="shared" si="13"/>
        <v>3137.4933333333333</v>
      </c>
      <c r="G71" s="263">
        <f t="shared" si="13"/>
        <v>3092.3199999999997</v>
      </c>
      <c r="H71" s="263">
        <f t="shared" si="13"/>
        <v>3047.146666666667</v>
      </c>
      <c r="I71" s="263">
        <f t="shared" si="13"/>
        <v>3001.9733333333334</v>
      </c>
      <c r="J71" s="263">
        <f t="shared" si="13"/>
        <v>2956.8</v>
      </c>
      <c r="K71" s="263">
        <f t="shared" si="13"/>
        <v>2911.626666666667</v>
      </c>
      <c r="L71" s="263">
        <f t="shared" si="13"/>
        <v>2872.6133333333332</v>
      </c>
      <c r="M71" s="263">
        <f t="shared" si="13"/>
        <v>2821.2800000000007</v>
      </c>
      <c r="N71" s="263">
        <f t="shared" si="13"/>
        <v>2794.586666666667</v>
      </c>
      <c r="O71" s="263">
        <f t="shared" si="13"/>
        <v>2730.9333333333338</v>
      </c>
      <c r="P71" s="263">
        <f t="shared" si="13"/>
        <v>3679.5733333333337</v>
      </c>
      <c r="Q71" s="263">
        <f t="shared" si="13"/>
        <v>2640.586666666667</v>
      </c>
      <c r="R71" s="263">
        <f t="shared" si="13"/>
        <v>69426.589224122145</v>
      </c>
      <c r="S71" s="263">
        <f t="shared" si="13"/>
        <v>2550.2400000000002</v>
      </c>
      <c r="T71" s="263">
        <f t="shared" si="13"/>
        <v>2505.0666666666675</v>
      </c>
      <c r="U71" s="263">
        <f t="shared" si="13"/>
        <v>2459.8933333333334</v>
      </c>
      <c r="V71" s="263">
        <f t="shared" si="13"/>
        <v>2433.2000000000003</v>
      </c>
      <c r="W71" s="263">
        <f t="shared" si="13"/>
        <v>2369.5466666666666</v>
      </c>
      <c r="X71" s="263">
        <f t="shared" si="13"/>
        <v>69155.549224122136</v>
      </c>
      <c r="Y71" s="263">
        <f t="shared" si="13"/>
        <v>2279.2000000000003</v>
      </c>
      <c r="Z71" s="263">
        <f t="shared" si="13"/>
        <v>2234.0266666666671</v>
      </c>
      <c r="AA71" s="263">
        <f t="shared" si="13"/>
        <v>2188.8533333333339</v>
      </c>
      <c r="AB71" s="263">
        <f t="shared" si="13"/>
        <v>2143.6800000000003</v>
      </c>
      <c r="AC71" s="263">
        <f t="shared" si="13"/>
        <v>0</v>
      </c>
      <c r="AD71" s="263">
        <f t="shared" si="13"/>
        <v>18.479999999999997</v>
      </c>
      <c r="AE71" s="263">
        <f t="shared" si="13"/>
        <v>0</v>
      </c>
    </row>
    <row r="72" spans="1:32" s="195" customFormat="1" ht="13.5" thickBot="1" x14ac:dyDescent="0.25">
      <c r="A72" s="264" t="s">
        <v>296</v>
      </c>
      <c r="B72" s="265">
        <f t="shared" ref="B72:AE72" si="14">B70+B71</f>
        <v>0</v>
      </c>
      <c r="C72" s="265">
        <f t="shared" si="14"/>
        <v>-12549.973333333332</v>
      </c>
      <c r="D72" s="265">
        <f t="shared" si="14"/>
        <v>-12549.973333333332</v>
      </c>
      <c r="E72" s="265">
        <f t="shared" si="14"/>
        <v>-12549.973333333332</v>
      </c>
      <c r="F72" s="265">
        <f t="shared" si="14"/>
        <v>-12549.973333333332</v>
      </c>
      <c r="G72" s="265">
        <f t="shared" si="14"/>
        <v>-12369.279999999999</v>
      </c>
      <c r="H72" s="265">
        <f t="shared" si="14"/>
        <v>-12188.586666666666</v>
      </c>
      <c r="I72" s="265">
        <f t="shared" si="14"/>
        <v>-12007.893333333333</v>
      </c>
      <c r="J72" s="265">
        <f t="shared" si="14"/>
        <v>-11827.2</v>
      </c>
      <c r="K72" s="265">
        <f t="shared" si="14"/>
        <v>-11646.506666666666</v>
      </c>
      <c r="L72" s="265">
        <f t="shared" si="14"/>
        <v>-11490.453333333333</v>
      </c>
      <c r="M72" s="265">
        <f t="shared" si="14"/>
        <v>-11285.12</v>
      </c>
      <c r="N72" s="265">
        <f t="shared" si="14"/>
        <v>-11178.346666666668</v>
      </c>
      <c r="O72" s="265">
        <f t="shared" si="14"/>
        <v>-10923.733333333334</v>
      </c>
      <c r="P72" s="265">
        <f t="shared" si="14"/>
        <v>-14718.293333333335</v>
      </c>
      <c r="Q72" s="265">
        <f t="shared" si="14"/>
        <v>-10562.346666666668</v>
      </c>
      <c r="R72" s="265">
        <f t="shared" si="14"/>
        <v>-277706.35689648858</v>
      </c>
      <c r="S72" s="265">
        <f t="shared" si="14"/>
        <v>-10200.960000000001</v>
      </c>
      <c r="T72" s="265">
        <f t="shared" si="14"/>
        <v>-10020.266666666668</v>
      </c>
      <c r="U72" s="265">
        <f t="shared" si="14"/>
        <v>-9839.5733333333337</v>
      </c>
      <c r="V72" s="265">
        <f t="shared" si="14"/>
        <v>-9732.7999999999993</v>
      </c>
      <c r="W72" s="265">
        <f t="shared" si="14"/>
        <v>-9478.1866666666665</v>
      </c>
      <c r="X72" s="265">
        <f t="shared" si="14"/>
        <v>-276622.19689648855</v>
      </c>
      <c r="Y72" s="265">
        <f t="shared" si="14"/>
        <v>-9116.8000000000011</v>
      </c>
      <c r="Z72" s="265">
        <f t="shared" si="14"/>
        <v>-8936.1066666666684</v>
      </c>
      <c r="AA72" s="265">
        <f t="shared" si="14"/>
        <v>-8755.4133333333339</v>
      </c>
      <c r="AB72" s="265">
        <f t="shared" si="14"/>
        <v>-8574.7200000000012</v>
      </c>
      <c r="AC72" s="265">
        <f t="shared" si="14"/>
        <v>0</v>
      </c>
      <c r="AD72" s="265">
        <f t="shared" si="14"/>
        <v>-73.919999999999987</v>
      </c>
      <c r="AE72" s="265">
        <f t="shared" si="14"/>
        <v>0</v>
      </c>
    </row>
    <row r="73" spans="1:32" s="195" customFormat="1" ht="13.5" thickBot="1" x14ac:dyDescent="0.25">
      <c r="A73" s="248"/>
      <c r="B73" s="266">
        <v>0.5</v>
      </c>
      <c r="C73" s="266">
        <v>1.5</v>
      </c>
      <c r="D73" s="266">
        <v>2.5</v>
      </c>
      <c r="E73" s="266">
        <v>3.5</v>
      </c>
      <c r="F73" s="266">
        <v>4.5</v>
      </c>
      <c r="G73" s="266">
        <v>5.5</v>
      </c>
      <c r="H73" s="266">
        <v>6.5</v>
      </c>
      <c r="I73" s="266">
        <v>7.5</v>
      </c>
      <c r="J73" s="266">
        <v>8.5</v>
      </c>
      <c r="K73" s="266">
        <v>9.5</v>
      </c>
      <c r="L73" s="266">
        <v>10.5</v>
      </c>
      <c r="M73" s="266">
        <v>11.5</v>
      </c>
      <c r="N73" s="266">
        <v>12.5</v>
      </c>
      <c r="O73" s="266">
        <v>13.5</v>
      </c>
      <c r="P73" s="266">
        <v>14.5</v>
      </c>
      <c r="Q73" s="266">
        <v>15.5</v>
      </c>
      <c r="R73" s="266">
        <v>16.5</v>
      </c>
      <c r="S73" s="266">
        <v>17.5</v>
      </c>
      <c r="T73" s="266">
        <v>18.5</v>
      </c>
      <c r="U73" s="266">
        <v>19.5</v>
      </c>
      <c r="V73" s="266">
        <v>20.5</v>
      </c>
      <c r="W73" s="266">
        <v>21.5</v>
      </c>
      <c r="X73" s="266">
        <v>22.5</v>
      </c>
      <c r="Y73" s="266">
        <v>23.5</v>
      </c>
      <c r="Z73" s="266">
        <v>24.5</v>
      </c>
      <c r="AA73" s="266">
        <v>25.5</v>
      </c>
      <c r="AB73" s="266">
        <v>26.5</v>
      </c>
      <c r="AC73" s="266">
        <v>27.5</v>
      </c>
      <c r="AD73" s="266">
        <v>28.5</v>
      </c>
      <c r="AE73" s="266">
        <v>29.5</v>
      </c>
    </row>
    <row r="74" spans="1:32" s="195" customFormat="1" ht="12.75" x14ac:dyDescent="0.2">
      <c r="A74" s="250" t="s">
        <v>295</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2" s="195" customFormat="1" ht="12.75" x14ac:dyDescent="0.2">
      <c r="A75" s="267" t="s">
        <v>560</v>
      </c>
      <c r="B75" s="191">
        <f t="shared" ref="B75:AE75" si="15">B68</f>
        <v>0</v>
      </c>
      <c r="C75" s="191">
        <f t="shared" si="15"/>
        <v>-15687.466666666665</v>
      </c>
      <c r="D75" s="191">
        <f t="shared" si="15"/>
        <v>-15687.466666666665</v>
      </c>
      <c r="E75" s="191">
        <f t="shared" si="15"/>
        <v>-15687.466666666665</v>
      </c>
      <c r="F75" s="191">
        <f t="shared" si="15"/>
        <v>-15687.466666666665</v>
      </c>
      <c r="G75" s="191">
        <f t="shared" si="15"/>
        <v>-15461.599999999999</v>
      </c>
      <c r="H75" s="191">
        <f t="shared" si="15"/>
        <v>-15235.733333333334</v>
      </c>
      <c r="I75" s="191">
        <f t="shared" si="15"/>
        <v>-15009.866666666667</v>
      </c>
      <c r="J75" s="191">
        <f t="shared" si="15"/>
        <v>-14784</v>
      </c>
      <c r="K75" s="191">
        <f t="shared" si="15"/>
        <v>-14558.133333333333</v>
      </c>
      <c r="L75" s="191">
        <f t="shared" si="15"/>
        <v>-14363.066666666666</v>
      </c>
      <c r="M75" s="191">
        <f t="shared" si="15"/>
        <v>-14106.400000000001</v>
      </c>
      <c r="N75" s="191">
        <f t="shared" si="15"/>
        <v>-13972.933333333334</v>
      </c>
      <c r="O75" s="191">
        <f t="shared" si="15"/>
        <v>-13654.666666666668</v>
      </c>
      <c r="P75" s="191">
        <f t="shared" si="15"/>
        <v>-18397.866666666669</v>
      </c>
      <c r="Q75" s="191">
        <f t="shared" si="15"/>
        <v>-13202.933333333334</v>
      </c>
      <c r="R75" s="191">
        <f t="shared" si="15"/>
        <v>-347132.94612061069</v>
      </c>
      <c r="S75" s="191">
        <f t="shared" si="15"/>
        <v>-12751.2</v>
      </c>
      <c r="T75" s="191">
        <f t="shared" si="15"/>
        <v>-12525.333333333336</v>
      </c>
      <c r="U75" s="191">
        <f t="shared" si="15"/>
        <v>-12299.466666666667</v>
      </c>
      <c r="V75" s="191">
        <f t="shared" si="15"/>
        <v>-12166</v>
      </c>
      <c r="W75" s="191">
        <f t="shared" si="15"/>
        <v>-11847.733333333334</v>
      </c>
      <c r="X75" s="191">
        <f t="shared" si="15"/>
        <v>-345777.74612061068</v>
      </c>
      <c r="Y75" s="191">
        <f t="shared" si="15"/>
        <v>-11396.000000000002</v>
      </c>
      <c r="Z75" s="191">
        <f t="shared" si="15"/>
        <v>-11170.133333333335</v>
      </c>
      <c r="AA75" s="191">
        <f t="shared" si="15"/>
        <v>-10944.266666666668</v>
      </c>
      <c r="AB75" s="191">
        <f t="shared" si="15"/>
        <v>-10718.400000000001</v>
      </c>
      <c r="AC75" s="191">
        <f t="shared" si="15"/>
        <v>0</v>
      </c>
      <c r="AD75" s="191">
        <f t="shared" si="15"/>
        <v>-92.399999999999977</v>
      </c>
      <c r="AE75" s="191">
        <f t="shared" si="15"/>
        <v>0</v>
      </c>
    </row>
    <row r="76" spans="1:32" s="195" customFormat="1" ht="12.75" x14ac:dyDescent="0.2">
      <c r="A76" s="258" t="s">
        <v>294</v>
      </c>
      <c r="B76" s="263">
        <f t="shared" ref="B76:AE76" si="16">-B67</f>
        <v>0</v>
      </c>
      <c r="C76" s="263">
        <f t="shared" si="16"/>
        <v>10266.666666666666</v>
      </c>
      <c r="D76" s="263">
        <f t="shared" si="16"/>
        <v>10266.666666666666</v>
      </c>
      <c r="E76" s="263">
        <f t="shared" si="16"/>
        <v>10266.666666666666</v>
      </c>
      <c r="F76" s="263">
        <f t="shared" si="16"/>
        <v>10266.666666666666</v>
      </c>
      <c r="G76" s="263">
        <f>-G67</f>
        <v>10266.666666666666</v>
      </c>
      <c r="H76" s="263">
        <f t="shared" si="16"/>
        <v>10266.666666666666</v>
      </c>
      <c r="I76" s="263">
        <f t="shared" si="16"/>
        <v>10266.666666666666</v>
      </c>
      <c r="J76" s="263">
        <f t="shared" si="16"/>
        <v>10266.666666666666</v>
      </c>
      <c r="K76" s="263">
        <f t="shared" si="16"/>
        <v>10266.666666666666</v>
      </c>
      <c r="L76" s="263">
        <f t="shared" si="16"/>
        <v>10266.666666666666</v>
      </c>
      <c r="M76" s="263">
        <f t="shared" si="16"/>
        <v>10266.666666666666</v>
      </c>
      <c r="N76" s="263">
        <f t="shared" si="16"/>
        <v>10266.666666666666</v>
      </c>
      <c r="O76" s="263">
        <f t="shared" si="16"/>
        <v>10266.666666666666</v>
      </c>
      <c r="P76" s="263">
        <f t="shared" si="16"/>
        <v>10266.666666666666</v>
      </c>
      <c r="Q76" s="263">
        <f t="shared" si="16"/>
        <v>10266.666666666666</v>
      </c>
      <c r="R76" s="263">
        <f t="shared" si="16"/>
        <v>10266.666666666666</v>
      </c>
      <c r="S76" s="263">
        <f t="shared" si="16"/>
        <v>10266.666666666666</v>
      </c>
      <c r="T76" s="263">
        <f t="shared" si="16"/>
        <v>10266.666666666666</v>
      </c>
      <c r="U76" s="263">
        <f t="shared" si="16"/>
        <v>10266.666666666666</v>
      </c>
      <c r="V76" s="263">
        <f t="shared" si="16"/>
        <v>10266.666666666666</v>
      </c>
      <c r="W76" s="263">
        <f t="shared" si="16"/>
        <v>10266.666666666666</v>
      </c>
      <c r="X76" s="263">
        <f t="shared" si="16"/>
        <v>10266.666666666666</v>
      </c>
      <c r="Y76" s="263">
        <f t="shared" si="16"/>
        <v>10266.666666666666</v>
      </c>
      <c r="Z76" s="263">
        <f t="shared" si="16"/>
        <v>10266.666666666666</v>
      </c>
      <c r="AA76" s="263">
        <f t="shared" si="16"/>
        <v>10266.666666666666</v>
      </c>
      <c r="AB76" s="263">
        <f t="shared" si="16"/>
        <v>10266.666666666666</v>
      </c>
      <c r="AC76" s="263">
        <f t="shared" si="16"/>
        <v>0</v>
      </c>
      <c r="AD76" s="263">
        <f t="shared" si="16"/>
        <v>0</v>
      </c>
      <c r="AE76" s="263">
        <f t="shared" si="16"/>
        <v>0</v>
      </c>
    </row>
    <row r="77" spans="1:32" s="195" customFormat="1" ht="12.75" x14ac:dyDescent="0.2">
      <c r="A77" s="258" t="s">
        <v>293</v>
      </c>
      <c r="B77" s="263">
        <f t="shared" ref="B77:AE77" si="17">B69</f>
        <v>0</v>
      </c>
      <c r="C77" s="263">
        <f t="shared" si="17"/>
        <v>0</v>
      </c>
      <c r="D77" s="263">
        <f t="shared" si="17"/>
        <v>0</v>
      </c>
      <c r="E77" s="263">
        <f t="shared" si="17"/>
        <v>0</v>
      </c>
      <c r="F77" s="263">
        <f t="shared" si="17"/>
        <v>0</v>
      </c>
      <c r="G77" s="263">
        <f t="shared" si="17"/>
        <v>0</v>
      </c>
      <c r="H77" s="263">
        <f t="shared" si="17"/>
        <v>0</v>
      </c>
      <c r="I77" s="263">
        <f t="shared" si="17"/>
        <v>0</v>
      </c>
      <c r="J77" s="263">
        <f t="shared" si="17"/>
        <v>0</v>
      </c>
      <c r="K77" s="263">
        <f t="shared" si="17"/>
        <v>0</v>
      </c>
      <c r="L77" s="263">
        <f t="shared" si="17"/>
        <v>0</v>
      </c>
      <c r="M77" s="263">
        <f t="shared" si="17"/>
        <v>0</v>
      </c>
      <c r="N77" s="263">
        <f t="shared" si="17"/>
        <v>0</v>
      </c>
      <c r="O77" s="263">
        <f t="shared" si="17"/>
        <v>0</v>
      </c>
      <c r="P77" s="263">
        <f t="shared" si="17"/>
        <v>0</v>
      </c>
      <c r="Q77" s="263">
        <f t="shared" si="17"/>
        <v>0</v>
      </c>
      <c r="R77" s="263">
        <f t="shared" si="17"/>
        <v>0</v>
      </c>
      <c r="S77" s="263">
        <f t="shared" si="17"/>
        <v>0</v>
      </c>
      <c r="T77" s="263">
        <f t="shared" si="17"/>
        <v>0</v>
      </c>
      <c r="U77" s="263">
        <f t="shared" si="17"/>
        <v>0</v>
      </c>
      <c r="V77" s="263">
        <f t="shared" si="17"/>
        <v>0</v>
      </c>
      <c r="W77" s="263">
        <f t="shared" si="17"/>
        <v>0</v>
      </c>
      <c r="X77" s="263">
        <f t="shared" si="17"/>
        <v>0</v>
      </c>
      <c r="Y77" s="263">
        <f t="shared" si="17"/>
        <v>0</v>
      </c>
      <c r="Z77" s="263">
        <f t="shared" si="17"/>
        <v>0</v>
      </c>
      <c r="AA77" s="263">
        <f t="shared" si="17"/>
        <v>0</v>
      </c>
      <c r="AB77" s="263">
        <f t="shared" si="17"/>
        <v>0</v>
      </c>
      <c r="AC77" s="263">
        <f t="shared" si="17"/>
        <v>0</v>
      </c>
      <c r="AD77" s="263">
        <f t="shared" si="17"/>
        <v>0</v>
      </c>
      <c r="AE77" s="263">
        <f t="shared" si="17"/>
        <v>0</v>
      </c>
    </row>
    <row r="78" spans="1:32" s="195" customFormat="1" ht="12.75" x14ac:dyDescent="0.2">
      <c r="A78" s="258" t="s">
        <v>292</v>
      </c>
      <c r="B78" s="263">
        <f>IF(SUM($B$71:B71)+SUM($A$78:A78)&gt;0,0,SUM($B$71:B71)-SUM($A$78:A78))</f>
        <v>0</v>
      </c>
      <c r="C78" s="263">
        <f>IF(SUM($B$71:C71)+SUM($A$78:B78)&gt;0,0,SUM($B$71:C71)-SUM($A$78:B78))</f>
        <v>0</v>
      </c>
      <c r="D78" s="263">
        <f>IF(SUM($B$71:D71)+SUM($A$78:C78)&gt;0,0,SUM($B$71:D71)-SUM($A$78:C78))</f>
        <v>0</v>
      </c>
      <c r="E78" s="263">
        <f>IF(SUM($B$71:E71)+SUM($A$78:D78)&gt;0,0,SUM($B$71:E71)-SUM($A$78:D78))</f>
        <v>0</v>
      </c>
      <c r="F78" s="263">
        <f>IF(SUM($B$71:F71)+SUM($A$78:E78)&gt;0,0,SUM($B$71:F71)-SUM($A$78:E78))</f>
        <v>0</v>
      </c>
      <c r="G78" s="263">
        <f>IF(SUM($B$71:G71)+SUM($A$78:F78)&gt;0,0,SUM($B$71:G71)-SUM($A$78:F78))</f>
        <v>0</v>
      </c>
      <c r="H78" s="263">
        <f>IF(SUM($B$71:H71)+SUM($A$78:G78)&gt;0,0,SUM($B$71:H71)-SUM($A$78:G78))</f>
        <v>0</v>
      </c>
      <c r="I78" s="263">
        <f>IF(SUM($B$71:I71)+SUM($A$78:H78)&gt;0,0,SUM($B$71:I71)-SUM($A$78:H78))</f>
        <v>0</v>
      </c>
      <c r="J78" s="263">
        <f>IF(SUM($B$71:J71)+SUM($A$78:I78)&gt;0,0,SUM($B$71:J71)-SUM($A$78:I78))</f>
        <v>0</v>
      </c>
      <c r="K78" s="263">
        <f>IF(SUM($B$71:K71)+SUM($A$78:J78)&gt;0,0,SUM($B$71:K71)-SUM($A$78:J78))</f>
        <v>0</v>
      </c>
      <c r="L78" s="263">
        <f>IF(SUM($B$71:L71)+SUM($A$78:K78)&gt;0,0,SUM($B$71:L71)-SUM($A$78:K78))</f>
        <v>0</v>
      </c>
      <c r="M78" s="263">
        <f>IF(SUM($B$71:M71)+SUM($A$78:L78)&gt;0,0,SUM($B$71:M71)-SUM($A$78:L78))</f>
        <v>0</v>
      </c>
      <c r="N78" s="263">
        <f>IF(SUM($B$71:N71)+SUM($A$78:M78)&gt;0,0,SUM($B$71:N71)-SUM($A$78:M78))</f>
        <v>0</v>
      </c>
      <c r="O78" s="263">
        <f>IF(SUM($B$71:O71)+SUM($A$78:N78)&gt;0,0,SUM($B$71:O71)-SUM($A$78:N78))</f>
        <v>0</v>
      </c>
      <c r="P78" s="263">
        <f>IF(SUM($B$71:P71)+SUM($A$78:O78)&gt;0,0,SUM($B$71:P71)-SUM($A$78:O78))</f>
        <v>0</v>
      </c>
      <c r="Q78" s="263">
        <f>IF(SUM($B$71:Q71)+SUM($A$78:P78)&gt;0,0,SUM($B$71:Q71)-SUM($A$78:P78))</f>
        <v>0</v>
      </c>
      <c r="R78" s="263">
        <f>IF(SUM($B$71:R71)+SUM($A$78:Q78)&gt;0,0,SUM($B$71:R71)-SUM($A$78:Q78))</f>
        <v>0</v>
      </c>
      <c r="S78" s="263">
        <f>IF(SUM($B$71:S71)+SUM($A$78:R78)&gt;0,0,SUM($B$71:S71)-SUM($A$78:R78))</f>
        <v>0</v>
      </c>
      <c r="T78" s="263">
        <f>IF(SUM($B$71:T71)+SUM($A$78:S78)&gt;0,0,SUM($B$71:T71)-SUM($A$78:S78))</f>
        <v>0</v>
      </c>
      <c r="U78" s="263">
        <f>IF(SUM($B$71:U71)+SUM($A$78:T78)&gt;0,0,SUM($B$71:U71)-SUM($A$78:T78))</f>
        <v>0</v>
      </c>
      <c r="V78" s="263">
        <f>IF(SUM($B$71:V71)+SUM($A$78:U78)&gt;0,0,SUM($B$71:V71)-SUM($A$78:U78))</f>
        <v>0</v>
      </c>
      <c r="W78" s="263">
        <f>IF(SUM($B$71:W71)+SUM($A$78:V78)&gt;0,0,SUM($B$71:W71)-SUM($A$78:V78))</f>
        <v>0</v>
      </c>
      <c r="X78" s="263">
        <f>IF(SUM($B$71:X71)+SUM($A$78:W78)&gt;0,0,SUM($B$71:X71)-SUM($A$78:W78))</f>
        <v>0</v>
      </c>
      <c r="Y78" s="263">
        <f>IF(SUM($B$71:Y71)+SUM($A$78:X78)&gt;0,0,SUM($B$71:Y71)-SUM($A$78:X78))</f>
        <v>0</v>
      </c>
      <c r="Z78" s="263">
        <f>IF(SUM($B$71:Z71)+SUM($A$78:Y78)&gt;0,0,SUM($B$71:Z71)-SUM($A$78:Y78))</f>
        <v>0</v>
      </c>
      <c r="AA78" s="263">
        <f>IF(SUM($B$71:AA71)+SUM($A$78:Z78)&gt;0,0,SUM($B$71:AA71)-SUM($A$78:Z78))</f>
        <v>0</v>
      </c>
      <c r="AB78" s="263">
        <f>IF(SUM($B$71:AB71)+SUM($A$78:AA78)&gt;0,0,SUM($B$71:AB71)-SUM($A$78:AA78))</f>
        <v>0</v>
      </c>
      <c r="AC78" s="263">
        <f>IF(SUM($B$71:AC71)+SUM($A$78:AB78)&gt;0,0,SUM($B$71:AC71)-SUM($A$78:AB78))</f>
        <v>0</v>
      </c>
      <c r="AD78" s="263">
        <f>IF(SUM($B$71:AD71)+SUM($A$78:AC78)&gt;0,0,SUM($B$71:AD71)-SUM($A$78:AC78))</f>
        <v>0</v>
      </c>
      <c r="AE78" s="263">
        <f>IF(SUM($B$71:AE71)+SUM($A$78:AD78)&gt;0,0,SUM($B$71:AE71)-SUM($A$78:AD78))</f>
        <v>0</v>
      </c>
    </row>
    <row r="79" spans="1:32" s="195" customFormat="1" ht="12.75" x14ac:dyDescent="0.2">
      <c r="A79" s="258" t="s">
        <v>291</v>
      </c>
      <c r="B79" s="263">
        <f>IF(((SUM($B$58:B58)+SUM($B$60:B64))+SUM($B$81:B81))&lt;0,((SUM($B$58:B58)+SUM($B$60:B64))+SUM($B$81:B81))*0.2-SUM($A$79:A79),IF(SUM(A$79:$A79)&lt;0,0-SUM(A$79:$A79),0))</f>
        <v>-61600</v>
      </c>
      <c r="C79" s="263">
        <f>IF(((SUM($B$58:C58)+SUM($B$60:C64))+SUM($B$81:C81))&lt;0,((SUM($B$58:C58)+SUM($B$60:C64))+SUM($B$81:C81))*0.2-SUM($A$79:B79),IF(SUM($A$79:B79)&lt;0,0-SUM($A$79:B79),0))</f>
        <v>0</v>
      </c>
      <c r="D79" s="263">
        <f>IF(((SUM($B$58:D58)+SUM($B$60:D64))+SUM($B$81:D81))&lt;0,((SUM($B$58:D58)+SUM($B$60:D64))+SUM($B$81:D81))*0.2-SUM($A$79:C79),IF(SUM($A$79:C79)&lt;0,0-SUM($A$79:C79),0))</f>
        <v>0</v>
      </c>
      <c r="E79" s="263">
        <f>IF(((SUM($B$58:E58)+SUM($B$60:E64))+SUM($B$81:E81))&lt;0,((SUM($B$58:E58)+SUM($B$60:E64))+SUM($B$81:E81))*0.2-SUM($A$79:D79),IF(SUM($A$79:D79)&lt;0,0-SUM($A$79:D79),0))</f>
        <v>0</v>
      </c>
      <c r="F79" s="263">
        <f>IF(((SUM($B$58:F58)+SUM($B$60:F64))+SUM($B$81:F81))&lt;0,((SUM($B$58:F58)+SUM($B$60:F64))+SUM($B$81:F81))*0.2-SUM($A$79:E79),IF(SUM($A$79:E79)&lt;0,0-SUM($A$79:E79),0))</f>
        <v>0</v>
      </c>
      <c r="G79" s="263">
        <f>IF(((SUM($B$58:G58)+SUM($B$60:G64))+SUM($B$81:G81))&lt;0,((SUM($B$58:G58)+SUM($B$60:G64))+SUM($B$81:G81))*0.2-SUM($A$79:F79),IF(SUM($A$79:F79)&lt;0,0-SUM($A$79:F79),0))</f>
        <v>0</v>
      </c>
      <c r="H79" s="263">
        <f>IF(((SUM($B$58:H58)+SUM($B$60:H64))+SUM($B$81:H81))&lt;0,((SUM($B$58:H58)+SUM($B$60:H64))+SUM($B$81:H81))*0.2-SUM($A$79:G79),IF(SUM($A$79:G79)&lt;0,0-SUM($A$79:G79),0))</f>
        <v>0</v>
      </c>
      <c r="I79" s="263">
        <f>IF(((SUM($B$58:I58)+SUM($B$60:I64))+SUM($B$81:I81))&lt;0,((SUM($B$58:I58)+SUM($B$60:I64))+SUM($B$81:I81))*0.2-SUM($A$79:H79),IF(SUM($A$79:H79)&lt;0,0-SUM($A$79:H79),0))</f>
        <v>0</v>
      </c>
      <c r="J79" s="263">
        <f>IF(((SUM($B$58:J58)+SUM($B$60:J64))+SUM($B$81:J81))&lt;0,((SUM($B$58:J58)+SUM($B$60:J64))+SUM($B$81:J81))*0.2-SUM($A$79:I79),IF(SUM($A$79:I79)&lt;0,0-SUM($A$79:I79),0))</f>
        <v>0</v>
      </c>
      <c r="K79" s="263">
        <f>IF(((SUM($B$58:K58)+SUM($B$60:K64))+SUM($B$81:K81))&lt;0,((SUM($B$58:K58)+SUM($B$60:K64))+SUM($B$81:K81))*0.2-SUM($A$79:J79),IF(SUM($A$79:J79)&lt;0,0-SUM($A$79:J79),0))</f>
        <v>0</v>
      </c>
      <c r="L79" s="263">
        <f>IF(((SUM($B$58:L58)+SUM($B$60:L64))+SUM($B$81:L81))&lt;0,((SUM($B$58:L58)+SUM($B$60:L64))+SUM($B$81:L81))*0.2-SUM($A$79:K79),IF(SUM($A$79:K79)&lt;0,0-SUM($A$79:K79),0))</f>
        <v>-6.1600000000034925</v>
      </c>
      <c r="M79" s="263">
        <f>IF(((SUM($B$58:M58)+SUM($B$60:M64))+SUM($B$81:M81))&lt;0,((SUM($B$58:M58)+SUM($B$60:M64))+SUM($B$81:M81))*0.2-SUM($A$79:L79),IF(SUM($A$79:L79)&lt;0,0-SUM($A$79:L79),0))</f>
        <v>0</v>
      </c>
      <c r="N79" s="263">
        <f>IF(((SUM($B$58:N58)+SUM($B$60:N64))+SUM($B$81:N81))&lt;0,((SUM($B$58:N58)+SUM($B$60:N64))+SUM($B$81:N81))*0.2-SUM($A$79:M79),IF(SUM($A$79:M79)&lt;0,0-SUM($A$79:M79),0))</f>
        <v>-18.480000000003201</v>
      </c>
      <c r="O79" s="263">
        <f>IF(((SUM($B$58:O58)+SUM($B$60:O64))+SUM($B$81:O81))&lt;0,((SUM($B$58:O58)+SUM($B$60:O64))+SUM($B$81:O81))*0.2-SUM($A$79:N79),IF(SUM($A$79:N79)&lt;0,0-SUM($A$79:N79),0))</f>
        <v>0</v>
      </c>
      <c r="P79" s="263">
        <f>IF(((SUM($B$58:P58)+SUM($B$60:P64))+SUM($B$81:P81))&lt;0,((SUM($B$58:P58)+SUM($B$60:P64))+SUM($B$81:P81))*0.2-SUM($A$79:O79),IF(SUM($A$79:O79)&lt;0,0-SUM($A$79:O79),0))</f>
        <v>0</v>
      </c>
      <c r="Q79" s="263">
        <f>IF(((SUM($B$58:Q58)+SUM($B$60:Q64))+SUM($B$81:Q81))&lt;0,((SUM($B$58:Q58)+SUM($B$60:Q64))+SUM($B$81:Q81))*0.2-SUM($A$79:P79),IF(SUM($A$79:P79)&lt;0,0-SUM($A$79:P79),0))</f>
        <v>0</v>
      </c>
      <c r="R79" s="263">
        <f>IF(((SUM($B$58:R58)+SUM($B$60:R64))+SUM($B$81:R81))&lt;0,((SUM($B$58:R58)+SUM($B$60:R64))+SUM($B$81:R81))*0.2-SUM($A$79:Q79),IF(SUM($A$79:Q79)&lt;0,0-SUM($A$79:Q79),0))</f>
        <v>-66831.175890788785</v>
      </c>
      <c r="S79" s="263">
        <f>IF(((SUM($B$58:S58)+SUM($B$60:S64))+SUM($B$81:S81))&lt;0,((SUM($B$58:S58)+SUM($B$60:S64))+SUM($B$81:S81))*0.2-SUM($A$79:R79),IF(SUM($A$79:R79)&lt;0,0-SUM($A$79:R79),0))</f>
        <v>0</v>
      </c>
      <c r="T79" s="263">
        <f>IF(((SUM($B$58:T58)+SUM($B$60:T64))+SUM($B$81:T81))&lt;0,((SUM($B$58:T58)+SUM($B$60:T64))+SUM($B$81:T81))*0.2-SUM($A$79:S79),IF(SUM($A$79:S79)&lt;0,0-SUM($A$79:S79),0))</f>
        <v>0</v>
      </c>
      <c r="U79" s="263">
        <f>IF(((SUM($B$58:U58)+SUM($B$60:U64))+SUM($B$81:U81))&lt;0,((SUM($B$58:U58)+SUM($B$60:U64))+SUM($B$81:U81))*0.2-SUM($A$79:T79),IF(SUM($A$79:T79)&lt;0,0-SUM($A$79:T79),0))</f>
        <v>0</v>
      </c>
      <c r="V79" s="263">
        <f>IF(((SUM($B$58:V58)+SUM($B$60:V64))+SUM($B$81:V81))&lt;0,((SUM($B$58:V58)+SUM($B$60:V64))+SUM($B$81:V81))*0.2-SUM($A$79:U79),IF(SUM($A$79:U79)&lt;0,0-SUM($A$79:U79),0))</f>
        <v>-18.480000000010477</v>
      </c>
      <c r="W79" s="263">
        <f>IF(((SUM($B$58:W58)+SUM($B$60:W64))+SUM($B$81:W81))&lt;0,((SUM($B$58:W58)+SUM($B$60:W64))+SUM($B$81:W81))*0.2-SUM($A$79:V79),IF(SUM($A$79:V79)&lt;0,0-SUM($A$79:V79),0))</f>
        <v>0</v>
      </c>
      <c r="X79" s="263">
        <f>IF(((SUM($B$58:X58)+SUM($B$60:X64))+SUM($B$81:X81))&lt;0,((SUM($B$58:X58)+SUM($B$60:X64))+SUM($B$81:X81))*0.2-SUM($A$79:W79),IF(SUM($A$79:W79)&lt;0,0-SUM($A$79:W79),0))</f>
        <v>-66831.175890788785</v>
      </c>
      <c r="Y79" s="263">
        <f>IF(((SUM($B$58:Y58)+SUM($B$60:Y64))+SUM($B$81:Y81))&lt;0,((SUM($B$58:Y58)+SUM($B$60:Y64))+SUM($B$81:Y81))*0.2-SUM($A$79:X79),IF(SUM($A$79:X79)&lt;0,0-SUM($A$79:X79),0))</f>
        <v>0</v>
      </c>
      <c r="Z79" s="263">
        <f>IF(((SUM($B$58:Z58)+SUM($B$60:Z64))+SUM($B$81:Z81))&lt;0,((SUM($B$58:Z58)+SUM($B$60:Z64))+SUM($B$81:Z81))*0.2-SUM($A$79:Y79),IF(SUM($A$79:Y79)&lt;0,0-SUM($A$79:Y79),0))</f>
        <v>0</v>
      </c>
      <c r="AA79" s="263">
        <f>IF(((SUM($B$58:AA58)+SUM($B$60:AA64))+SUM($B$81:AA81))&lt;0,((SUM($B$58:AA58)+SUM($B$60:AA64))+SUM($B$81:AA81))*0.2-SUM($A$79:Z79),IF(SUM($A$79:Z79)&lt;0,0-SUM($A$79:Z79),0))</f>
        <v>0</v>
      </c>
      <c r="AB79" s="263">
        <f>IF(((SUM($B$58:AB58)+SUM($B$60:AB64))+SUM($B$81:AB81))&lt;0,((SUM($B$58:AB58)+SUM($B$60:AB64))+SUM($B$81:AB81))*0.2-SUM($A$79:AA79),IF(SUM($A$79:AA79)&lt;0,0-SUM($A$79:AA79),0))</f>
        <v>0</v>
      </c>
      <c r="AC79" s="263">
        <f>IF(((SUM($B$58:AC58)+SUM($B$60:AC64))+SUM($B$81:AC81))&lt;0,((SUM($B$58:AC58)+SUM($B$60:AC64))+SUM($B$81:AC81))*0.2-SUM($A$79:AB79),IF(SUM($A$79:AB79)&lt;0,0-SUM($A$79:AB79),0))</f>
        <v>0</v>
      </c>
      <c r="AD79" s="263">
        <f>IF(((SUM($B$58:AD58)+SUM($B$60:AD64))+SUM($B$81:AD81))&lt;0,((SUM($B$58:AD58)+SUM($B$60:AD64))+SUM($B$81:AD81))*0.2-SUM($A$79:AC79),IF(SUM($A$79:AC79)&lt;0,0-SUM($A$79:AC79),0))</f>
        <v>-18.480000000010477</v>
      </c>
      <c r="AE79" s="263">
        <f>IF(((SUM($B$58:AE58)+SUM($B$60:AE64))+SUM($B$81:AE81))&lt;0,((SUM($B$58:AE58)+SUM($B$60:AE64))+SUM($B$81:AE81))*0.2-SUM($A$79:AD79),IF(SUM($A$79:AD79)&lt;0,0-SUM($A$79:AD79),0))</f>
        <v>0</v>
      </c>
    </row>
    <row r="80" spans="1:32" s="195" customFormat="1" ht="12.75" x14ac:dyDescent="0.2">
      <c r="A80" s="258" t="s">
        <v>290</v>
      </c>
      <c r="B80" s="263">
        <f t="shared" ref="B80:AE80" si="18">-B58*(B38)</f>
        <v>0</v>
      </c>
      <c r="C80" s="263">
        <f t="shared" si="18"/>
        <v>0</v>
      </c>
      <c r="D80" s="263">
        <f t="shared" si="18"/>
        <v>0</v>
      </c>
      <c r="E80" s="263">
        <f t="shared" si="18"/>
        <v>0</v>
      </c>
      <c r="F80" s="263">
        <f t="shared" si="18"/>
        <v>0</v>
      </c>
      <c r="G80" s="263">
        <f t="shared" si="18"/>
        <v>0</v>
      </c>
      <c r="H80" s="263">
        <f t="shared" si="18"/>
        <v>0</v>
      </c>
      <c r="I80" s="263">
        <f t="shared" si="18"/>
        <v>0</v>
      </c>
      <c r="J80" s="263">
        <f t="shared" si="18"/>
        <v>0</v>
      </c>
      <c r="K80" s="263">
        <f t="shared" si="18"/>
        <v>0</v>
      </c>
      <c r="L80" s="263">
        <f t="shared" si="18"/>
        <v>0</v>
      </c>
      <c r="M80" s="263">
        <f t="shared" si="18"/>
        <v>0</v>
      </c>
      <c r="N80" s="263">
        <f t="shared" si="18"/>
        <v>0</v>
      </c>
      <c r="O80" s="263">
        <f t="shared" si="18"/>
        <v>0</v>
      </c>
      <c r="P80" s="263">
        <f t="shared" si="18"/>
        <v>0</v>
      </c>
      <c r="Q80" s="263">
        <f t="shared" si="18"/>
        <v>0</v>
      </c>
      <c r="R80" s="263">
        <f t="shared" si="18"/>
        <v>0</v>
      </c>
      <c r="S80" s="263">
        <f t="shared" si="18"/>
        <v>0</v>
      </c>
      <c r="T80" s="263">
        <f t="shared" si="18"/>
        <v>0</v>
      </c>
      <c r="U80" s="263">
        <f t="shared" si="18"/>
        <v>0</v>
      </c>
      <c r="V80" s="263">
        <f t="shared" si="18"/>
        <v>0</v>
      </c>
      <c r="W80" s="263">
        <f t="shared" si="18"/>
        <v>0</v>
      </c>
      <c r="X80" s="263">
        <f t="shared" si="18"/>
        <v>0</v>
      </c>
      <c r="Y80" s="263">
        <f t="shared" si="18"/>
        <v>0</v>
      </c>
      <c r="Z80" s="263">
        <f t="shared" si="18"/>
        <v>0</v>
      </c>
      <c r="AA80" s="263">
        <f t="shared" si="18"/>
        <v>0</v>
      </c>
      <c r="AB80" s="263">
        <f t="shared" si="18"/>
        <v>0</v>
      </c>
      <c r="AC80" s="263">
        <f t="shared" si="18"/>
        <v>0</v>
      </c>
      <c r="AD80" s="263">
        <f t="shared" si="18"/>
        <v>0</v>
      </c>
      <c r="AE80" s="263">
        <f t="shared" si="18"/>
        <v>0</v>
      </c>
    </row>
    <row r="81" spans="1:31" s="195" customFormat="1" ht="12.75" x14ac:dyDescent="0.2">
      <c r="A81" s="258" t="s">
        <v>521</v>
      </c>
      <c r="B81" s="263">
        <f>-'6.2. Паспорт фин осв ввод'!D24*1000000</f>
        <v>-308000</v>
      </c>
      <c r="C81" s="263">
        <f>'6.2. Паспорт фин осв ввод'!V24</f>
        <v>0</v>
      </c>
      <c r="D81" s="263">
        <f>'6.2. Паспорт фин осв ввод'!Z24</f>
        <v>0</v>
      </c>
      <c r="E81" s="263">
        <v>0</v>
      </c>
      <c r="F81" s="263">
        <v>0</v>
      </c>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row>
    <row r="82" spans="1:31" s="195" customFormat="1" ht="12.75" x14ac:dyDescent="0.2">
      <c r="A82" s="258" t="s">
        <v>289</v>
      </c>
      <c r="B82" s="260">
        <v>0</v>
      </c>
      <c r="C82" s="260">
        <v>0</v>
      </c>
      <c r="D82" s="260">
        <v>0</v>
      </c>
      <c r="E82" s="260">
        <v>0</v>
      </c>
      <c r="F82" s="260">
        <v>0</v>
      </c>
      <c r="G82" s="260">
        <v>0</v>
      </c>
      <c r="H82" s="260">
        <v>0</v>
      </c>
      <c r="I82" s="260">
        <v>0</v>
      </c>
      <c r="J82" s="260">
        <v>0</v>
      </c>
      <c r="K82" s="260">
        <v>0</v>
      </c>
      <c r="L82" s="260">
        <v>0</v>
      </c>
      <c r="M82" s="260">
        <v>0</v>
      </c>
      <c r="N82" s="260">
        <v>0</v>
      </c>
      <c r="O82" s="260">
        <v>0</v>
      </c>
      <c r="P82" s="260">
        <v>0</v>
      </c>
      <c r="Q82" s="260">
        <v>0</v>
      </c>
      <c r="R82" s="260">
        <v>0</v>
      </c>
      <c r="S82" s="260">
        <v>0</v>
      </c>
      <c r="T82" s="260">
        <v>0</v>
      </c>
      <c r="U82" s="260">
        <v>0</v>
      </c>
      <c r="V82" s="260">
        <v>0</v>
      </c>
      <c r="W82" s="260">
        <v>0</v>
      </c>
      <c r="X82" s="260">
        <v>0</v>
      </c>
      <c r="Y82" s="260">
        <v>0</v>
      </c>
      <c r="Z82" s="260">
        <v>0</v>
      </c>
      <c r="AA82" s="260">
        <v>0</v>
      </c>
      <c r="AB82" s="260">
        <v>0</v>
      </c>
      <c r="AC82" s="260">
        <v>0</v>
      </c>
      <c r="AD82" s="260">
        <v>0</v>
      </c>
      <c r="AE82" s="260">
        <v>0</v>
      </c>
    </row>
    <row r="83" spans="1:31" s="195" customFormat="1" ht="12.75" x14ac:dyDescent="0.2">
      <c r="A83" s="262" t="s">
        <v>288</v>
      </c>
      <c r="B83" s="191">
        <f>SUM(B75:B82)</f>
        <v>-369600</v>
      </c>
      <c r="C83" s="191">
        <f t="shared" ref="C83:AE83" si="19">SUM(C75:C82)</f>
        <v>-5420.7999999999993</v>
      </c>
      <c r="D83" s="191">
        <f t="shared" si="19"/>
        <v>-5420.7999999999993</v>
      </c>
      <c r="E83" s="191">
        <f t="shared" si="19"/>
        <v>-5420.7999999999993</v>
      </c>
      <c r="F83" s="191">
        <f t="shared" si="19"/>
        <v>-5420.7999999999993</v>
      </c>
      <c r="G83" s="191">
        <f t="shared" si="19"/>
        <v>-5194.9333333333325</v>
      </c>
      <c r="H83" s="191">
        <f t="shared" si="19"/>
        <v>-4969.0666666666675</v>
      </c>
      <c r="I83" s="191">
        <f t="shared" si="19"/>
        <v>-4743.2000000000007</v>
      </c>
      <c r="J83" s="191">
        <f t="shared" si="19"/>
        <v>-4517.3333333333339</v>
      </c>
      <c r="K83" s="191">
        <f t="shared" si="19"/>
        <v>-4291.4666666666672</v>
      </c>
      <c r="L83" s="191">
        <f t="shared" si="19"/>
        <v>-4102.5600000000031</v>
      </c>
      <c r="M83" s="191">
        <f t="shared" si="19"/>
        <v>-3839.7333333333354</v>
      </c>
      <c r="N83" s="191">
        <f t="shared" si="19"/>
        <v>-3724.7466666666714</v>
      </c>
      <c r="O83" s="191">
        <f t="shared" si="19"/>
        <v>-3388.0000000000018</v>
      </c>
      <c r="P83" s="191">
        <f t="shared" si="19"/>
        <v>-8131.2000000000025</v>
      </c>
      <c r="Q83" s="191">
        <f t="shared" si="19"/>
        <v>-2936.2666666666682</v>
      </c>
      <c r="R83" s="191">
        <f t="shared" si="19"/>
        <v>-403697.45534473279</v>
      </c>
      <c r="S83" s="191">
        <f t="shared" si="19"/>
        <v>-2484.5333333333347</v>
      </c>
      <c r="T83" s="191">
        <f t="shared" si="19"/>
        <v>-2258.6666666666697</v>
      </c>
      <c r="U83" s="191">
        <f t="shared" si="19"/>
        <v>-2032.8000000000011</v>
      </c>
      <c r="V83" s="191">
        <f t="shared" si="19"/>
        <v>-1917.8133333333444</v>
      </c>
      <c r="W83" s="191">
        <f t="shared" si="19"/>
        <v>-1581.0666666666675</v>
      </c>
      <c r="X83" s="191">
        <f t="shared" si="19"/>
        <v>-402342.25534473278</v>
      </c>
      <c r="Y83" s="191">
        <f t="shared" si="19"/>
        <v>-1129.3333333333358</v>
      </c>
      <c r="Z83" s="191">
        <f t="shared" si="19"/>
        <v>-903.46666666666897</v>
      </c>
      <c r="AA83" s="191">
        <f t="shared" si="19"/>
        <v>-677.60000000000218</v>
      </c>
      <c r="AB83" s="191">
        <f t="shared" si="19"/>
        <v>-451.73333333333539</v>
      </c>
      <c r="AC83" s="191">
        <f t="shared" si="19"/>
        <v>0</v>
      </c>
      <c r="AD83" s="191">
        <f t="shared" si="19"/>
        <v>-110.88000000001045</v>
      </c>
      <c r="AE83" s="191">
        <f t="shared" si="19"/>
        <v>0</v>
      </c>
    </row>
    <row r="84" spans="1:31" s="195" customFormat="1" ht="12.75" x14ac:dyDescent="0.2">
      <c r="A84" s="262" t="s">
        <v>561</v>
      </c>
      <c r="B84" s="191">
        <f>SUM($B$83:B83)</f>
        <v>-369600</v>
      </c>
      <c r="C84" s="191">
        <f>SUM($B$83:C83)</f>
        <v>-375020.79999999999</v>
      </c>
      <c r="D84" s="191">
        <f>SUM($B$83:D83)</f>
        <v>-380441.59999999998</v>
      </c>
      <c r="E84" s="191">
        <f>SUM($B$83:E83)</f>
        <v>-385862.39999999997</v>
      </c>
      <c r="F84" s="191">
        <f>SUM($B$83:F83)</f>
        <v>-391283.19999999995</v>
      </c>
      <c r="G84" s="191">
        <f>SUM($B$83:G83)</f>
        <v>-396478.1333333333</v>
      </c>
      <c r="H84" s="191">
        <f>SUM($B$83:H83)</f>
        <v>-401447.19999999995</v>
      </c>
      <c r="I84" s="191">
        <f>SUM($B$83:I83)</f>
        <v>-406190.39999999997</v>
      </c>
      <c r="J84" s="191">
        <f>SUM($B$83:J83)</f>
        <v>-410707.73333333328</v>
      </c>
      <c r="K84" s="191">
        <f>SUM($B$83:K83)</f>
        <v>-414999.19999999995</v>
      </c>
      <c r="L84" s="191">
        <f>SUM($B$83:L83)</f>
        <v>-419101.75999999995</v>
      </c>
      <c r="M84" s="191">
        <f>SUM($B$83:M83)</f>
        <v>-422941.49333333329</v>
      </c>
      <c r="N84" s="191">
        <f>SUM($B$83:N83)</f>
        <v>-426666.23999999993</v>
      </c>
      <c r="O84" s="191">
        <f>SUM($B$83:O83)</f>
        <v>-430054.23999999993</v>
      </c>
      <c r="P84" s="191">
        <f>SUM($B$83:P83)</f>
        <v>-438185.43999999994</v>
      </c>
      <c r="Q84" s="191">
        <f>SUM($B$83:Q83)</f>
        <v>-441121.70666666661</v>
      </c>
      <c r="R84" s="191">
        <f>SUM($B$83:R83)</f>
        <v>-844819.1620113994</v>
      </c>
      <c r="S84" s="191">
        <f>SUM($B$83:S83)</f>
        <v>-847303.69534473273</v>
      </c>
      <c r="T84" s="191">
        <f>SUM($B$83:T83)</f>
        <v>-849562.36201139935</v>
      </c>
      <c r="U84" s="191">
        <f>SUM($B$83:U83)</f>
        <v>-851595.1620113994</v>
      </c>
      <c r="V84" s="191">
        <f>SUM($B$83:V83)</f>
        <v>-853512.97534473275</v>
      </c>
      <c r="W84" s="191">
        <f>SUM($B$83:W83)</f>
        <v>-855094.0420113994</v>
      </c>
      <c r="X84" s="191">
        <f>SUM($B$83:X83)</f>
        <v>-1257436.2973561322</v>
      </c>
      <c r="Y84" s="191">
        <f>SUM($B$83:Y83)</f>
        <v>-1258565.6306894654</v>
      </c>
      <c r="Z84" s="191">
        <f>SUM($B$83:Z83)</f>
        <v>-1259469.097356132</v>
      </c>
      <c r="AA84" s="191">
        <f>SUM($B$83:AA83)</f>
        <v>-1260146.6973561321</v>
      </c>
      <c r="AB84" s="191">
        <f>SUM($B$83:AB83)</f>
        <v>-1260598.4306894655</v>
      </c>
      <c r="AC84" s="191">
        <f>SUM($B$83:AC83)</f>
        <v>-1260598.4306894655</v>
      </c>
      <c r="AD84" s="191">
        <f>SUM($B$83:AD83)</f>
        <v>-1260709.3106894656</v>
      </c>
      <c r="AE84" s="191">
        <f>SUM($B$83:AE83)</f>
        <v>-1260709.3106894656</v>
      </c>
    </row>
    <row r="85" spans="1:31" s="195" customFormat="1" ht="27" customHeight="1" x14ac:dyDescent="0.2">
      <c r="A85" s="268" t="s">
        <v>522</v>
      </c>
      <c r="B85" s="269">
        <f t="shared" ref="B85:AE85" si="20">1/POWER((1+$B$43),B73)</f>
        <v>0.95402649883562884</v>
      </c>
      <c r="C85" s="269">
        <f t="shared" si="20"/>
        <v>0.86832301705254278</v>
      </c>
      <c r="D85" s="269">
        <f t="shared" si="20"/>
        <v>0.79031857381682236</v>
      </c>
      <c r="E85" s="269">
        <f t="shared" si="20"/>
        <v>0.71932153801476506</v>
      </c>
      <c r="F85" s="269">
        <f t="shared" si="20"/>
        <v>0.65470241013449082</v>
      </c>
      <c r="G85" s="269">
        <f t="shared" si="20"/>
        <v>0.59588824077044755</v>
      </c>
      <c r="H85" s="269">
        <f t="shared" si="20"/>
        <v>0.54235755053285484</v>
      </c>
      <c r="I85" s="269">
        <f t="shared" si="20"/>
        <v>0.49363570631915432</v>
      </c>
      <c r="J85" s="269">
        <f t="shared" si="20"/>
        <v>0.44929071295090039</v>
      </c>
      <c r="K85" s="269">
        <f t="shared" si="20"/>
        <v>0.40892938286238317</v>
      </c>
      <c r="L85" s="269">
        <f t="shared" si="20"/>
        <v>0.37219384987929666</v>
      </c>
      <c r="M85" s="269">
        <f t="shared" si="20"/>
        <v>0.3387583961766602</v>
      </c>
      <c r="N85" s="269">
        <f t="shared" si="20"/>
        <v>0.30832656428202437</v>
      </c>
      <c r="O85" s="269">
        <f t="shared" si="20"/>
        <v>0.28062852851736092</v>
      </c>
      <c r="P85" s="269">
        <f t="shared" si="20"/>
        <v>0.25541870257336935</v>
      </c>
      <c r="Q85" s="269">
        <f t="shared" si="20"/>
        <v>0.23247356200361272</v>
      </c>
      <c r="R85" s="269">
        <f t="shared" si="20"/>
        <v>0.21158966233149432</v>
      </c>
      <c r="S85" s="269">
        <f t="shared" si="20"/>
        <v>0.19258183519750091</v>
      </c>
      <c r="T85" s="269">
        <f t="shared" si="20"/>
        <v>0.17528154655274497</v>
      </c>
      <c r="U85" s="269">
        <f t="shared" si="20"/>
        <v>0.15953540234162647</v>
      </c>
      <c r="V85" s="269">
        <f t="shared" si="20"/>
        <v>0.14520378842416171</v>
      </c>
      <c r="W85" s="269">
        <f t="shared" si="20"/>
        <v>0.13215963267876735</v>
      </c>
      <c r="X85" s="269">
        <f t="shared" si="20"/>
        <v>0.12028727830960895</v>
      </c>
      <c r="Y85" s="269">
        <f t="shared" si="20"/>
        <v>0.10948145836862559</v>
      </c>
      <c r="Z85" s="269">
        <f t="shared" si="20"/>
        <v>9.9646362399768443E-2</v>
      </c>
      <c r="AA85" s="269">
        <f t="shared" si="20"/>
        <v>9.0694786929797461E-2</v>
      </c>
      <c r="AB85" s="269">
        <f t="shared" si="20"/>
        <v>8.2547362273411681E-2</v>
      </c>
      <c r="AC85" s="269">
        <f t="shared" si="20"/>
        <v>7.5131848797134526E-2</v>
      </c>
      <c r="AD85" s="269">
        <f t="shared" si="20"/>
        <v>6.8382496402234039E-2</v>
      </c>
      <c r="AE85" s="269">
        <f t="shared" si="20"/>
        <v>6.2239461547496142E-2</v>
      </c>
    </row>
    <row r="86" spans="1:31" s="195" customFormat="1" ht="12.75" x14ac:dyDescent="0.2">
      <c r="A86" s="267" t="s">
        <v>562</v>
      </c>
      <c r="B86" s="191">
        <f t="shared" ref="B86:AE86" si="21">B83*B85</f>
        <v>-352608.19396964845</v>
      </c>
      <c r="C86" s="191">
        <f t="shared" si="21"/>
        <v>-4707.0054108384229</v>
      </c>
      <c r="D86" s="191">
        <f t="shared" si="21"/>
        <v>-4284.1589249462304</v>
      </c>
      <c r="E86" s="191">
        <f t="shared" si="21"/>
        <v>-3899.2981932704379</v>
      </c>
      <c r="F86" s="191">
        <f t="shared" si="21"/>
        <v>-3549.0108248570473</v>
      </c>
      <c r="G86" s="191">
        <f t="shared" si="21"/>
        <v>-3095.5996849197563</v>
      </c>
      <c r="H86" s="191">
        <f t="shared" si="21"/>
        <v>-2695.0108257677916</v>
      </c>
      <c r="I86" s="191">
        <f t="shared" si="21"/>
        <v>-2341.4128822130133</v>
      </c>
      <c r="J86" s="191">
        <f t="shared" si="21"/>
        <v>-2029.5959139702011</v>
      </c>
      <c r="K86" s="191">
        <f t="shared" si="21"/>
        <v>-1754.9068155744887</v>
      </c>
      <c r="L86" s="191">
        <f t="shared" si="21"/>
        <v>-1526.9476007608084</v>
      </c>
      <c r="M86" s="191">
        <f t="shared" si="21"/>
        <v>-1300.741905746062</v>
      </c>
      <c r="N86" s="191">
        <f t="shared" si="21"/>
        <v>-1148.4383425542576</v>
      </c>
      <c r="O86" s="191">
        <f t="shared" si="21"/>
        <v>-950.7694546168193</v>
      </c>
      <c r="P86" s="191">
        <f t="shared" si="21"/>
        <v>-2076.8605543645817</v>
      </c>
      <c r="Q86" s="191">
        <f t="shared" si="21"/>
        <v>-682.60437099247497</v>
      </c>
      <c r="R86" s="191">
        <f t="shared" si="21"/>
        <v>-85418.208260475512</v>
      </c>
      <c r="S86" s="191">
        <f t="shared" si="21"/>
        <v>-478.47598894269788</v>
      </c>
      <c r="T86" s="191">
        <f t="shared" si="21"/>
        <v>-395.90258648046716</v>
      </c>
      <c r="U86" s="191">
        <f t="shared" si="21"/>
        <v>-324.30356588005844</v>
      </c>
      <c r="V86" s="191">
        <f t="shared" si="21"/>
        <v>-278.47376149037126</v>
      </c>
      <c r="W86" s="191">
        <f t="shared" si="21"/>
        <v>-208.95318990730988</v>
      </c>
      <c r="X86" s="191">
        <f t="shared" si="21"/>
        <v>-48396.654844367622</v>
      </c>
      <c r="Y86" s="191">
        <f t="shared" si="21"/>
        <v>-123.64106031763477</v>
      </c>
      <c r="Z86" s="191">
        <f t="shared" si="21"/>
        <v>-90.027166882777692</v>
      </c>
      <c r="AA86" s="191">
        <f t="shared" si="21"/>
        <v>-61.454787623630956</v>
      </c>
      <c r="AB86" s="191">
        <f t="shared" si="21"/>
        <v>-37.289395117642677</v>
      </c>
      <c r="AC86" s="191">
        <f t="shared" si="21"/>
        <v>0</v>
      </c>
      <c r="AD86" s="191">
        <f t="shared" si="21"/>
        <v>-7.5822512010804255</v>
      </c>
      <c r="AE86" s="191">
        <f t="shared" si="21"/>
        <v>0</v>
      </c>
    </row>
    <row r="87" spans="1:31" s="195" customFormat="1" ht="12.75" x14ac:dyDescent="0.2">
      <c r="A87" s="267" t="s">
        <v>563</v>
      </c>
      <c r="B87" s="191">
        <f>SUM($B$86:B86)</f>
        <v>-352608.19396964845</v>
      </c>
      <c r="C87" s="191">
        <f>SUM($B$86:C86)</f>
        <v>-357315.19938048685</v>
      </c>
      <c r="D87" s="191">
        <f>SUM($B$86:D86)</f>
        <v>-361599.35830543307</v>
      </c>
      <c r="E87" s="191">
        <f>SUM($B$86:E86)</f>
        <v>-365498.65649870352</v>
      </c>
      <c r="F87" s="191">
        <f>SUM($B$86:F86)</f>
        <v>-369047.66732356057</v>
      </c>
      <c r="G87" s="191">
        <f>SUM($B$86:G86)</f>
        <v>-372143.26700848032</v>
      </c>
      <c r="H87" s="191">
        <f>SUM($B$86:H86)</f>
        <v>-374838.27783424809</v>
      </c>
      <c r="I87" s="191">
        <f>SUM($B$86:I86)</f>
        <v>-377179.6907164611</v>
      </c>
      <c r="J87" s="191">
        <f>SUM($B$86:J86)</f>
        <v>-379209.28663043131</v>
      </c>
      <c r="K87" s="191">
        <f>SUM($B$86:K86)</f>
        <v>-380964.19344600581</v>
      </c>
      <c r="L87" s="191">
        <f>SUM($B$86:L86)</f>
        <v>-382491.1410467666</v>
      </c>
      <c r="M87" s="191">
        <f>SUM($B$86:M86)</f>
        <v>-383791.88295251265</v>
      </c>
      <c r="N87" s="191">
        <f>SUM($B$86:N86)</f>
        <v>-384940.32129506691</v>
      </c>
      <c r="O87" s="191">
        <f>SUM($B$86:O86)</f>
        <v>-385891.09074968373</v>
      </c>
      <c r="P87" s="191">
        <f>SUM($B$86:P86)</f>
        <v>-387967.9513040483</v>
      </c>
      <c r="Q87" s="191">
        <f>SUM($B$86:Q86)</f>
        <v>-388650.55567504076</v>
      </c>
      <c r="R87" s="191">
        <f>SUM($B$86:R86)</f>
        <v>-474068.76393551624</v>
      </c>
      <c r="S87" s="191">
        <f>SUM($B$86:S86)</f>
        <v>-474547.23992445896</v>
      </c>
      <c r="T87" s="191">
        <f>SUM($B$86:T86)</f>
        <v>-474943.14251093945</v>
      </c>
      <c r="U87" s="191">
        <f>SUM($B$86:U86)</f>
        <v>-475267.4460768195</v>
      </c>
      <c r="V87" s="191">
        <f>SUM($B$86:V86)</f>
        <v>-475545.91983830987</v>
      </c>
      <c r="W87" s="191">
        <f>SUM($B$86:W86)</f>
        <v>-475754.87302821717</v>
      </c>
      <c r="X87" s="191">
        <f>SUM($B$86:X86)</f>
        <v>-524151.52787258482</v>
      </c>
      <c r="Y87" s="191">
        <f>SUM($B$86:Y86)</f>
        <v>-524275.16893290245</v>
      </c>
      <c r="Z87" s="191">
        <f>SUM($B$86:Z86)</f>
        <v>-524365.19609978527</v>
      </c>
      <c r="AA87" s="191">
        <f>SUM($B$86:AA86)</f>
        <v>-524426.65088740888</v>
      </c>
      <c r="AB87" s="191">
        <f>SUM($B$86:AB86)</f>
        <v>-524463.94028252654</v>
      </c>
      <c r="AC87" s="191">
        <f>SUM($B$86:AC86)</f>
        <v>-524463.94028252654</v>
      </c>
      <c r="AD87" s="191">
        <f>SUM($B$86:AD86)</f>
        <v>-524471.52253372758</v>
      </c>
      <c r="AE87" s="191">
        <f>SUM($B$86:AE86)</f>
        <v>-524471.52253372758</v>
      </c>
    </row>
    <row r="88" spans="1:31" s="195" customFormat="1" ht="12.75" x14ac:dyDescent="0.2">
      <c r="A88" s="267" t="s">
        <v>564</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s="195" customFormat="1" ht="12.75" x14ac:dyDescent="0.2">
      <c r="A89" s="267" t="s">
        <v>565</v>
      </c>
      <c r="B89" s="271">
        <f>IF(AND(B84&gt;0,A84&lt;0),(B74-(B84/(B84-A84))),0)</f>
        <v>0</v>
      </c>
      <c r="C89" s="271">
        <f>IF(AND(C84&gt;0,B84&lt;0),(C74-(C84/(C84-B84))),0)</f>
        <v>0</v>
      </c>
      <c r="D89" s="271">
        <f>IF(AND(D84&gt;0,C84&lt;0),(D74-(D84/(D84-C84))),0)</f>
        <v>0</v>
      </c>
      <c r="E89" s="271">
        <f>IF(AND(E84&gt;0,D84&lt;0),(E74-(E84/(E84-D84))),0)</f>
        <v>0</v>
      </c>
      <c r="F89" s="271">
        <f>IF(AND(F84&gt;0,E84&lt;0),(F74-(F84/(F84-E84))),0)</f>
        <v>0</v>
      </c>
      <c r="G89" s="271">
        <f t="shared" ref="G89:AE89" si="22">IF(AND(G84&gt;0,F84&lt;0),(G74-(G84/(G84-F84))),0)</f>
        <v>0</v>
      </c>
      <c r="H89" s="271">
        <f t="shared" si="22"/>
        <v>0</v>
      </c>
      <c r="I89" s="271">
        <f t="shared" si="22"/>
        <v>0</v>
      </c>
      <c r="J89" s="271">
        <f t="shared" si="22"/>
        <v>0</v>
      </c>
      <c r="K89" s="271">
        <f t="shared" si="22"/>
        <v>0</v>
      </c>
      <c r="L89" s="271">
        <f t="shared" si="22"/>
        <v>0</v>
      </c>
      <c r="M89" s="271">
        <f t="shared" si="22"/>
        <v>0</v>
      </c>
      <c r="N89" s="271">
        <f t="shared" si="22"/>
        <v>0</v>
      </c>
      <c r="O89" s="271">
        <f t="shared" si="22"/>
        <v>0</v>
      </c>
      <c r="P89" s="271">
        <f t="shared" si="22"/>
        <v>0</v>
      </c>
      <c r="Q89" s="271">
        <f t="shared" si="22"/>
        <v>0</v>
      </c>
      <c r="R89" s="271">
        <f t="shared" si="22"/>
        <v>0</v>
      </c>
      <c r="S89" s="271">
        <f t="shared" si="22"/>
        <v>0</v>
      </c>
      <c r="T89" s="271">
        <f t="shared" si="22"/>
        <v>0</v>
      </c>
      <c r="U89" s="271">
        <f t="shared" si="22"/>
        <v>0</v>
      </c>
      <c r="V89" s="271">
        <f t="shared" si="22"/>
        <v>0</v>
      </c>
      <c r="W89" s="271">
        <f t="shared" si="22"/>
        <v>0</v>
      </c>
      <c r="X89" s="271">
        <f t="shared" si="22"/>
        <v>0</v>
      </c>
      <c r="Y89" s="271">
        <f t="shared" si="22"/>
        <v>0</v>
      </c>
      <c r="Z89" s="271">
        <f t="shared" si="22"/>
        <v>0</v>
      </c>
      <c r="AA89" s="271">
        <f t="shared" si="22"/>
        <v>0</v>
      </c>
      <c r="AB89" s="271">
        <f t="shared" si="22"/>
        <v>0</v>
      </c>
      <c r="AC89" s="271">
        <f t="shared" si="22"/>
        <v>0</v>
      </c>
      <c r="AD89" s="271">
        <f t="shared" si="22"/>
        <v>0</v>
      </c>
      <c r="AE89" s="271">
        <f t="shared" si="22"/>
        <v>0</v>
      </c>
    </row>
    <row r="90" spans="1:31" s="195" customFormat="1" ht="13.5" thickBot="1" x14ac:dyDescent="0.25">
      <c r="A90" s="272" t="s">
        <v>566</v>
      </c>
      <c r="B90" s="273">
        <f>IF(AND(B87&gt;0,A87&lt;0),(B74-(B87/(B87-A87))),0)</f>
        <v>0</v>
      </c>
      <c r="C90" s="273">
        <f t="shared" ref="C90:AE90" si="23">IF(AND(C87&gt;0,B87&lt;0),(C74-(C87/(C87-B87))),0)</f>
        <v>0</v>
      </c>
      <c r="D90" s="273">
        <f t="shared" si="23"/>
        <v>0</v>
      </c>
      <c r="E90" s="273">
        <f t="shared" si="23"/>
        <v>0</v>
      </c>
      <c r="F90" s="273">
        <f t="shared" si="23"/>
        <v>0</v>
      </c>
      <c r="G90" s="273">
        <f t="shared" si="23"/>
        <v>0</v>
      </c>
      <c r="H90" s="273">
        <f t="shared" si="23"/>
        <v>0</v>
      </c>
      <c r="I90" s="273">
        <f t="shared" si="23"/>
        <v>0</v>
      </c>
      <c r="J90" s="273">
        <f t="shared" si="23"/>
        <v>0</v>
      </c>
      <c r="K90" s="273">
        <f t="shared" si="23"/>
        <v>0</v>
      </c>
      <c r="L90" s="273">
        <f t="shared" si="23"/>
        <v>0</v>
      </c>
      <c r="M90" s="273">
        <f t="shared" si="23"/>
        <v>0</v>
      </c>
      <c r="N90" s="273">
        <f t="shared" si="23"/>
        <v>0</v>
      </c>
      <c r="O90" s="273">
        <f t="shared" si="23"/>
        <v>0</v>
      </c>
      <c r="P90" s="273">
        <f t="shared" si="23"/>
        <v>0</v>
      </c>
      <c r="Q90" s="273">
        <f t="shared" si="23"/>
        <v>0</v>
      </c>
      <c r="R90" s="273">
        <f t="shared" si="23"/>
        <v>0</v>
      </c>
      <c r="S90" s="273">
        <f t="shared" si="23"/>
        <v>0</v>
      </c>
      <c r="T90" s="273">
        <f t="shared" si="23"/>
        <v>0</v>
      </c>
      <c r="U90" s="273">
        <f t="shared" si="23"/>
        <v>0</v>
      </c>
      <c r="V90" s="273">
        <f t="shared" si="23"/>
        <v>0</v>
      </c>
      <c r="W90" s="273">
        <f t="shared" si="23"/>
        <v>0</v>
      </c>
      <c r="X90" s="273">
        <f t="shared" si="23"/>
        <v>0</v>
      </c>
      <c r="Y90" s="273">
        <f t="shared" si="23"/>
        <v>0</v>
      </c>
      <c r="Z90" s="273">
        <f t="shared" si="23"/>
        <v>0</v>
      </c>
      <c r="AA90" s="273">
        <f t="shared" si="23"/>
        <v>0</v>
      </c>
      <c r="AB90" s="273">
        <f t="shared" si="23"/>
        <v>0</v>
      </c>
      <c r="AC90" s="273">
        <f t="shared" si="23"/>
        <v>0</v>
      </c>
      <c r="AD90" s="273">
        <f t="shared" si="23"/>
        <v>0</v>
      </c>
      <c r="AE90" s="273">
        <f t="shared" si="23"/>
        <v>0</v>
      </c>
    </row>
    <row r="91" spans="1:31" s="195" customFormat="1" ht="12.75" x14ac:dyDescent="0.2">
      <c r="A91" s="274"/>
      <c r="B91" s="274">
        <v>2022</v>
      </c>
      <c r="C91" s="274">
        <f t="shared" ref="C91:R92" si="24">B91+1</f>
        <v>2023</v>
      </c>
      <c r="D91" s="274">
        <f t="shared" si="24"/>
        <v>2024</v>
      </c>
      <c r="E91" s="274">
        <f t="shared" si="24"/>
        <v>2025</v>
      </c>
      <c r="F91" s="274">
        <f t="shared" si="24"/>
        <v>2026</v>
      </c>
      <c r="G91" s="274">
        <f t="shared" si="24"/>
        <v>2027</v>
      </c>
      <c r="H91" s="274">
        <f t="shared" si="24"/>
        <v>2028</v>
      </c>
      <c r="I91" s="274">
        <f t="shared" si="24"/>
        <v>2029</v>
      </c>
      <c r="J91" s="274">
        <f t="shared" si="24"/>
        <v>2030</v>
      </c>
      <c r="K91" s="274">
        <f t="shared" si="24"/>
        <v>2031</v>
      </c>
      <c r="L91" s="274">
        <f t="shared" si="24"/>
        <v>2032</v>
      </c>
      <c r="M91" s="274">
        <f t="shared" si="24"/>
        <v>2033</v>
      </c>
      <c r="N91" s="274">
        <f t="shared" si="24"/>
        <v>2034</v>
      </c>
      <c r="O91" s="274">
        <f t="shared" si="24"/>
        <v>2035</v>
      </c>
      <c r="P91" s="274">
        <f t="shared" si="24"/>
        <v>2036</v>
      </c>
      <c r="Q91" s="274">
        <f t="shared" si="24"/>
        <v>2037</v>
      </c>
      <c r="R91" s="274">
        <f t="shared" si="24"/>
        <v>2038</v>
      </c>
      <c r="S91" s="274">
        <f t="shared" ref="S91:AE92" si="25">R91+1</f>
        <v>2039</v>
      </c>
      <c r="T91" s="274">
        <f t="shared" si="25"/>
        <v>2040</v>
      </c>
      <c r="U91" s="274">
        <f t="shared" si="25"/>
        <v>2041</v>
      </c>
      <c r="V91" s="274">
        <f t="shared" si="25"/>
        <v>2042</v>
      </c>
      <c r="W91" s="274">
        <f t="shared" si="25"/>
        <v>2043</v>
      </c>
      <c r="X91" s="274">
        <f t="shared" si="25"/>
        <v>2044</v>
      </c>
      <c r="Y91" s="274">
        <f t="shared" si="25"/>
        <v>2045</v>
      </c>
      <c r="Z91" s="274">
        <f t="shared" si="25"/>
        <v>2046</v>
      </c>
      <c r="AA91" s="274">
        <f t="shared" si="25"/>
        <v>2047</v>
      </c>
      <c r="AB91" s="274">
        <f t="shared" si="25"/>
        <v>2048</v>
      </c>
      <c r="AC91" s="274">
        <f t="shared" si="25"/>
        <v>2049</v>
      </c>
      <c r="AD91" s="274">
        <f t="shared" si="25"/>
        <v>2050</v>
      </c>
      <c r="AE91" s="274">
        <f t="shared" si="25"/>
        <v>2051</v>
      </c>
    </row>
    <row r="92" spans="1:31" s="276" customFormat="1" ht="12.75" x14ac:dyDescent="0.2">
      <c r="A92" s="275"/>
      <c r="B92" s="275">
        <v>1</v>
      </c>
      <c r="C92" s="275">
        <f>B92+1</f>
        <v>2</v>
      </c>
      <c r="D92" s="275">
        <f t="shared" si="24"/>
        <v>3</v>
      </c>
      <c r="E92" s="275">
        <f t="shared" si="24"/>
        <v>4</v>
      </c>
      <c r="F92" s="275">
        <f t="shared" si="24"/>
        <v>5</v>
      </c>
      <c r="G92" s="275">
        <f t="shared" si="24"/>
        <v>6</v>
      </c>
      <c r="H92" s="275">
        <f t="shared" si="24"/>
        <v>7</v>
      </c>
      <c r="I92" s="275">
        <f t="shared" si="24"/>
        <v>8</v>
      </c>
      <c r="J92" s="275">
        <f t="shared" si="24"/>
        <v>9</v>
      </c>
      <c r="K92" s="275">
        <f t="shared" si="24"/>
        <v>10</v>
      </c>
      <c r="L92" s="275">
        <f t="shared" si="24"/>
        <v>11</v>
      </c>
      <c r="M92" s="275">
        <f t="shared" si="24"/>
        <v>12</v>
      </c>
      <c r="N92" s="275">
        <f t="shared" si="24"/>
        <v>13</v>
      </c>
      <c r="O92" s="275">
        <f t="shared" si="24"/>
        <v>14</v>
      </c>
      <c r="P92" s="275">
        <f t="shared" si="24"/>
        <v>15</v>
      </c>
      <c r="Q92" s="275">
        <f t="shared" si="24"/>
        <v>16</v>
      </c>
      <c r="R92" s="275">
        <f t="shared" si="24"/>
        <v>17</v>
      </c>
      <c r="S92" s="275">
        <f t="shared" si="25"/>
        <v>18</v>
      </c>
      <c r="T92" s="275">
        <f t="shared" si="25"/>
        <v>19</v>
      </c>
      <c r="U92" s="275">
        <f t="shared" si="25"/>
        <v>20</v>
      </c>
      <c r="V92" s="275">
        <f t="shared" si="25"/>
        <v>21</v>
      </c>
      <c r="W92" s="275">
        <f t="shared" si="25"/>
        <v>22</v>
      </c>
      <c r="X92" s="275">
        <f t="shared" si="25"/>
        <v>23</v>
      </c>
      <c r="Y92" s="275">
        <f t="shared" si="25"/>
        <v>24</v>
      </c>
      <c r="Z92" s="275">
        <f t="shared" si="25"/>
        <v>25</v>
      </c>
      <c r="AA92" s="275">
        <f t="shared" si="25"/>
        <v>26</v>
      </c>
      <c r="AB92" s="275">
        <f t="shared" si="25"/>
        <v>27</v>
      </c>
      <c r="AC92" s="275">
        <f t="shared" si="25"/>
        <v>28</v>
      </c>
      <c r="AD92" s="275">
        <f t="shared" si="25"/>
        <v>29</v>
      </c>
      <c r="AE92" s="275">
        <f t="shared" si="25"/>
        <v>30</v>
      </c>
    </row>
    <row r="93" spans="1:31" s="195" customFormat="1" ht="12.75" x14ac:dyDescent="0.2">
      <c r="A93" s="390" t="s">
        <v>567</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31" s="195" customFormat="1" ht="12.75" x14ac:dyDescent="0.2">
      <c r="A94" s="390" t="s">
        <v>568</v>
      </c>
      <c r="B94" s="390"/>
      <c r="C94" s="390"/>
      <c r="D94" s="390"/>
      <c r="E94" s="390"/>
      <c r="F94" s="390"/>
      <c r="G94" s="390"/>
      <c r="H94" s="390"/>
      <c r="I94" s="390"/>
      <c r="J94" s="205"/>
      <c r="K94" s="205"/>
      <c r="L94" s="205"/>
      <c r="M94" s="205"/>
      <c r="N94" s="205"/>
      <c r="O94" s="205"/>
      <c r="P94" s="205"/>
      <c r="Q94" s="205"/>
      <c r="R94" s="205"/>
      <c r="S94" s="205"/>
      <c r="T94" s="205"/>
      <c r="U94" s="205"/>
      <c r="V94" s="205"/>
      <c r="W94" s="205"/>
      <c r="X94" s="205"/>
      <c r="Y94" s="205"/>
      <c r="Z94" s="205"/>
      <c r="AA94" s="205"/>
      <c r="AB94" s="205"/>
      <c r="AC94" s="205"/>
    </row>
    <row r="95" spans="1:31" s="195" customFormat="1" ht="12.75" hidden="1" x14ac:dyDescent="0.2">
      <c r="A95" s="205"/>
      <c r="B95" s="205"/>
      <c r="C95" s="277"/>
      <c r="D95" s="205"/>
      <c r="E95" s="205"/>
      <c r="F95" s="205"/>
      <c r="G95" s="205"/>
      <c r="H95" s="205"/>
      <c r="I95" s="205"/>
      <c r="J95" s="205"/>
      <c r="K95" s="205"/>
      <c r="L95" s="205"/>
      <c r="M95" s="205"/>
      <c r="N95" s="205"/>
      <c r="O95" s="205"/>
      <c r="P95" s="205"/>
      <c r="Q95" s="205"/>
      <c r="R95" s="205"/>
      <c r="S95" s="205"/>
      <c r="T95" s="205"/>
      <c r="U95" s="205"/>
      <c r="V95" s="205"/>
      <c r="W95" s="205"/>
      <c r="X95" s="205"/>
      <c r="Y95" s="205"/>
      <c r="Z95" s="205"/>
      <c r="AA95" s="205"/>
      <c r="AB95" s="205"/>
      <c r="AC95" s="205"/>
    </row>
    <row r="96" spans="1:31" s="195" customFormat="1" ht="12.75" hidden="1" x14ac:dyDescent="0.2">
      <c r="A96" s="205"/>
      <c r="B96" s="205"/>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5"/>
      <c r="AC96" s="205"/>
    </row>
    <row r="97" spans="1:71" s="195" customFormat="1" ht="12.75" hidden="1" x14ac:dyDescent="0.2">
      <c r="N97" s="205"/>
    </row>
    <row r="98" spans="1:71" s="195" customFormat="1" ht="12.75" hidden="1" x14ac:dyDescent="0.2">
      <c r="N98" s="205"/>
    </row>
    <row r="99" spans="1:71" s="195" customFormat="1" ht="12.75" hidden="1" x14ac:dyDescent="0.2">
      <c r="N99" s="205"/>
    </row>
    <row r="100" spans="1:71" s="282" customFormat="1" ht="15.75" hidden="1" x14ac:dyDescent="0.2">
      <c r="A100" s="278" t="s">
        <v>569</v>
      </c>
      <c r="B100" s="279" t="e">
        <f>(A99+-A98)/-A98</f>
        <v>#DIV/0!</v>
      </c>
      <c r="C100" s="280"/>
      <c r="D100" s="280"/>
      <c r="E100" s="280"/>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1"/>
      <c r="AR100" s="281"/>
      <c r="AS100" s="281"/>
    </row>
    <row r="101" spans="1:71" s="282" customFormat="1" ht="15.75" hidden="1" x14ac:dyDescent="0.2">
      <c r="A101" s="283"/>
      <c r="B101" s="280"/>
      <c r="C101" s="280"/>
      <c r="D101" s="280"/>
      <c r="E101" s="280"/>
      <c r="F101" s="280"/>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1"/>
      <c r="AR101" s="281"/>
      <c r="AS101" s="281"/>
    </row>
    <row r="102" spans="1:71" s="285" customFormat="1" ht="12.75" hidden="1" x14ac:dyDescent="0.2">
      <c r="A102" s="284" t="s">
        <v>570</v>
      </c>
      <c r="B102" s="284" t="s">
        <v>571</v>
      </c>
      <c r="C102" s="284" t="s">
        <v>572</v>
      </c>
      <c r="D102" s="284" t="s">
        <v>573</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1"/>
      <c r="AR102" s="281"/>
      <c r="AS102" s="281"/>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5" customFormat="1" ht="12.75" hidden="1" x14ac:dyDescent="0.2">
      <c r="A103" s="286" t="e">
        <f>G28/1000/1000</f>
        <v>#VALUE!</v>
      </c>
      <c r="B103" s="287">
        <f>L86</f>
        <v>-1526.9476007608084</v>
      </c>
      <c r="C103" s="288">
        <f>G26</f>
        <v>0</v>
      </c>
      <c r="D103" s="288" t="str">
        <f>G27</f>
        <v>не окупается</v>
      </c>
      <c r="E103" s="285" t="s">
        <v>574</v>
      </c>
    </row>
    <row r="104" spans="1:71" s="285"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1"/>
      <c r="AR104" s="281"/>
      <c r="AS104" s="281"/>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5" customFormat="1" ht="12.75" hidden="1" x14ac:dyDescent="0.2">
      <c r="A105" s="289"/>
      <c r="B105" s="290">
        <v>2016</v>
      </c>
      <c r="C105" s="290">
        <v>2017</v>
      </c>
      <c r="D105" s="291">
        <f t="shared" ref="D105:AP105" si="26">C105+1</f>
        <v>2018</v>
      </c>
      <c r="E105" s="291">
        <f t="shared" si="26"/>
        <v>2019</v>
      </c>
      <c r="F105" s="291">
        <f t="shared" si="26"/>
        <v>2020</v>
      </c>
      <c r="G105" s="291">
        <f t="shared" si="26"/>
        <v>2021</v>
      </c>
      <c r="H105" s="291">
        <f t="shared" si="26"/>
        <v>2022</v>
      </c>
      <c r="I105" s="291">
        <f t="shared" si="26"/>
        <v>2023</v>
      </c>
      <c r="J105" s="291">
        <f t="shared" si="26"/>
        <v>2024</v>
      </c>
      <c r="K105" s="291">
        <f t="shared" si="26"/>
        <v>2025</v>
      </c>
      <c r="L105" s="291">
        <f t="shared" si="26"/>
        <v>2026</v>
      </c>
      <c r="M105" s="291">
        <f t="shared" si="26"/>
        <v>2027</v>
      </c>
      <c r="N105" s="291">
        <f t="shared" si="26"/>
        <v>2028</v>
      </c>
      <c r="O105" s="291">
        <f t="shared" si="26"/>
        <v>2029</v>
      </c>
      <c r="P105" s="291">
        <f t="shared" si="26"/>
        <v>2030</v>
      </c>
      <c r="Q105" s="291">
        <f t="shared" si="26"/>
        <v>2031</v>
      </c>
      <c r="R105" s="291">
        <f t="shared" si="26"/>
        <v>2032</v>
      </c>
      <c r="S105" s="291">
        <f t="shared" si="26"/>
        <v>2033</v>
      </c>
      <c r="T105" s="291">
        <f t="shared" si="26"/>
        <v>2034</v>
      </c>
      <c r="U105" s="291">
        <f t="shared" si="26"/>
        <v>2035</v>
      </c>
      <c r="V105" s="291">
        <f t="shared" si="26"/>
        <v>2036</v>
      </c>
      <c r="W105" s="291">
        <f t="shared" si="26"/>
        <v>2037</v>
      </c>
      <c r="X105" s="291">
        <f t="shared" si="26"/>
        <v>2038</v>
      </c>
      <c r="Y105" s="291">
        <f t="shared" si="26"/>
        <v>2039</v>
      </c>
      <c r="Z105" s="291">
        <f t="shared" si="26"/>
        <v>2040</v>
      </c>
      <c r="AA105" s="291">
        <f t="shared" si="26"/>
        <v>2041</v>
      </c>
      <c r="AB105" s="291">
        <f t="shared" si="26"/>
        <v>2042</v>
      </c>
      <c r="AC105" s="291">
        <f t="shared" si="26"/>
        <v>2043</v>
      </c>
      <c r="AD105" s="291">
        <f t="shared" si="26"/>
        <v>2044</v>
      </c>
      <c r="AE105" s="291">
        <f t="shared" si="26"/>
        <v>2045</v>
      </c>
      <c r="AF105" s="291">
        <f t="shared" si="26"/>
        <v>2046</v>
      </c>
      <c r="AG105" s="291">
        <f t="shared" si="26"/>
        <v>2047</v>
      </c>
      <c r="AH105" s="291">
        <f t="shared" si="26"/>
        <v>2048</v>
      </c>
      <c r="AI105" s="291">
        <f t="shared" si="26"/>
        <v>2049</v>
      </c>
      <c r="AJ105" s="291">
        <f t="shared" si="26"/>
        <v>2050</v>
      </c>
      <c r="AK105" s="291">
        <f t="shared" si="26"/>
        <v>2051</v>
      </c>
      <c r="AL105" s="291">
        <f t="shared" si="26"/>
        <v>2052</v>
      </c>
      <c r="AM105" s="291">
        <f t="shared" si="26"/>
        <v>2053</v>
      </c>
      <c r="AN105" s="291">
        <f t="shared" si="26"/>
        <v>2054</v>
      </c>
      <c r="AO105" s="291">
        <f t="shared" si="26"/>
        <v>2055</v>
      </c>
      <c r="AP105" s="291">
        <f t="shared" si="26"/>
        <v>2056</v>
      </c>
      <c r="AQ105" s="281"/>
      <c r="AR105" s="281"/>
      <c r="AS105" s="281"/>
      <c r="AT105" s="282"/>
      <c r="AU105" s="282"/>
      <c r="AV105" s="282"/>
      <c r="AW105" s="282"/>
      <c r="AX105" s="282"/>
      <c r="AY105" s="282"/>
      <c r="AZ105" s="282"/>
      <c r="BA105" s="282"/>
      <c r="BB105" s="282"/>
      <c r="BC105" s="282"/>
      <c r="BD105" s="282"/>
      <c r="BE105" s="282"/>
      <c r="BF105" s="282"/>
      <c r="BG105" s="282"/>
    </row>
    <row r="106" spans="1:71" s="285" customFormat="1" ht="25.5" hidden="1" x14ac:dyDescent="0.2">
      <c r="A106" s="292" t="s">
        <v>575</v>
      </c>
      <c r="B106" s="293"/>
      <c r="C106" s="293">
        <f>C107*$B$111*$B$112*1000</f>
        <v>0</v>
      </c>
      <c r="D106" s="293">
        <f>D107*$B$111*$B$112*1000</f>
        <v>0</v>
      </c>
      <c r="E106" s="293">
        <f>E107*$B$110*$B$109*1000</f>
        <v>0</v>
      </c>
      <c r="F106" s="293">
        <f t="shared" ref="F106:L106" si="27">F107*$B$110*$B$109*1000</f>
        <v>0</v>
      </c>
      <c r="G106" s="293">
        <f t="shared" si="27"/>
        <v>0</v>
      </c>
      <c r="H106" s="293">
        <f t="shared" si="27"/>
        <v>0</v>
      </c>
      <c r="I106" s="293">
        <f t="shared" si="27"/>
        <v>0</v>
      </c>
      <c r="J106" s="293">
        <f>J107*$B$110*$B$109*1000</f>
        <v>0</v>
      </c>
      <c r="K106" s="293">
        <f t="shared" si="27"/>
        <v>0</v>
      </c>
      <c r="L106" s="293">
        <f t="shared" si="27"/>
        <v>0</v>
      </c>
      <c r="M106" s="293">
        <f>M107*$B$110*$B$109*1000</f>
        <v>0</v>
      </c>
      <c r="N106" s="293">
        <f t="shared" ref="N106:AP106" si="28">N107*$B$110*$B$109*1000</f>
        <v>0</v>
      </c>
      <c r="O106" s="293">
        <f t="shared" si="28"/>
        <v>0</v>
      </c>
      <c r="P106" s="293">
        <f t="shared" si="28"/>
        <v>0</v>
      </c>
      <c r="Q106" s="293">
        <f t="shared" si="28"/>
        <v>0</v>
      </c>
      <c r="R106" s="293">
        <f t="shared" si="28"/>
        <v>0</v>
      </c>
      <c r="S106" s="293">
        <f t="shared" si="28"/>
        <v>0</v>
      </c>
      <c r="T106" s="293">
        <f t="shared" si="28"/>
        <v>0</v>
      </c>
      <c r="U106" s="293">
        <f t="shared" si="28"/>
        <v>0</v>
      </c>
      <c r="V106" s="293">
        <f t="shared" si="28"/>
        <v>0</v>
      </c>
      <c r="W106" s="293">
        <f t="shared" si="28"/>
        <v>0</v>
      </c>
      <c r="X106" s="293">
        <f t="shared" si="28"/>
        <v>0</v>
      </c>
      <c r="Y106" s="293">
        <f t="shared" si="28"/>
        <v>0</v>
      </c>
      <c r="Z106" s="293">
        <f t="shared" si="28"/>
        <v>0</v>
      </c>
      <c r="AA106" s="293">
        <f t="shared" si="28"/>
        <v>0</v>
      </c>
      <c r="AB106" s="293">
        <f t="shared" si="28"/>
        <v>0</v>
      </c>
      <c r="AC106" s="293">
        <f t="shared" si="28"/>
        <v>0</v>
      </c>
      <c r="AD106" s="293">
        <f t="shared" si="28"/>
        <v>0</v>
      </c>
      <c r="AE106" s="293">
        <f t="shared" si="28"/>
        <v>0</v>
      </c>
      <c r="AF106" s="293">
        <f t="shared" si="28"/>
        <v>0</v>
      </c>
      <c r="AG106" s="293">
        <f t="shared" si="28"/>
        <v>0</v>
      </c>
      <c r="AH106" s="293">
        <f t="shared" si="28"/>
        <v>0</v>
      </c>
      <c r="AI106" s="293">
        <f t="shared" si="28"/>
        <v>0</v>
      </c>
      <c r="AJ106" s="293">
        <f t="shared" si="28"/>
        <v>0</v>
      </c>
      <c r="AK106" s="293">
        <f t="shared" si="28"/>
        <v>0</v>
      </c>
      <c r="AL106" s="293">
        <f t="shared" si="28"/>
        <v>0</v>
      </c>
      <c r="AM106" s="293">
        <f t="shared" si="28"/>
        <v>0</v>
      </c>
      <c r="AN106" s="293">
        <f t="shared" si="28"/>
        <v>0</v>
      </c>
      <c r="AO106" s="293">
        <f t="shared" si="28"/>
        <v>0</v>
      </c>
      <c r="AP106" s="293">
        <f t="shared" si="28"/>
        <v>0</v>
      </c>
      <c r="AQ106" s="281"/>
      <c r="AR106" s="281"/>
      <c r="AS106" s="281"/>
      <c r="AT106" s="282"/>
      <c r="AU106" s="282"/>
      <c r="AV106" s="282"/>
      <c r="AW106" s="282"/>
      <c r="AX106" s="282"/>
      <c r="AY106" s="282"/>
      <c r="AZ106" s="282"/>
      <c r="BA106" s="282"/>
      <c r="BB106" s="282"/>
      <c r="BC106" s="282"/>
      <c r="BD106" s="282"/>
      <c r="BE106" s="282"/>
      <c r="BF106" s="282"/>
      <c r="BG106" s="282"/>
    </row>
    <row r="107" spans="1:71" s="285" customFormat="1" ht="12.75" hidden="1" x14ac:dyDescent="0.2">
      <c r="A107" s="292" t="s">
        <v>576</v>
      </c>
      <c r="B107" s="291"/>
      <c r="C107" s="291">
        <f t="shared" ref="C107:E107" si="29">B107+$I$120*C111</f>
        <v>0</v>
      </c>
      <c r="D107" s="291">
        <f t="shared" si="29"/>
        <v>0</v>
      </c>
      <c r="E107" s="291">
        <f t="shared" si="29"/>
        <v>0</v>
      </c>
      <c r="F107" s="291">
        <f>E107+$I$118*F111</f>
        <v>0</v>
      </c>
      <c r="G107" s="291">
        <f>F107+$I$118*G111</f>
        <v>0</v>
      </c>
      <c r="H107" s="291">
        <f t="shared" ref="H107:J107" si="30">G107+$I$118*H111</f>
        <v>0</v>
      </c>
      <c r="I107" s="291">
        <f>H107+$I$118*I111</f>
        <v>0</v>
      </c>
      <c r="J107" s="291">
        <f t="shared" si="30"/>
        <v>0</v>
      </c>
      <c r="K107" s="291">
        <f t="shared" ref="K107" si="31">J107+$I$118*K111</f>
        <v>0</v>
      </c>
      <c r="L107" s="291">
        <f t="shared" ref="L107" si="32">K107+$I$118*L111</f>
        <v>0</v>
      </c>
      <c r="M107" s="291">
        <f t="shared" ref="M107" si="33">L107+$I$118*M111</f>
        <v>0</v>
      </c>
      <c r="N107" s="291">
        <f t="shared" ref="N107" si="34">M107+$I$118*N111</f>
        <v>0</v>
      </c>
      <c r="O107" s="291">
        <f t="shared" ref="O107" si="35">N107+$I$118*O111</f>
        <v>0</v>
      </c>
      <c r="P107" s="291">
        <f t="shared" ref="P107" si="36">O107+$I$118*P111</f>
        <v>0</v>
      </c>
      <c r="Q107" s="291">
        <f t="shared" ref="Q107" si="37">P107+$I$118*Q111</f>
        <v>0</v>
      </c>
      <c r="R107" s="291">
        <f t="shared" ref="R107" si="38">Q107+$I$118*R111</f>
        <v>0</v>
      </c>
      <c r="S107" s="291">
        <f t="shared" ref="S107" si="39">R107+$I$118*S111</f>
        <v>0</v>
      </c>
      <c r="T107" s="291">
        <f t="shared" ref="T107" si="40">S107+$I$118*T111</f>
        <v>0</v>
      </c>
      <c r="U107" s="291">
        <f t="shared" ref="U107" si="41">T107+$I$118*U111</f>
        <v>0</v>
      </c>
      <c r="V107" s="291">
        <f t="shared" ref="V107" si="42">U107+$I$118*V111</f>
        <v>0</v>
      </c>
      <c r="W107" s="291">
        <f t="shared" ref="W107" si="43">V107+$I$118*W111</f>
        <v>0</v>
      </c>
      <c r="X107" s="291">
        <f t="shared" ref="X107" si="44">W107+$I$118*X111</f>
        <v>0</v>
      </c>
      <c r="Y107" s="291">
        <f t="shared" ref="Y107" si="45">X107+$I$118*Y111</f>
        <v>0</v>
      </c>
      <c r="Z107" s="291">
        <f t="shared" ref="Z107" si="46">Y107+$I$118*Z111</f>
        <v>0</v>
      </c>
      <c r="AA107" s="291">
        <f t="shared" ref="AA107" si="47">Z107+$I$118*AA111</f>
        <v>0</v>
      </c>
      <c r="AB107" s="291">
        <f t="shared" ref="AB107" si="48">AA107+$I$118*AB111</f>
        <v>0</v>
      </c>
      <c r="AC107" s="291">
        <f t="shared" ref="AC107" si="49">AB107+$I$118*AC111</f>
        <v>0</v>
      </c>
      <c r="AD107" s="291">
        <f t="shared" ref="AD107" si="50">AC107+$I$118*AD111</f>
        <v>0</v>
      </c>
      <c r="AE107" s="291">
        <f t="shared" ref="AE107" si="51">AD107+$I$118*AE111</f>
        <v>0</v>
      </c>
      <c r="AF107" s="291">
        <f t="shared" ref="AF107" si="52">AE107+$I$118*AF111</f>
        <v>0</v>
      </c>
      <c r="AG107" s="291">
        <f t="shared" ref="AG107" si="53">AF107+$I$118*AG111</f>
        <v>0</v>
      </c>
      <c r="AH107" s="291">
        <f t="shared" ref="AH107" si="54">AG107+$I$118*AH111</f>
        <v>0</v>
      </c>
      <c r="AI107" s="291">
        <f t="shared" ref="AI107" si="55">AH107+$I$118*AI111</f>
        <v>0</v>
      </c>
      <c r="AJ107" s="291">
        <f t="shared" ref="AJ107" si="56">AI107+$I$118*AJ111</f>
        <v>0</v>
      </c>
      <c r="AK107" s="291">
        <f t="shared" ref="AK107" si="57">AJ107+$I$118*AK111</f>
        <v>0</v>
      </c>
      <c r="AL107" s="291">
        <f t="shared" ref="AL107" si="58">AK107+$I$118*AL111</f>
        <v>0</v>
      </c>
      <c r="AM107" s="291">
        <f t="shared" ref="AM107" si="59">AL107+$I$118*AM111</f>
        <v>0</v>
      </c>
      <c r="AN107" s="291">
        <f t="shared" ref="AN107" si="60">AM107+$I$118*AN111</f>
        <v>0</v>
      </c>
      <c r="AO107" s="291">
        <f t="shared" ref="AO107" si="61">AN107+$I$118*AO111</f>
        <v>0</v>
      </c>
      <c r="AP107" s="291">
        <f t="shared" ref="AP107" si="62">AO107+$I$118*AP111</f>
        <v>0</v>
      </c>
      <c r="AQ107" s="281"/>
      <c r="AR107" s="281"/>
      <c r="AS107" s="281"/>
      <c r="AT107" s="282"/>
      <c r="AU107" s="282"/>
      <c r="AV107" s="282"/>
      <c r="AW107" s="282"/>
      <c r="AX107" s="282"/>
      <c r="AY107" s="282"/>
      <c r="AZ107" s="282"/>
      <c r="BA107" s="282"/>
      <c r="BB107" s="282"/>
      <c r="BC107" s="282"/>
      <c r="BD107" s="282"/>
      <c r="BE107" s="282"/>
      <c r="BF107" s="282"/>
      <c r="BG107" s="282"/>
    </row>
    <row r="108" spans="1:71" s="285" customFormat="1" ht="12.75" hidden="1" x14ac:dyDescent="0.2">
      <c r="A108" s="292" t="s">
        <v>577</v>
      </c>
      <c r="B108" s="294">
        <v>0.93</v>
      </c>
      <c r="C108" s="291"/>
      <c r="D108" s="291"/>
      <c r="E108" s="291"/>
      <c r="F108" s="291"/>
      <c r="G108" s="291"/>
      <c r="H108" s="291"/>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c r="AG108" s="291"/>
      <c r="AH108" s="291"/>
      <c r="AI108" s="291"/>
      <c r="AJ108" s="291"/>
      <c r="AK108" s="291"/>
      <c r="AL108" s="291"/>
      <c r="AM108" s="291"/>
      <c r="AN108" s="291"/>
      <c r="AO108" s="291"/>
      <c r="AP108" s="291"/>
      <c r="AQ108" s="281"/>
      <c r="AR108" s="281"/>
      <c r="AS108" s="281"/>
      <c r="AT108" s="282"/>
      <c r="AU108" s="282"/>
      <c r="AV108" s="282"/>
      <c r="AW108" s="282"/>
      <c r="AX108" s="282"/>
      <c r="AY108" s="282"/>
      <c r="AZ108" s="282"/>
      <c r="BA108" s="282"/>
      <c r="BB108" s="282"/>
      <c r="BC108" s="282"/>
      <c r="BD108" s="282"/>
      <c r="BE108" s="282"/>
      <c r="BF108" s="282"/>
      <c r="BG108" s="282"/>
    </row>
    <row r="109" spans="1:71" s="285" customFormat="1" ht="12.75" hidden="1" x14ac:dyDescent="0.2">
      <c r="A109" s="292" t="s">
        <v>578</v>
      </c>
      <c r="B109" s="294">
        <v>4380</v>
      </c>
      <c r="C109" s="291"/>
      <c r="D109" s="291"/>
      <c r="E109" s="291"/>
      <c r="F109" s="291"/>
      <c r="G109" s="291"/>
      <c r="H109" s="291"/>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c r="AG109" s="291"/>
      <c r="AH109" s="291"/>
      <c r="AI109" s="291"/>
      <c r="AJ109" s="291"/>
      <c r="AK109" s="291"/>
      <c r="AL109" s="291"/>
      <c r="AM109" s="291"/>
      <c r="AN109" s="291"/>
      <c r="AO109" s="291"/>
      <c r="AP109" s="291"/>
      <c r="AQ109" s="281"/>
      <c r="AR109" s="281"/>
      <c r="AS109" s="281"/>
      <c r="AT109" s="282"/>
      <c r="AU109" s="282"/>
      <c r="AV109" s="282"/>
      <c r="AW109" s="282"/>
      <c r="AX109" s="282"/>
      <c r="AY109" s="282"/>
      <c r="AZ109" s="282"/>
      <c r="BA109" s="282"/>
      <c r="BB109" s="282"/>
      <c r="BC109" s="282"/>
      <c r="BD109" s="282"/>
      <c r="BE109" s="282"/>
      <c r="BF109" s="282"/>
      <c r="BG109" s="282"/>
    </row>
    <row r="110" spans="1:71" s="285" customFormat="1" ht="12.75" hidden="1" x14ac:dyDescent="0.2">
      <c r="A110" s="292" t="s">
        <v>579</v>
      </c>
      <c r="B110" s="290">
        <f>$B$129</f>
        <v>0.74426999999999999</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Q110" s="281"/>
      <c r="AR110" s="281"/>
      <c r="AS110" s="281"/>
      <c r="AT110" s="282"/>
      <c r="AU110" s="282"/>
      <c r="AV110" s="282"/>
      <c r="AW110" s="282"/>
      <c r="AX110" s="282"/>
      <c r="AY110" s="282"/>
      <c r="AZ110" s="282"/>
      <c r="BA110" s="282"/>
      <c r="BB110" s="282"/>
      <c r="BC110" s="282"/>
      <c r="BD110" s="282"/>
      <c r="BE110" s="282"/>
      <c r="BF110" s="282"/>
      <c r="BG110" s="282"/>
    </row>
    <row r="111" spans="1:71" s="285" customFormat="1" hidden="1" x14ac:dyDescent="0.2">
      <c r="A111" s="295" t="s">
        <v>580</v>
      </c>
      <c r="B111" s="296">
        <v>0</v>
      </c>
      <c r="C111" s="297">
        <v>0</v>
      </c>
      <c r="D111" s="297">
        <v>0</v>
      </c>
      <c r="E111" s="297">
        <v>0</v>
      </c>
      <c r="F111" s="296">
        <v>0</v>
      </c>
      <c r="G111" s="296">
        <v>0</v>
      </c>
      <c r="H111" s="296">
        <v>0</v>
      </c>
      <c r="I111" s="296">
        <v>0</v>
      </c>
      <c r="J111" s="296">
        <v>0</v>
      </c>
      <c r="K111" s="296">
        <v>0</v>
      </c>
      <c r="L111" s="296">
        <v>0</v>
      </c>
      <c r="M111" s="296">
        <v>0</v>
      </c>
      <c r="N111" s="296">
        <v>0</v>
      </c>
      <c r="O111" s="296">
        <v>0</v>
      </c>
      <c r="P111" s="296">
        <v>0</v>
      </c>
      <c r="Q111" s="296">
        <v>0</v>
      </c>
      <c r="R111" s="296">
        <v>0</v>
      </c>
      <c r="S111" s="296">
        <v>0</v>
      </c>
      <c r="T111" s="296">
        <v>0</v>
      </c>
      <c r="U111" s="296">
        <v>0</v>
      </c>
      <c r="V111" s="296">
        <v>0</v>
      </c>
      <c r="W111" s="296">
        <v>0</v>
      </c>
      <c r="X111" s="296">
        <v>0</v>
      </c>
      <c r="Y111" s="296">
        <v>0</v>
      </c>
      <c r="Z111" s="296">
        <v>0</v>
      </c>
      <c r="AA111" s="296">
        <v>0</v>
      </c>
      <c r="AB111" s="296">
        <v>0</v>
      </c>
      <c r="AC111" s="296">
        <v>0</v>
      </c>
      <c r="AD111" s="296">
        <v>0</v>
      </c>
      <c r="AE111" s="296">
        <v>0</v>
      </c>
      <c r="AF111" s="296">
        <v>0</v>
      </c>
      <c r="AG111" s="296">
        <v>0</v>
      </c>
      <c r="AH111" s="296">
        <v>0</v>
      </c>
      <c r="AI111" s="296">
        <v>0</v>
      </c>
      <c r="AJ111" s="296">
        <v>0</v>
      </c>
      <c r="AK111" s="296">
        <v>0</v>
      </c>
      <c r="AL111" s="296">
        <v>0</v>
      </c>
      <c r="AM111" s="296">
        <v>0</v>
      </c>
      <c r="AN111" s="296">
        <v>0</v>
      </c>
      <c r="AO111" s="296">
        <v>0</v>
      </c>
      <c r="AP111" s="296">
        <v>0</v>
      </c>
      <c r="AQ111" s="281"/>
      <c r="AR111" s="281"/>
      <c r="AS111" s="281"/>
      <c r="AT111" s="282"/>
      <c r="AU111" s="282"/>
      <c r="AV111" s="282"/>
      <c r="AW111" s="282"/>
      <c r="AX111" s="282"/>
      <c r="AY111" s="282"/>
      <c r="AZ111" s="282"/>
      <c r="BA111" s="282"/>
      <c r="BB111" s="282"/>
      <c r="BC111" s="282"/>
      <c r="BD111" s="282"/>
      <c r="BE111" s="282"/>
      <c r="BF111" s="282"/>
      <c r="BG111" s="282"/>
    </row>
    <row r="112" spans="1:71" s="285"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1"/>
      <c r="AR112" s="281"/>
      <c r="AS112" s="281"/>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5"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1"/>
      <c r="AR113" s="281"/>
      <c r="AS113" s="281"/>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5" customFormat="1" ht="12.75" hidden="1" x14ac:dyDescent="0.2">
      <c r="A114" s="289"/>
      <c r="B114" s="391" t="s">
        <v>581</v>
      </c>
      <c r="C114" s="392"/>
      <c r="D114" s="391" t="s">
        <v>582</v>
      </c>
      <c r="E114" s="392"/>
      <c r="F114" s="289"/>
      <c r="G114" s="289"/>
      <c r="H114" s="289"/>
      <c r="I114" s="289"/>
      <c r="J114" s="289"/>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1"/>
      <c r="AR114" s="281"/>
      <c r="AS114" s="281"/>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5" customFormat="1" ht="12.75" hidden="1" x14ac:dyDescent="0.2">
      <c r="A115" s="292" t="s">
        <v>583</v>
      </c>
      <c r="B115" s="298"/>
      <c r="C115" s="289" t="s">
        <v>584</v>
      </c>
      <c r="D115" s="298">
        <v>16</v>
      </c>
      <c r="E115" s="289" t="s">
        <v>584</v>
      </c>
      <c r="F115" s="289"/>
      <c r="G115" s="289"/>
      <c r="H115" s="289"/>
      <c r="I115" s="289"/>
      <c r="J115" s="289"/>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1"/>
      <c r="AR115" s="281"/>
      <c r="AS115" s="281"/>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5" customFormat="1" ht="38.25" hidden="1" x14ac:dyDescent="0.2">
      <c r="A116" s="292" t="s">
        <v>583</v>
      </c>
      <c r="B116" s="289">
        <f>$B$110*B115</f>
        <v>0</v>
      </c>
      <c r="C116" s="289" t="s">
        <v>125</v>
      </c>
      <c r="D116" s="289">
        <f>D115*B108</f>
        <v>14.88</v>
      </c>
      <c r="E116" s="289" t="s">
        <v>125</v>
      </c>
      <c r="F116" s="292" t="s">
        <v>585</v>
      </c>
      <c r="G116" s="289">
        <f>D115-B115</f>
        <v>16</v>
      </c>
      <c r="H116" s="289" t="s">
        <v>584</v>
      </c>
      <c r="I116" s="289">
        <f>$B$108*G116</f>
        <v>14.88</v>
      </c>
      <c r="J116" s="289"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1"/>
      <c r="AR116" s="281"/>
      <c r="AS116" s="281"/>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5" customFormat="1" ht="25.5" hidden="1" x14ac:dyDescent="0.2">
      <c r="A117" s="289"/>
      <c r="B117" s="289"/>
      <c r="C117" s="289"/>
      <c r="D117" s="289"/>
      <c r="E117" s="289"/>
      <c r="F117" s="292" t="s">
        <v>586</v>
      </c>
      <c r="G117" s="299">
        <v>9.4623655913978499</v>
      </c>
      <c r="H117" s="289" t="s">
        <v>584</v>
      </c>
      <c r="I117" s="298">
        <f>'[1]2. паспорт  ТП'!H22</f>
        <v>8.8000000000000007</v>
      </c>
      <c r="J117" s="289"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1"/>
      <c r="AR117" s="281"/>
      <c r="AS117" s="281"/>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5" customFormat="1" ht="51" hidden="1" x14ac:dyDescent="0.2">
      <c r="A118" s="300"/>
      <c r="B118" s="301"/>
      <c r="C118" s="301"/>
      <c r="D118" s="301"/>
      <c r="E118" s="301"/>
      <c r="F118" s="302" t="s">
        <v>587</v>
      </c>
      <c r="G118" s="289">
        <f>G116</f>
        <v>16</v>
      </c>
      <c r="H118" s="289" t="s">
        <v>584</v>
      </c>
      <c r="I118" s="294">
        <f>I116</f>
        <v>14.88</v>
      </c>
      <c r="J118" s="289"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1"/>
      <c r="AR118" s="281"/>
      <c r="AS118" s="281"/>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5" customFormat="1" ht="13.5" hidden="1" thickBot="1" x14ac:dyDescent="0.25">
      <c r="A119" s="303"/>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1"/>
      <c r="AR119" s="281"/>
      <c r="AS119" s="281"/>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5" customFormat="1" ht="15.75" hidden="1" x14ac:dyDescent="0.2">
      <c r="A120" s="304" t="s">
        <v>588</v>
      </c>
      <c r="B120" s="305">
        <f>B124/1000000</f>
        <v>0</v>
      </c>
      <c r="D120" s="382" t="s">
        <v>323</v>
      </c>
      <c r="E120" s="306" t="s">
        <v>589</v>
      </c>
      <c r="F120" s="307">
        <v>35</v>
      </c>
      <c r="G120" s="383"/>
    </row>
    <row r="121" spans="1:71" s="285" customFormat="1" ht="15.75" hidden="1" x14ac:dyDescent="0.2">
      <c r="A121" s="304" t="s">
        <v>323</v>
      </c>
      <c r="B121" s="308">
        <v>30</v>
      </c>
      <c r="D121" s="382"/>
      <c r="E121" s="306" t="s">
        <v>590</v>
      </c>
      <c r="F121" s="307">
        <v>30</v>
      </c>
      <c r="G121" s="383"/>
    </row>
    <row r="122" spans="1:71" s="285" customFormat="1" ht="15.75" hidden="1" x14ac:dyDescent="0.2">
      <c r="A122" s="304" t="s">
        <v>591</v>
      </c>
      <c r="B122" s="308" t="s">
        <v>592</v>
      </c>
      <c r="C122" s="309" t="s">
        <v>593</v>
      </c>
      <c r="D122" s="382"/>
      <c r="E122" s="306" t="s">
        <v>594</v>
      </c>
      <c r="F122" s="307">
        <v>30</v>
      </c>
      <c r="G122" s="383"/>
    </row>
    <row r="123" spans="1:71" s="285" customFormat="1" ht="15.75" hidden="1" x14ac:dyDescent="0.2">
      <c r="A123" s="310"/>
      <c r="B123" s="311"/>
      <c r="C123" s="309"/>
      <c r="D123" s="382"/>
      <c r="E123" s="306" t="s">
        <v>595</v>
      </c>
      <c r="F123" s="307">
        <v>30</v>
      </c>
      <c r="G123" s="383"/>
    </row>
    <row r="124" spans="1:71" s="285" customFormat="1" ht="12.75" hidden="1" x14ac:dyDescent="0.2">
      <c r="A124" s="304" t="s">
        <v>596</v>
      </c>
      <c r="B124" s="312">
        <f>B126*1000000</f>
        <v>0</v>
      </c>
      <c r="C124" s="312"/>
      <c r="D124" s="312"/>
    </row>
    <row r="125" spans="1:71" s="285" customFormat="1" ht="12.75" hidden="1" x14ac:dyDescent="0.2">
      <c r="A125" s="304" t="s">
        <v>597</v>
      </c>
      <c r="B125" s="313">
        <v>1E-3</v>
      </c>
      <c r="C125" s="285">
        <v>2018</v>
      </c>
      <c r="D125" s="285">
        <v>2019</v>
      </c>
      <c r="E125" s="285">
        <v>2020</v>
      </c>
      <c r="F125" s="285">
        <v>2021</v>
      </c>
      <c r="G125" s="285">
        <v>2022</v>
      </c>
      <c r="H125" s="285">
        <v>2023</v>
      </c>
      <c r="I125" s="285">
        <v>2024</v>
      </c>
    </row>
    <row r="126" spans="1:71" s="285" customFormat="1" ht="12.75" hidden="1" x14ac:dyDescent="0.2">
      <c r="A126" s="303"/>
      <c r="B126" s="314">
        <f>SUM(C126:F126)</f>
        <v>0</v>
      </c>
      <c r="C126" s="314">
        <v>0</v>
      </c>
      <c r="D126" s="314">
        <v>0</v>
      </c>
      <c r="E126" s="314" t="s">
        <v>460</v>
      </c>
      <c r="F126" s="314" t="s">
        <v>460</v>
      </c>
    </row>
    <row r="127" spans="1:71" s="285" customFormat="1" ht="25.5" hidden="1" x14ac:dyDescent="0.2">
      <c r="A127" s="304" t="s">
        <v>598</v>
      </c>
      <c r="B127" s="315">
        <v>9.8699999999999996E-2</v>
      </c>
    </row>
    <row r="128" spans="1:71" s="285" customFormat="1" ht="15.75" hidden="1" x14ac:dyDescent="0.2">
      <c r="A128" s="316"/>
      <c r="B128" s="317"/>
    </row>
    <row r="129" spans="1:51" s="285" customFormat="1" ht="25.5" hidden="1" x14ac:dyDescent="0.2">
      <c r="A129" s="318" t="s">
        <v>599</v>
      </c>
      <c r="B129" s="319">
        <v>0.74426999999999999</v>
      </c>
    </row>
    <row r="130" spans="1:51" s="285" customFormat="1" ht="12.75" hidden="1" x14ac:dyDescent="0.2"/>
    <row r="131" spans="1:51" s="285" customFormat="1" ht="12.75" hidden="1" x14ac:dyDescent="0.2">
      <c r="A131" s="303"/>
      <c r="C131" s="285" t="s">
        <v>609</v>
      </c>
    </row>
    <row r="132" spans="1:51" s="285" customFormat="1" ht="15.75" hidden="1" x14ac:dyDescent="0.2">
      <c r="A132" s="304" t="s">
        <v>523</v>
      </c>
      <c r="B132" s="320"/>
      <c r="C132" s="321"/>
    </row>
    <row r="133" spans="1:51" s="285" customFormat="1" ht="12.75" hidden="1" x14ac:dyDescent="0.2">
      <c r="A133" s="304"/>
      <c r="B133" s="322">
        <v>2016</v>
      </c>
      <c r="C133" s="322">
        <f>B133+1</f>
        <v>2017</v>
      </c>
      <c r="D133" s="322">
        <f t="shared" ref="D133:AY133" si="63">C133+1</f>
        <v>2018</v>
      </c>
      <c r="E133" s="322">
        <f t="shared" si="63"/>
        <v>2019</v>
      </c>
      <c r="F133" s="322">
        <f t="shared" si="63"/>
        <v>2020</v>
      </c>
      <c r="G133" s="322">
        <f t="shared" si="63"/>
        <v>2021</v>
      </c>
      <c r="H133" s="322">
        <f t="shared" si="63"/>
        <v>2022</v>
      </c>
      <c r="I133" s="322">
        <f t="shared" si="63"/>
        <v>2023</v>
      </c>
      <c r="J133" s="322">
        <f t="shared" si="63"/>
        <v>2024</v>
      </c>
      <c r="K133" s="322">
        <f t="shared" si="63"/>
        <v>2025</v>
      </c>
      <c r="L133" s="322">
        <f t="shared" si="63"/>
        <v>2026</v>
      </c>
      <c r="M133" s="322">
        <f t="shared" si="63"/>
        <v>2027</v>
      </c>
      <c r="N133" s="322">
        <f t="shared" si="63"/>
        <v>2028</v>
      </c>
      <c r="O133" s="322">
        <f t="shared" si="63"/>
        <v>2029</v>
      </c>
      <c r="P133" s="322">
        <f t="shared" si="63"/>
        <v>2030</v>
      </c>
      <c r="Q133" s="322">
        <f t="shared" si="63"/>
        <v>2031</v>
      </c>
      <c r="R133" s="322">
        <f t="shared" si="63"/>
        <v>2032</v>
      </c>
      <c r="S133" s="322">
        <f t="shared" si="63"/>
        <v>2033</v>
      </c>
      <c r="T133" s="322">
        <f t="shared" si="63"/>
        <v>2034</v>
      </c>
      <c r="U133" s="322">
        <f t="shared" si="63"/>
        <v>2035</v>
      </c>
      <c r="V133" s="322">
        <f t="shared" si="63"/>
        <v>2036</v>
      </c>
      <c r="W133" s="322">
        <f t="shared" si="63"/>
        <v>2037</v>
      </c>
      <c r="X133" s="322">
        <f t="shared" si="63"/>
        <v>2038</v>
      </c>
      <c r="Y133" s="322">
        <f t="shared" si="63"/>
        <v>2039</v>
      </c>
      <c r="Z133" s="322">
        <f t="shared" si="63"/>
        <v>2040</v>
      </c>
      <c r="AA133" s="322">
        <f t="shared" si="63"/>
        <v>2041</v>
      </c>
      <c r="AB133" s="322">
        <f t="shared" si="63"/>
        <v>2042</v>
      </c>
      <c r="AC133" s="322">
        <f t="shared" si="63"/>
        <v>2043</v>
      </c>
      <c r="AD133" s="322">
        <f t="shared" si="63"/>
        <v>2044</v>
      </c>
      <c r="AE133" s="322">
        <f t="shared" si="63"/>
        <v>2045</v>
      </c>
      <c r="AF133" s="322">
        <f t="shared" si="63"/>
        <v>2046</v>
      </c>
      <c r="AG133" s="322">
        <f t="shared" si="63"/>
        <v>2047</v>
      </c>
      <c r="AH133" s="322">
        <f t="shared" si="63"/>
        <v>2048</v>
      </c>
      <c r="AI133" s="322">
        <f t="shared" si="63"/>
        <v>2049</v>
      </c>
      <c r="AJ133" s="322">
        <f t="shared" si="63"/>
        <v>2050</v>
      </c>
      <c r="AK133" s="322">
        <f t="shared" si="63"/>
        <v>2051</v>
      </c>
      <c r="AL133" s="322">
        <f t="shared" si="63"/>
        <v>2052</v>
      </c>
      <c r="AM133" s="322">
        <f t="shared" si="63"/>
        <v>2053</v>
      </c>
      <c r="AN133" s="322">
        <f t="shared" si="63"/>
        <v>2054</v>
      </c>
      <c r="AO133" s="322">
        <f t="shared" si="63"/>
        <v>2055</v>
      </c>
      <c r="AP133" s="322">
        <f t="shared" si="63"/>
        <v>2056</v>
      </c>
      <c r="AQ133" s="322">
        <f t="shared" si="63"/>
        <v>2057</v>
      </c>
      <c r="AR133" s="322">
        <f t="shared" si="63"/>
        <v>2058</v>
      </c>
      <c r="AS133" s="322">
        <f t="shared" si="63"/>
        <v>2059</v>
      </c>
      <c r="AT133" s="322">
        <f t="shared" si="63"/>
        <v>2060</v>
      </c>
      <c r="AU133" s="322">
        <f t="shared" si="63"/>
        <v>2061</v>
      </c>
      <c r="AV133" s="322">
        <f t="shared" si="63"/>
        <v>2062</v>
      </c>
      <c r="AW133" s="322">
        <f t="shared" si="63"/>
        <v>2063</v>
      </c>
      <c r="AX133" s="322">
        <f t="shared" si="63"/>
        <v>2064</v>
      </c>
      <c r="AY133" s="322">
        <f t="shared" si="63"/>
        <v>2065</v>
      </c>
    </row>
    <row r="134" spans="1:51" s="285" customFormat="1" ht="12.75" hidden="1" x14ac:dyDescent="0.2">
      <c r="A134" s="304" t="s">
        <v>524</v>
      </c>
      <c r="B134" s="323"/>
      <c r="C134" s="324"/>
      <c r="D134" s="324">
        <v>5.6000000000000001E-2</v>
      </c>
      <c r="E134" s="324">
        <v>6.8000000000000005E-2</v>
      </c>
      <c r="F134" s="324">
        <v>5.6000000000000001E-2</v>
      </c>
      <c r="G134" s="324">
        <v>4.9000000000000002E-2</v>
      </c>
      <c r="H134" s="324">
        <v>0.13900000000000001</v>
      </c>
      <c r="I134" s="324">
        <v>5.8999999999999997E-2</v>
      </c>
      <c r="J134" s="324">
        <v>5.2999999999999999E-2</v>
      </c>
      <c r="K134" s="324">
        <v>4.8000000000000001E-2</v>
      </c>
      <c r="L134" s="324">
        <v>4.7E-2</v>
      </c>
      <c r="M134" s="324">
        <v>4.7E-2</v>
      </c>
      <c r="N134" s="324">
        <v>4.7E-2</v>
      </c>
      <c r="O134" s="324">
        <v>4.7E-2</v>
      </c>
      <c r="P134" s="324">
        <v>4.7E-2</v>
      </c>
      <c r="Q134" s="324">
        <v>4.7E-2</v>
      </c>
      <c r="R134" s="324">
        <v>4.7E-2</v>
      </c>
      <c r="S134" s="324">
        <v>4.7E-2</v>
      </c>
      <c r="T134" s="324">
        <v>4.7E-2</v>
      </c>
      <c r="U134" s="324">
        <v>4.7E-2</v>
      </c>
      <c r="V134" s="324">
        <v>4.7E-2</v>
      </c>
      <c r="W134" s="324">
        <v>4.7E-2</v>
      </c>
      <c r="X134" s="324">
        <v>4.7E-2</v>
      </c>
      <c r="Y134" s="324">
        <v>4.7E-2</v>
      </c>
      <c r="Z134" s="324">
        <v>4.7E-2</v>
      </c>
      <c r="AA134" s="324">
        <v>4.7E-2</v>
      </c>
      <c r="AB134" s="324">
        <v>4.7E-2</v>
      </c>
      <c r="AC134" s="324">
        <v>4.7E-2</v>
      </c>
      <c r="AD134" s="324">
        <v>4.7E-2</v>
      </c>
      <c r="AE134" s="324">
        <v>4.7E-2</v>
      </c>
      <c r="AF134" s="324">
        <v>4.7E-2</v>
      </c>
      <c r="AG134" s="324">
        <v>4.7E-2</v>
      </c>
      <c r="AH134" s="324">
        <v>4.7E-2</v>
      </c>
      <c r="AI134" s="324">
        <v>4.7E-2</v>
      </c>
      <c r="AJ134" s="324">
        <v>4.2000000000000003E-2</v>
      </c>
      <c r="AK134" s="324">
        <v>4.2000000000000003E-2</v>
      </c>
      <c r="AL134" s="324">
        <v>4.2000000000000003E-2</v>
      </c>
      <c r="AM134" s="324">
        <v>4.2000000000000003E-2</v>
      </c>
      <c r="AN134" s="324">
        <v>4.2000000000000003E-2</v>
      </c>
      <c r="AO134" s="324">
        <v>4.2000000000000003E-2</v>
      </c>
      <c r="AP134" s="324">
        <v>4.2000000000000003E-2</v>
      </c>
      <c r="AQ134" s="324">
        <v>4.2000000000000003E-2</v>
      </c>
      <c r="AR134" s="324">
        <v>4.2000000000000003E-2</v>
      </c>
      <c r="AS134" s="324">
        <v>4.2000000000000003E-2</v>
      </c>
      <c r="AT134" s="324">
        <v>4.2000000000000003E-2</v>
      </c>
      <c r="AU134" s="324">
        <f t="shared" ref="AU134:AY134" si="64">AT134</f>
        <v>4.2000000000000003E-2</v>
      </c>
      <c r="AV134" s="324">
        <f t="shared" si="64"/>
        <v>4.2000000000000003E-2</v>
      </c>
      <c r="AW134" s="324">
        <f t="shared" si="64"/>
        <v>4.2000000000000003E-2</v>
      </c>
      <c r="AX134" s="324">
        <f t="shared" si="64"/>
        <v>4.2000000000000003E-2</v>
      </c>
      <c r="AY134" s="324">
        <f t="shared" si="64"/>
        <v>4.2000000000000003E-2</v>
      </c>
    </row>
    <row r="135" spans="1:51" s="285" customFormat="1" hidden="1" x14ac:dyDescent="0.2">
      <c r="A135" s="304" t="s">
        <v>525</v>
      </c>
      <c r="B135" s="325"/>
      <c r="C135" s="326">
        <f>(1+B135)*(1+C134)-1</f>
        <v>0</v>
      </c>
      <c r="D135" s="326">
        <f>(1+C135)*(1+D134)-1</f>
        <v>5.600000000000005E-2</v>
      </c>
      <c r="E135" s="326">
        <f>(1+D135)*(1+E134)-1</f>
        <v>0.12780800000000014</v>
      </c>
      <c r="F135" s="326">
        <f t="shared" ref="F135:AY135" si="65">(1+E135)*(1+F134)-1</f>
        <v>0.19096524800000014</v>
      </c>
      <c r="G135" s="326">
        <f>(1+F135)*(1+G134)-1</f>
        <v>0.24932254515200003</v>
      </c>
      <c r="H135" s="326">
        <f t="shared" si="65"/>
        <v>0.42297837892812806</v>
      </c>
      <c r="I135" s="326">
        <f t="shared" si="65"/>
        <v>0.50693410328488753</v>
      </c>
      <c r="J135" s="326">
        <f t="shared" si="65"/>
        <v>0.5868016107589864</v>
      </c>
      <c r="K135" s="326">
        <f t="shared" si="65"/>
        <v>0.66296808807541785</v>
      </c>
      <c r="L135" s="326">
        <f t="shared" si="65"/>
        <v>0.74112758821496239</v>
      </c>
      <c r="M135" s="326">
        <f t="shared" si="65"/>
        <v>0.82296058486106549</v>
      </c>
      <c r="N135" s="326">
        <f t="shared" si="65"/>
        <v>0.90863973234953543</v>
      </c>
      <c r="O135" s="326">
        <f t="shared" si="65"/>
        <v>0.9983457997699634</v>
      </c>
      <c r="P135" s="326">
        <f t="shared" si="65"/>
        <v>1.0922680523591515</v>
      </c>
      <c r="Q135" s="326">
        <f t="shared" si="65"/>
        <v>1.1906046508200316</v>
      </c>
      <c r="R135" s="326">
        <f t="shared" si="65"/>
        <v>1.2935630694085729</v>
      </c>
      <c r="S135" s="326">
        <f t="shared" si="65"/>
        <v>1.4013605336707755</v>
      </c>
      <c r="T135" s="326">
        <f t="shared" si="65"/>
        <v>1.5142244787533019</v>
      </c>
      <c r="U135" s="326">
        <f t="shared" si="65"/>
        <v>1.6323930292547071</v>
      </c>
      <c r="V135" s="326">
        <f t="shared" si="65"/>
        <v>1.7561155016296781</v>
      </c>
      <c r="W135" s="326">
        <f t="shared" si="65"/>
        <v>1.8856529302062728</v>
      </c>
      <c r="X135" s="326">
        <f t="shared" si="65"/>
        <v>2.0212786179259674</v>
      </c>
      <c r="Y135" s="326">
        <f t="shared" si="65"/>
        <v>2.1632787129684878</v>
      </c>
      <c r="Z135" s="326">
        <f t="shared" si="65"/>
        <v>2.3119528124780064</v>
      </c>
      <c r="AA135" s="326">
        <f t="shared" si="65"/>
        <v>2.4676145946644725</v>
      </c>
      <c r="AB135" s="326">
        <f t="shared" si="65"/>
        <v>2.6305924806137027</v>
      </c>
      <c r="AC135" s="326">
        <f t="shared" si="65"/>
        <v>2.8012303272025463</v>
      </c>
      <c r="AD135" s="326">
        <f t="shared" si="65"/>
        <v>2.9798881525810659</v>
      </c>
      <c r="AE135" s="326">
        <f t="shared" si="65"/>
        <v>3.166942895752376</v>
      </c>
      <c r="AF135" s="326">
        <f t="shared" si="65"/>
        <v>3.3627892118527374</v>
      </c>
      <c r="AG135" s="326">
        <f t="shared" si="65"/>
        <v>3.567840304809816</v>
      </c>
      <c r="AH135" s="326">
        <f t="shared" si="65"/>
        <v>3.7825287991358767</v>
      </c>
      <c r="AI135" s="326">
        <f t="shared" si="65"/>
        <v>4.0073076526952622</v>
      </c>
      <c r="AJ135" s="326">
        <f t="shared" si="65"/>
        <v>4.2176145741084632</v>
      </c>
      <c r="AK135" s="326">
        <f t="shared" si="65"/>
        <v>4.4367543862210193</v>
      </c>
      <c r="AL135" s="326">
        <f t="shared" si="65"/>
        <v>4.6650980704423022</v>
      </c>
      <c r="AM135" s="326">
        <f t="shared" si="65"/>
        <v>4.9030321894008795</v>
      </c>
      <c r="AN135" s="326">
        <f t="shared" si="65"/>
        <v>5.150959541355717</v>
      </c>
      <c r="AO135" s="326">
        <f t="shared" si="65"/>
        <v>5.4092998420926577</v>
      </c>
      <c r="AP135" s="326">
        <f t="shared" si="65"/>
        <v>5.6784904354605494</v>
      </c>
      <c r="AQ135" s="326">
        <f t="shared" si="65"/>
        <v>5.9589870337498931</v>
      </c>
      <c r="AR135" s="326">
        <f t="shared" si="65"/>
        <v>6.2512644891673892</v>
      </c>
      <c r="AS135" s="326">
        <f t="shared" si="65"/>
        <v>6.5558175977124202</v>
      </c>
      <c r="AT135" s="326">
        <f t="shared" si="65"/>
        <v>6.8731619368163424</v>
      </c>
      <c r="AU135" s="326">
        <f t="shared" si="65"/>
        <v>7.2038347381626284</v>
      </c>
      <c r="AV135" s="326">
        <f t="shared" si="65"/>
        <v>7.5483957971654583</v>
      </c>
      <c r="AW135" s="326">
        <f>(1+AV135)*(1+AW134)-1</f>
        <v>7.9074284206464078</v>
      </c>
      <c r="AX135" s="326">
        <f t="shared" si="65"/>
        <v>8.2815404143135574</v>
      </c>
      <c r="AY135" s="326">
        <f t="shared" si="65"/>
        <v>8.6713651117147279</v>
      </c>
    </row>
    <row r="136" spans="1:51" s="285" customFormat="1" ht="15.75" hidden="1" x14ac:dyDescent="0.2">
      <c r="A136" s="327"/>
      <c r="B136" s="328"/>
      <c r="C136" s="329"/>
      <c r="D136" s="329"/>
      <c r="E136" s="329"/>
      <c r="F136" s="329"/>
      <c r="G136" s="329"/>
      <c r="H136" s="329"/>
      <c r="I136" s="329"/>
      <c r="J136" s="329"/>
      <c r="K136" s="329"/>
      <c r="L136" s="329"/>
      <c r="M136" s="329"/>
      <c r="N136" s="329"/>
      <c r="O136" s="329"/>
      <c r="P136" s="329"/>
      <c r="Q136" s="329"/>
      <c r="R136" s="329"/>
      <c r="S136" s="329"/>
      <c r="T136" s="329"/>
      <c r="U136" s="329"/>
      <c r="V136" s="329"/>
      <c r="W136" s="329"/>
      <c r="X136" s="329"/>
      <c r="Y136" s="329"/>
      <c r="Z136" s="329"/>
      <c r="AA136" s="329"/>
      <c r="AB136" s="329"/>
      <c r="AC136" s="329"/>
      <c r="AD136" s="329"/>
      <c r="AE136" s="329"/>
      <c r="AF136" s="329"/>
      <c r="AG136" s="329"/>
      <c r="AH136" s="329"/>
      <c r="AI136" s="329"/>
      <c r="AJ136" s="329"/>
      <c r="AK136" s="329"/>
      <c r="AL136" s="329"/>
      <c r="AM136" s="329"/>
      <c r="AN136" s="329"/>
      <c r="AO136" s="329"/>
      <c r="AP136" s="329"/>
      <c r="AQ136" s="281"/>
    </row>
    <row r="137" spans="1:51" s="285" customFormat="1" ht="12.75" hidden="1" x14ac:dyDescent="0.2">
      <c r="A137" s="303"/>
      <c r="B137" s="323">
        <v>2016</v>
      </c>
      <c r="C137" s="323">
        <f>B137+1</f>
        <v>2017</v>
      </c>
      <c r="D137" s="323">
        <f t="shared" ref="D137:S138" si="66">C137+1</f>
        <v>2018</v>
      </c>
      <c r="E137" s="323">
        <f t="shared" si="66"/>
        <v>2019</v>
      </c>
      <c r="F137" s="323">
        <f t="shared" si="66"/>
        <v>2020</v>
      </c>
      <c r="G137" s="323">
        <f t="shared" si="66"/>
        <v>2021</v>
      </c>
      <c r="H137" s="323">
        <f t="shared" si="66"/>
        <v>2022</v>
      </c>
      <c r="I137" s="323">
        <f t="shared" si="66"/>
        <v>2023</v>
      </c>
      <c r="J137" s="323">
        <f t="shared" si="66"/>
        <v>2024</v>
      </c>
      <c r="K137" s="323">
        <f t="shared" si="66"/>
        <v>2025</v>
      </c>
      <c r="L137" s="323">
        <f t="shared" si="66"/>
        <v>2026</v>
      </c>
      <c r="M137" s="323">
        <f t="shared" si="66"/>
        <v>2027</v>
      </c>
      <c r="N137" s="323">
        <f t="shared" si="66"/>
        <v>2028</v>
      </c>
      <c r="O137" s="323">
        <f t="shared" si="66"/>
        <v>2029</v>
      </c>
      <c r="P137" s="323">
        <f t="shared" si="66"/>
        <v>2030</v>
      </c>
      <c r="Q137" s="323">
        <f t="shared" si="66"/>
        <v>2031</v>
      </c>
      <c r="R137" s="323">
        <f t="shared" si="66"/>
        <v>2032</v>
      </c>
      <c r="S137" s="323">
        <f t="shared" si="66"/>
        <v>2033</v>
      </c>
      <c r="T137" s="323">
        <f t="shared" ref="T137:AI138" si="67">S137+1</f>
        <v>2034</v>
      </c>
      <c r="U137" s="323">
        <f t="shared" si="67"/>
        <v>2035</v>
      </c>
      <c r="V137" s="323">
        <f t="shared" si="67"/>
        <v>2036</v>
      </c>
      <c r="W137" s="323">
        <f t="shared" si="67"/>
        <v>2037</v>
      </c>
      <c r="X137" s="323">
        <f t="shared" si="67"/>
        <v>2038</v>
      </c>
      <c r="Y137" s="323">
        <f t="shared" si="67"/>
        <v>2039</v>
      </c>
      <c r="Z137" s="323">
        <f t="shared" si="67"/>
        <v>2040</v>
      </c>
      <c r="AA137" s="323">
        <f t="shared" si="67"/>
        <v>2041</v>
      </c>
      <c r="AB137" s="323">
        <f t="shared" si="67"/>
        <v>2042</v>
      </c>
      <c r="AC137" s="323">
        <f t="shared" si="67"/>
        <v>2043</v>
      </c>
      <c r="AD137" s="323">
        <f t="shared" si="67"/>
        <v>2044</v>
      </c>
      <c r="AE137" s="323">
        <f t="shared" si="67"/>
        <v>2045</v>
      </c>
      <c r="AF137" s="323">
        <f t="shared" si="67"/>
        <v>2046</v>
      </c>
      <c r="AG137" s="323">
        <f t="shared" si="67"/>
        <v>2047</v>
      </c>
      <c r="AH137" s="323">
        <f t="shared" si="67"/>
        <v>2048</v>
      </c>
      <c r="AI137" s="323">
        <f t="shared" si="67"/>
        <v>2049</v>
      </c>
      <c r="AJ137" s="323">
        <f t="shared" ref="AJ137:AY138" si="68">AI137+1</f>
        <v>2050</v>
      </c>
      <c r="AK137" s="323">
        <f t="shared" si="68"/>
        <v>2051</v>
      </c>
      <c r="AL137" s="323">
        <f t="shared" si="68"/>
        <v>2052</v>
      </c>
      <c r="AM137" s="323">
        <f t="shared" si="68"/>
        <v>2053</v>
      </c>
      <c r="AN137" s="323">
        <f t="shared" si="68"/>
        <v>2054</v>
      </c>
      <c r="AO137" s="323">
        <f t="shared" si="68"/>
        <v>2055</v>
      </c>
      <c r="AP137" s="323">
        <f t="shared" si="68"/>
        <v>2056</v>
      </c>
      <c r="AQ137" s="323">
        <f t="shared" si="68"/>
        <v>2057</v>
      </c>
      <c r="AR137" s="323">
        <f t="shared" si="68"/>
        <v>2058</v>
      </c>
      <c r="AS137" s="323">
        <f t="shared" si="68"/>
        <v>2059</v>
      </c>
      <c r="AT137" s="323">
        <f t="shared" si="68"/>
        <v>2060</v>
      </c>
      <c r="AU137" s="323">
        <f t="shared" si="68"/>
        <v>2061</v>
      </c>
      <c r="AV137" s="323">
        <f t="shared" si="68"/>
        <v>2062</v>
      </c>
      <c r="AW137" s="323">
        <f t="shared" si="68"/>
        <v>2063</v>
      </c>
      <c r="AX137" s="323">
        <f t="shared" si="68"/>
        <v>2064</v>
      </c>
      <c r="AY137" s="323">
        <f t="shared" si="68"/>
        <v>2065</v>
      </c>
    </row>
    <row r="138" spans="1:51" s="285" customFormat="1" ht="15.75" hidden="1" x14ac:dyDescent="0.2">
      <c r="A138" s="303"/>
      <c r="B138" s="330">
        <v>0</v>
      </c>
      <c r="C138" s="330">
        <v>0</v>
      </c>
      <c r="D138" s="330">
        <v>0</v>
      </c>
      <c r="E138" s="330">
        <v>0</v>
      </c>
      <c r="F138" s="330">
        <v>1</v>
      </c>
      <c r="G138" s="330">
        <f t="shared" si="66"/>
        <v>2</v>
      </c>
      <c r="H138" s="330">
        <f t="shared" si="66"/>
        <v>3</v>
      </c>
      <c r="I138" s="330">
        <f t="shared" si="66"/>
        <v>4</v>
      </c>
      <c r="J138" s="330">
        <f t="shared" si="66"/>
        <v>5</v>
      </c>
      <c r="K138" s="330">
        <f t="shared" si="66"/>
        <v>6</v>
      </c>
      <c r="L138" s="330">
        <f t="shared" si="66"/>
        <v>7</v>
      </c>
      <c r="M138" s="330">
        <f t="shared" si="66"/>
        <v>8</v>
      </c>
      <c r="N138" s="330">
        <f t="shared" si="66"/>
        <v>9</v>
      </c>
      <c r="O138" s="330">
        <f t="shared" si="66"/>
        <v>10</v>
      </c>
      <c r="P138" s="330">
        <f t="shared" si="66"/>
        <v>11</v>
      </c>
      <c r="Q138" s="330">
        <f t="shared" si="66"/>
        <v>12</v>
      </c>
      <c r="R138" s="330">
        <f t="shared" si="66"/>
        <v>13</v>
      </c>
      <c r="S138" s="330">
        <f t="shared" si="66"/>
        <v>14</v>
      </c>
      <c r="T138" s="330">
        <f t="shared" si="67"/>
        <v>15</v>
      </c>
      <c r="U138" s="330">
        <f t="shared" si="67"/>
        <v>16</v>
      </c>
      <c r="V138" s="330">
        <f t="shared" si="67"/>
        <v>17</v>
      </c>
      <c r="W138" s="330">
        <f t="shared" si="67"/>
        <v>18</v>
      </c>
      <c r="X138" s="330">
        <f t="shared" si="67"/>
        <v>19</v>
      </c>
      <c r="Y138" s="330">
        <f t="shared" si="67"/>
        <v>20</v>
      </c>
      <c r="Z138" s="330">
        <f t="shared" si="67"/>
        <v>21</v>
      </c>
      <c r="AA138" s="330">
        <f t="shared" si="67"/>
        <v>22</v>
      </c>
      <c r="AB138" s="330">
        <f t="shared" si="67"/>
        <v>23</v>
      </c>
      <c r="AC138" s="330">
        <f t="shared" si="67"/>
        <v>24</v>
      </c>
      <c r="AD138" s="330">
        <f t="shared" si="67"/>
        <v>25</v>
      </c>
      <c r="AE138" s="330">
        <f t="shared" si="67"/>
        <v>26</v>
      </c>
      <c r="AF138" s="330">
        <f t="shared" si="67"/>
        <v>27</v>
      </c>
      <c r="AG138" s="330">
        <f t="shared" si="67"/>
        <v>28</v>
      </c>
      <c r="AH138" s="330">
        <f t="shared" si="67"/>
        <v>29</v>
      </c>
      <c r="AI138" s="330">
        <f t="shared" si="67"/>
        <v>30</v>
      </c>
      <c r="AJ138" s="330">
        <f t="shared" si="68"/>
        <v>31</v>
      </c>
      <c r="AK138" s="330">
        <f t="shared" si="68"/>
        <v>32</v>
      </c>
      <c r="AL138" s="330">
        <f t="shared" si="68"/>
        <v>33</v>
      </c>
      <c r="AM138" s="330">
        <f t="shared" si="68"/>
        <v>34</v>
      </c>
      <c r="AN138" s="330">
        <f t="shared" si="68"/>
        <v>35</v>
      </c>
      <c r="AO138" s="330">
        <f t="shared" si="68"/>
        <v>36</v>
      </c>
      <c r="AP138" s="330">
        <f>AO138+1</f>
        <v>37</v>
      </c>
      <c r="AQ138" s="330">
        <f t="shared" si="68"/>
        <v>38</v>
      </c>
      <c r="AR138" s="330">
        <f t="shared" si="68"/>
        <v>39</v>
      </c>
      <c r="AS138" s="330">
        <f t="shared" si="68"/>
        <v>40</v>
      </c>
      <c r="AT138" s="330">
        <f t="shared" si="68"/>
        <v>41</v>
      </c>
      <c r="AU138" s="330">
        <f t="shared" si="68"/>
        <v>42</v>
      </c>
      <c r="AV138" s="330">
        <f t="shared" si="68"/>
        <v>43</v>
      </c>
      <c r="AW138" s="330">
        <f t="shared" si="68"/>
        <v>44</v>
      </c>
      <c r="AX138" s="330">
        <f t="shared" si="68"/>
        <v>45</v>
      </c>
      <c r="AY138" s="330">
        <f t="shared" si="68"/>
        <v>46</v>
      </c>
    </row>
    <row r="139" spans="1:51" s="285" customFormat="1" hidden="1" x14ac:dyDescent="0.2">
      <c r="A139" s="303"/>
      <c r="B139" s="331">
        <f>AVERAGE(A138:B138)</f>
        <v>0</v>
      </c>
      <c r="C139" s="331">
        <f>AVERAGE(B138:C138)</f>
        <v>0</v>
      </c>
      <c r="D139" s="331">
        <f>AVERAGE(C138:D138)</f>
        <v>0</v>
      </c>
      <c r="E139" s="331">
        <f>AVERAGE(D138:E138)</f>
        <v>0</v>
      </c>
      <c r="F139" s="331">
        <f t="shared" ref="F139:AO139" si="69">AVERAGE(E138:F138)</f>
        <v>0.5</v>
      </c>
      <c r="G139" s="331">
        <f t="shared" si="69"/>
        <v>1.5</v>
      </c>
      <c r="H139" s="331">
        <f t="shared" si="69"/>
        <v>2.5</v>
      </c>
      <c r="I139" s="331">
        <f t="shared" si="69"/>
        <v>3.5</v>
      </c>
      <c r="J139" s="331">
        <f t="shared" si="69"/>
        <v>4.5</v>
      </c>
      <c r="K139" s="331">
        <f t="shared" si="69"/>
        <v>5.5</v>
      </c>
      <c r="L139" s="331">
        <f t="shared" si="69"/>
        <v>6.5</v>
      </c>
      <c r="M139" s="331">
        <f t="shared" si="69"/>
        <v>7.5</v>
      </c>
      <c r="N139" s="331">
        <f t="shared" si="69"/>
        <v>8.5</v>
      </c>
      <c r="O139" s="331">
        <f t="shared" si="69"/>
        <v>9.5</v>
      </c>
      <c r="P139" s="331">
        <f t="shared" si="69"/>
        <v>10.5</v>
      </c>
      <c r="Q139" s="331">
        <f t="shared" si="69"/>
        <v>11.5</v>
      </c>
      <c r="R139" s="331">
        <f t="shared" si="69"/>
        <v>12.5</v>
      </c>
      <c r="S139" s="331">
        <f t="shared" si="69"/>
        <v>13.5</v>
      </c>
      <c r="T139" s="331">
        <f t="shared" si="69"/>
        <v>14.5</v>
      </c>
      <c r="U139" s="331">
        <f t="shared" si="69"/>
        <v>15.5</v>
      </c>
      <c r="V139" s="331">
        <f t="shared" si="69"/>
        <v>16.5</v>
      </c>
      <c r="W139" s="331">
        <f t="shared" si="69"/>
        <v>17.5</v>
      </c>
      <c r="X139" s="331">
        <f t="shared" si="69"/>
        <v>18.5</v>
      </c>
      <c r="Y139" s="331">
        <f t="shared" si="69"/>
        <v>19.5</v>
      </c>
      <c r="Z139" s="331">
        <f t="shared" si="69"/>
        <v>20.5</v>
      </c>
      <c r="AA139" s="331">
        <f t="shared" si="69"/>
        <v>21.5</v>
      </c>
      <c r="AB139" s="331">
        <f t="shared" si="69"/>
        <v>22.5</v>
      </c>
      <c r="AC139" s="331">
        <f t="shared" si="69"/>
        <v>23.5</v>
      </c>
      <c r="AD139" s="331">
        <f t="shared" si="69"/>
        <v>24.5</v>
      </c>
      <c r="AE139" s="331">
        <f t="shared" si="69"/>
        <v>25.5</v>
      </c>
      <c r="AF139" s="331">
        <f t="shared" si="69"/>
        <v>26.5</v>
      </c>
      <c r="AG139" s="331">
        <f t="shared" si="69"/>
        <v>27.5</v>
      </c>
      <c r="AH139" s="331">
        <f t="shared" si="69"/>
        <v>28.5</v>
      </c>
      <c r="AI139" s="331">
        <f t="shared" si="69"/>
        <v>29.5</v>
      </c>
      <c r="AJ139" s="331">
        <f t="shared" si="69"/>
        <v>30.5</v>
      </c>
      <c r="AK139" s="331">
        <f t="shared" si="69"/>
        <v>31.5</v>
      </c>
      <c r="AL139" s="331">
        <f t="shared" si="69"/>
        <v>32.5</v>
      </c>
      <c r="AM139" s="331">
        <f t="shared" si="69"/>
        <v>33.5</v>
      </c>
      <c r="AN139" s="331">
        <f t="shared" si="69"/>
        <v>34.5</v>
      </c>
      <c r="AO139" s="331">
        <f t="shared" si="69"/>
        <v>35.5</v>
      </c>
      <c r="AP139" s="331">
        <f>AVERAGE(AO138:AP138)</f>
        <v>36.5</v>
      </c>
      <c r="AQ139" s="331">
        <f t="shared" ref="AQ139:AY139" si="70">AVERAGE(AP138:AQ138)</f>
        <v>37.5</v>
      </c>
      <c r="AR139" s="331">
        <f t="shared" si="70"/>
        <v>38.5</v>
      </c>
      <c r="AS139" s="331">
        <f t="shared" si="70"/>
        <v>39.5</v>
      </c>
      <c r="AT139" s="331">
        <f t="shared" si="70"/>
        <v>40.5</v>
      </c>
      <c r="AU139" s="331">
        <f t="shared" si="70"/>
        <v>41.5</v>
      </c>
      <c r="AV139" s="331">
        <f t="shared" si="70"/>
        <v>42.5</v>
      </c>
      <c r="AW139" s="331">
        <f t="shared" si="70"/>
        <v>43.5</v>
      </c>
      <c r="AX139" s="331">
        <f t="shared" si="70"/>
        <v>44.5</v>
      </c>
      <c r="AY139" s="331">
        <f t="shared" si="70"/>
        <v>45.5</v>
      </c>
    </row>
    <row r="140" spans="1:51" s="285" customFormat="1" ht="12.75" hidden="1" x14ac:dyDescent="0.2">
      <c r="A140" s="303"/>
      <c r="AQ140" s="281"/>
    </row>
    <row r="141" spans="1:51" s="285" customFormat="1" ht="12.75" hidden="1" x14ac:dyDescent="0.2">
      <c r="A141" s="303"/>
    </row>
    <row r="142" spans="1:51" s="285" customFormat="1" ht="12.75" hidden="1" x14ac:dyDescent="0.2">
      <c r="A142" s="303"/>
    </row>
    <row r="143" spans="1:51" s="285" customFormat="1" ht="12.75" hidden="1" x14ac:dyDescent="0.2">
      <c r="A143" s="303"/>
    </row>
    <row r="144" spans="1:51" s="285" customFormat="1" ht="12.75" hidden="1" x14ac:dyDescent="0.2">
      <c r="A144" s="303"/>
    </row>
    <row r="145" spans="1:71" s="285" customFormat="1" ht="12.75" hidden="1" x14ac:dyDescent="0.2">
      <c r="A145" s="303"/>
    </row>
    <row r="146" spans="1:71" s="285" customFormat="1" ht="12.75" hidden="1" x14ac:dyDescent="0.2">
      <c r="A146" s="303"/>
    </row>
    <row r="147" spans="1:71" s="285" customFormat="1" ht="12.75" hidden="1" x14ac:dyDescent="0.2">
      <c r="A147" s="303"/>
    </row>
    <row r="148" spans="1:71" s="285" customFormat="1" ht="12.75" hidden="1" x14ac:dyDescent="0.2">
      <c r="A148" s="303"/>
    </row>
    <row r="149" spans="1:71" s="285" customFormat="1" ht="12.75" hidden="1" x14ac:dyDescent="0.2">
      <c r="A149" s="303"/>
    </row>
    <row r="150" spans="1:71" s="285" customFormat="1" ht="12.75" hidden="1" x14ac:dyDescent="0.2">
      <c r="A150" s="303"/>
    </row>
    <row r="151" spans="1:71" s="285" customFormat="1" ht="12.75" hidden="1" x14ac:dyDescent="0.2">
      <c r="A151" s="303"/>
    </row>
    <row r="152" spans="1:71" s="285" customFormat="1" ht="12.75" hidden="1" x14ac:dyDescent="0.2">
      <c r="A152" s="303"/>
    </row>
    <row r="153" spans="1:71" s="285" customFormat="1" ht="12.75" hidden="1" x14ac:dyDescent="0.2">
      <c r="A153" s="303"/>
    </row>
    <row r="154" spans="1:71" s="285"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1"/>
      <c r="AR154" s="281"/>
      <c r="AS154" s="281"/>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5"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1"/>
      <c r="AR155" s="281"/>
      <c r="AS155" s="281"/>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5"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1"/>
      <c r="AR156" s="281"/>
      <c r="AS156" s="281"/>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5"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1"/>
      <c r="AR157" s="281"/>
      <c r="AS157" s="281"/>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5"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1"/>
      <c r="AR158" s="281"/>
      <c r="AS158" s="281"/>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5"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1"/>
      <c r="AR159" s="281"/>
      <c r="AS159" s="281"/>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5"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1"/>
      <c r="AR160" s="281"/>
      <c r="AS160" s="281"/>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5"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1"/>
      <c r="AR161" s="281"/>
      <c r="AS161" s="281"/>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5"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1"/>
      <c r="AR162" s="281"/>
      <c r="AS162" s="281"/>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5"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1"/>
      <c r="AR163" s="281"/>
      <c r="AS163" s="281"/>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5"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1"/>
      <c r="AR164" s="281"/>
      <c r="AS164" s="281"/>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5"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1"/>
      <c r="AR165" s="281"/>
      <c r="AS165" s="281"/>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5"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1"/>
      <c r="AR166" s="281"/>
      <c r="AS166" s="281"/>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5"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1"/>
      <c r="AR167" s="281"/>
      <c r="AS167" s="281"/>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5"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1"/>
      <c r="AR168" s="281"/>
      <c r="AS168" s="281"/>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5"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1"/>
      <c r="AR169" s="281"/>
      <c r="AS169" s="281"/>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5"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1"/>
      <c r="AR170" s="281"/>
      <c r="AS170" s="281"/>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5"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1"/>
      <c r="AR171" s="281"/>
      <c r="AS171" s="281"/>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5"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1"/>
      <c r="AR172" s="281"/>
      <c r="AS172" s="281"/>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5"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1"/>
      <c r="AR173" s="281"/>
      <c r="AS173" s="281"/>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5"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1"/>
      <c r="AR174" s="281"/>
      <c r="AS174" s="281"/>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5" customFormat="1" ht="12.75" hidden="1"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1"/>
      <c r="AR175" s="281"/>
      <c r="AS175" s="281"/>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5" customFormat="1" ht="12.75" hidden="1"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1"/>
      <c r="AR176" s="281"/>
      <c r="AS176" s="281"/>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5" customFormat="1" ht="12.75" hidden="1"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1"/>
      <c r="AR177" s="281"/>
      <c r="AS177" s="281"/>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5" customFormat="1" ht="12.75" hidden="1"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1"/>
      <c r="AR178" s="281"/>
      <c r="AS178" s="281"/>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5" customFormat="1" ht="12.75" x14ac:dyDescent="0.2">
      <c r="A179" s="123"/>
      <c r="B179" s="122">
        <v>1</v>
      </c>
      <c r="C179" s="122">
        <v>2</v>
      </c>
      <c r="D179" s="122">
        <f>C179+1</f>
        <v>3</v>
      </c>
      <c r="E179" s="122">
        <f t="shared" ref="E179:M179" si="71">D179+1</f>
        <v>4</v>
      </c>
      <c r="F179" s="122">
        <f t="shared" si="71"/>
        <v>5</v>
      </c>
      <c r="G179" s="122">
        <f t="shared" si="71"/>
        <v>6</v>
      </c>
      <c r="H179" s="122">
        <f t="shared" si="71"/>
        <v>7</v>
      </c>
      <c r="I179" s="122">
        <f t="shared" si="71"/>
        <v>8</v>
      </c>
      <c r="J179" s="122">
        <f t="shared" si="71"/>
        <v>9</v>
      </c>
      <c r="K179" s="122">
        <f t="shared" si="71"/>
        <v>10</v>
      </c>
      <c r="L179" s="122">
        <f t="shared" si="71"/>
        <v>11</v>
      </c>
      <c r="M179" s="122">
        <f t="shared" si="71"/>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1"/>
      <c r="AR179" s="281"/>
      <c r="AS179" s="281"/>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5"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1"/>
      <c r="AR180" s="281"/>
      <c r="AS180" s="281"/>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5"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1"/>
      <c r="AR181" s="281"/>
      <c r="AS181" s="281"/>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5"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1"/>
      <c r="AR182" s="281"/>
      <c r="AS182" s="281"/>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6" zoomScale="70" zoomScaleSheetLayoutView="70" workbookViewId="0">
      <selection activeCell="C26" sqref="C26:D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7" t="str">
        <f>'2. паспорт  ТП'!A4:S4</f>
        <v>Год раскрытия информации: 2023 год</v>
      </c>
      <c r="B5" s="337"/>
      <c r="C5" s="337"/>
      <c r="D5" s="337"/>
      <c r="E5" s="337"/>
      <c r="F5" s="337"/>
      <c r="G5" s="337"/>
      <c r="H5" s="337"/>
      <c r="I5" s="337"/>
      <c r="J5" s="337"/>
      <c r="K5" s="337"/>
      <c r="L5" s="337"/>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7" t="str">
        <f>'1. паспорт местоположение'!A9:C9</f>
        <v>Акционерное общество "Западная энергетическая компания"</v>
      </c>
      <c r="B9" s="347"/>
      <c r="C9" s="347"/>
      <c r="D9" s="347"/>
      <c r="E9" s="347"/>
      <c r="F9" s="347"/>
      <c r="G9" s="347"/>
      <c r="H9" s="347"/>
      <c r="I9" s="347"/>
      <c r="J9" s="347"/>
      <c r="K9" s="347"/>
      <c r="L9" s="347"/>
    </row>
    <row r="10" spans="1:44" x14ac:dyDescent="0.25">
      <c r="A10" s="338" t="s">
        <v>6</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7" t="str">
        <f>'1. паспорт местоположение'!A12:C12</f>
        <v>M 22-05</v>
      </c>
      <c r="B12" s="347"/>
      <c r="C12" s="347"/>
      <c r="D12" s="347"/>
      <c r="E12" s="347"/>
      <c r="F12" s="347"/>
      <c r="G12" s="347"/>
      <c r="H12" s="347"/>
      <c r="I12" s="347"/>
      <c r="J12" s="347"/>
      <c r="K12" s="347"/>
      <c r="L12" s="347"/>
    </row>
    <row r="13" spans="1:44" x14ac:dyDescent="0.25">
      <c r="A13" s="338" t="s">
        <v>5</v>
      </c>
      <c r="B13" s="338"/>
      <c r="C13" s="338"/>
      <c r="D13" s="338"/>
      <c r="E13" s="338"/>
      <c r="F13" s="338"/>
      <c r="G13" s="338"/>
      <c r="H13" s="338"/>
      <c r="I13" s="338"/>
      <c r="J13" s="338"/>
      <c r="K13" s="338"/>
      <c r="L13" s="338"/>
    </row>
    <row r="14" spans="1:44" ht="18.75" x14ac:dyDescent="0.25">
      <c r="A14" s="345"/>
      <c r="B14" s="345"/>
      <c r="C14" s="345"/>
      <c r="D14" s="345"/>
      <c r="E14" s="345"/>
      <c r="F14" s="345"/>
      <c r="G14" s="345"/>
      <c r="H14" s="345"/>
      <c r="I14" s="345"/>
      <c r="J14" s="345"/>
      <c r="K14" s="345"/>
      <c r="L14" s="345"/>
    </row>
    <row r="15" spans="1:44" ht="102" customHeight="1" x14ac:dyDescent="0.25">
      <c r="A15" s="344" t="str">
        <f>'1. паспорт местоположение'!A15</f>
        <v>Приобретение аппарата испытания диэлектриков АИД-70М</v>
      </c>
      <c r="B15" s="344"/>
      <c r="C15" s="344"/>
      <c r="D15" s="344"/>
      <c r="E15" s="344"/>
      <c r="F15" s="344"/>
      <c r="G15" s="344"/>
      <c r="H15" s="344"/>
      <c r="I15" s="344"/>
      <c r="J15" s="344"/>
      <c r="K15" s="344"/>
      <c r="L15" s="344"/>
    </row>
    <row r="16" spans="1:44" x14ac:dyDescent="0.25">
      <c r="A16" s="338" t="s">
        <v>4</v>
      </c>
      <c r="B16" s="338"/>
      <c r="C16" s="338"/>
      <c r="D16" s="338"/>
      <c r="E16" s="338"/>
      <c r="F16" s="338"/>
      <c r="G16" s="338"/>
      <c r="H16" s="338"/>
      <c r="I16" s="338"/>
      <c r="J16" s="338"/>
      <c r="K16" s="338"/>
      <c r="L16" s="338"/>
    </row>
    <row r="17" spans="1:12" ht="15.75" customHeight="1" x14ac:dyDescent="0.25">
      <c r="L17" s="65"/>
    </row>
    <row r="18" spans="1:12" x14ac:dyDescent="0.25">
      <c r="K18" s="31"/>
    </row>
    <row r="19" spans="1:12" ht="15.75" customHeight="1" x14ac:dyDescent="0.25">
      <c r="A19" s="393" t="s">
        <v>478</v>
      </c>
      <c r="B19" s="393"/>
      <c r="C19" s="393"/>
      <c r="D19" s="393"/>
      <c r="E19" s="393"/>
      <c r="F19" s="393"/>
      <c r="G19" s="393"/>
      <c r="H19" s="393"/>
      <c r="I19" s="393"/>
      <c r="J19" s="393"/>
      <c r="K19" s="393"/>
      <c r="L19" s="393"/>
    </row>
    <row r="20" spans="1:12" x14ac:dyDescent="0.25">
      <c r="A20" s="46"/>
      <c r="B20" s="46"/>
    </row>
    <row r="21" spans="1:12" ht="28.5" customHeight="1" x14ac:dyDescent="0.25">
      <c r="A21" s="394" t="s">
        <v>216</v>
      </c>
      <c r="B21" s="394" t="s">
        <v>215</v>
      </c>
      <c r="C21" s="399" t="s">
        <v>410</v>
      </c>
      <c r="D21" s="399"/>
      <c r="E21" s="399"/>
      <c r="F21" s="399"/>
      <c r="G21" s="399"/>
      <c r="H21" s="399"/>
      <c r="I21" s="394" t="s">
        <v>214</v>
      </c>
      <c r="J21" s="396" t="s">
        <v>412</v>
      </c>
      <c r="K21" s="394" t="s">
        <v>213</v>
      </c>
      <c r="L21" s="395" t="s">
        <v>411</v>
      </c>
    </row>
    <row r="22" spans="1:12" ht="58.5" customHeight="1" x14ac:dyDescent="0.25">
      <c r="A22" s="394"/>
      <c r="B22" s="394"/>
      <c r="C22" s="400" t="s">
        <v>2</v>
      </c>
      <c r="D22" s="400"/>
      <c r="E22" s="400" t="s">
        <v>9</v>
      </c>
      <c r="F22" s="400"/>
      <c r="G22" s="400" t="s">
        <v>532</v>
      </c>
      <c r="H22" s="400"/>
      <c r="I22" s="394"/>
      <c r="J22" s="397"/>
      <c r="K22" s="394"/>
      <c r="L22" s="395"/>
    </row>
    <row r="23" spans="1:12" ht="31.5" x14ac:dyDescent="0.25">
      <c r="A23" s="394"/>
      <c r="B23" s="394"/>
      <c r="C23" s="59" t="s">
        <v>212</v>
      </c>
      <c r="D23" s="59" t="s">
        <v>211</v>
      </c>
      <c r="E23" s="59" t="s">
        <v>212</v>
      </c>
      <c r="F23" s="59" t="s">
        <v>211</v>
      </c>
      <c r="G23" s="59" t="s">
        <v>212</v>
      </c>
      <c r="H23" s="59" t="s">
        <v>211</v>
      </c>
      <c r="I23" s="394"/>
      <c r="J23" s="398"/>
      <c r="K23" s="394"/>
      <c r="L23" s="395"/>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125"/>
      <c r="D38" s="125"/>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5">
        <v>44591</v>
      </c>
      <c r="D40" s="125">
        <v>44925</v>
      </c>
      <c r="E40" s="126"/>
      <c r="F40" s="126"/>
      <c r="G40" s="126">
        <v>44591</v>
      </c>
      <c r="H40" s="126">
        <v>44925</v>
      </c>
      <c r="I40" s="125"/>
      <c r="J40" s="57"/>
      <c r="K40" s="57"/>
      <c r="L40" s="57"/>
    </row>
    <row r="41" spans="1:12" ht="63" customHeight="1" x14ac:dyDescent="0.25">
      <c r="A41" s="59" t="s">
        <v>199</v>
      </c>
      <c r="B41" s="60" t="s">
        <v>509</v>
      </c>
      <c r="C41" s="125"/>
      <c r="D41" s="125"/>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5">
        <v>44591</v>
      </c>
      <c r="D43" s="125">
        <v>44925</v>
      </c>
      <c r="E43" s="126"/>
      <c r="F43" s="125"/>
      <c r="G43" s="126">
        <v>44591</v>
      </c>
      <c r="H43" s="126">
        <v>44925</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125"/>
      <c r="D48" s="125"/>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5">
        <v>44591</v>
      </c>
      <c r="D53" s="125">
        <v>44925</v>
      </c>
      <c r="E53" s="126"/>
      <c r="F53" s="126"/>
      <c r="G53" s="126">
        <v>44591</v>
      </c>
      <c r="H53" s="126">
        <v>44925</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2023-02-24T14:59:22Z</dcterms:modified>
</cp:coreProperties>
</file>